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720" windowHeight="11445" tabRatio="445" activeTab="1"/>
  </bookViews>
  <sheets>
    <sheet name="Hoja1" sheetId="1" r:id="rId1"/>
    <sheet name="calculo" sheetId="4" r:id="rId2"/>
    <sheet name="INDICES" sheetId="2" r:id="rId3"/>
    <sheet name="Hoja3" sheetId="3" r:id="rId4"/>
  </sheets>
  <externalReferences>
    <externalReference r:id="rId5"/>
  </externalReferences>
  <definedNames>
    <definedName name="_xlnm._FilterDatabase" localSheetId="1" hidden="1">calculo!$A$4:$Q$117</definedName>
    <definedName name="_xlnm.Print_Area" localSheetId="1">calculo!$A$1:$Q$129</definedName>
    <definedName name="_xlnm.Print_Area" localSheetId="0">Hoja1!$A$1:$M$23</definedName>
  </definedNames>
  <calcPr calcId="114210"/>
</workbook>
</file>

<file path=xl/calcChain.xml><?xml version="1.0" encoding="utf-8"?>
<calcChain xmlns="http://schemas.openxmlformats.org/spreadsheetml/2006/main">
  <c r="I10" i="4"/>
  <c r="I9"/>
  <c r="I8"/>
  <c r="I7"/>
  <c r="I6"/>
  <c r="I5"/>
  <c r="E14"/>
  <c r="H14"/>
  <c r="J14"/>
  <c r="L14"/>
  <c r="E13"/>
  <c r="H13"/>
  <c r="J13"/>
  <c r="L13"/>
  <c r="M14"/>
  <c r="F14"/>
  <c r="N14"/>
  <c r="O14"/>
  <c r="M13"/>
  <c r="F13"/>
  <c r="B48" i="2"/>
  <c r="E5" i="4"/>
  <c r="O40" i="2"/>
  <c r="K1" i="1"/>
  <c r="E4"/>
  <c r="F4"/>
  <c r="H4"/>
  <c r="J4"/>
  <c r="K4"/>
  <c r="S4"/>
  <c r="T4"/>
  <c r="E5"/>
  <c r="F5"/>
  <c r="H5"/>
  <c r="J5"/>
  <c r="K5"/>
  <c r="E6"/>
  <c r="F6"/>
  <c r="H6"/>
  <c r="J6"/>
  <c r="K6"/>
  <c r="E7"/>
  <c r="F7"/>
  <c r="E8"/>
  <c r="H8"/>
  <c r="J8"/>
  <c r="K8"/>
  <c r="F8"/>
  <c r="Q8"/>
  <c r="E9"/>
  <c r="H9"/>
  <c r="J9"/>
  <c r="K9"/>
  <c r="F9"/>
  <c r="Q9"/>
  <c r="E10"/>
  <c r="H10"/>
  <c r="J10"/>
  <c r="K10"/>
  <c r="F10"/>
  <c r="Q10"/>
  <c r="E11"/>
  <c r="H11"/>
  <c r="J11"/>
  <c r="K11"/>
  <c r="F11"/>
  <c r="Q11"/>
  <c r="E12"/>
  <c r="H12"/>
  <c r="J12"/>
  <c r="K12"/>
  <c r="F12"/>
  <c r="Q12"/>
  <c r="E13"/>
  <c r="H13"/>
  <c r="J13"/>
  <c r="K13"/>
  <c r="F13"/>
  <c r="Q13"/>
  <c r="E14"/>
  <c r="F14"/>
  <c r="E15"/>
  <c r="F15"/>
  <c r="H15"/>
  <c r="J15"/>
  <c r="K15"/>
  <c r="E16"/>
  <c r="H16"/>
  <c r="J16"/>
  <c r="K16"/>
  <c r="F16"/>
  <c r="E17"/>
  <c r="F17"/>
  <c r="H17"/>
  <c r="J17"/>
  <c r="K17"/>
  <c r="E18"/>
  <c r="H18"/>
  <c r="J18"/>
  <c r="K18"/>
  <c r="F18"/>
  <c r="E19"/>
  <c r="F19"/>
  <c r="H19"/>
  <c r="J19"/>
  <c r="K19"/>
  <c r="E20"/>
  <c r="F20"/>
  <c r="H20"/>
  <c r="J20"/>
  <c r="K20"/>
  <c r="E21"/>
  <c r="F21"/>
  <c r="E22"/>
  <c r="F22"/>
  <c r="M1" i="4"/>
  <c r="M7"/>
  <c r="F5"/>
  <c r="W5"/>
  <c r="X5"/>
  <c r="E6"/>
  <c r="F6"/>
  <c r="E7"/>
  <c r="F7"/>
  <c r="E8"/>
  <c r="F8"/>
  <c r="M8"/>
  <c r="E9"/>
  <c r="H9"/>
  <c r="F9"/>
  <c r="M9"/>
  <c r="E10"/>
  <c r="F10"/>
  <c r="E11"/>
  <c r="F11"/>
  <c r="E12"/>
  <c r="F12"/>
  <c r="M12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N12" i="2"/>
  <c r="B13"/>
  <c r="M13"/>
  <c r="N13"/>
  <c r="B14"/>
  <c r="M14"/>
  <c r="N14"/>
  <c r="B15"/>
  <c r="M15"/>
  <c r="N15"/>
  <c r="B16"/>
  <c r="M16"/>
  <c r="N16"/>
  <c r="B17"/>
  <c r="M17"/>
  <c r="N17"/>
  <c r="B18"/>
  <c r="M18"/>
  <c r="N18"/>
  <c r="B19"/>
  <c r="M19"/>
  <c r="N19"/>
  <c r="B20"/>
  <c r="M20"/>
  <c r="N20"/>
  <c r="B21"/>
  <c r="M21"/>
  <c r="N21"/>
  <c r="B22"/>
  <c r="M22"/>
  <c r="N22"/>
  <c r="B23"/>
  <c r="M23"/>
  <c r="N23"/>
  <c r="B24"/>
  <c r="M24"/>
  <c r="N24"/>
  <c r="B25"/>
  <c r="B26"/>
  <c r="B27"/>
  <c r="B28"/>
  <c r="B29"/>
  <c r="B30"/>
  <c r="B31"/>
  <c r="B32"/>
  <c r="B33"/>
  <c r="B34"/>
  <c r="B35"/>
  <c r="B36"/>
  <c r="O36"/>
  <c r="P36"/>
  <c r="O37"/>
  <c r="P37"/>
  <c r="O38"/>
  <c r="P38"/>
  <c r="O39"/>
  <c r="P39"/>
  <c r="P40"/>
  <c r="O41"/>
  <c r="P41"/>
  <c r="O42"/>
  <c r="P42"/>
  <c r="B43"/>
  <c r="O43"/>
  <c r="P43"/>
  <c r="B44"/>
  <c r="O44"/>
  <c r="P44"/>
  <c r="B45"/>
  <c r="O45"/>
  <c r="P45"/>
  <c r="B46"/>
  <c r="O46"/>
  <c r="P46"/>
  <c r="B47"/>
  <c r="E348"/>
  <c r="N13" i="4"/>
  <c r="O13"/>
  <c r="H7" i="1"/>
  <c r="J7"/>
  <c r="K7"/>
  <c r="H12" i="4"/>
  <c r="J12"/>
  <c r="L12"/>
  <c r="N12"/>
  <c r="O12"/>
  <c r="M10"/>
  <c r="H8"/>
  <c r="M6"/>
  <c r="M5"/>
  <c r="H22" i="1"/>
  <c r="J22"/>
  <c r="K22"/>
  <c r="H14"/>
  <c r="J14"/>
  <c r="K14"/>
  <c r="H5" i="4"/>
  <c r="J5"/>
  <c r="L5"/>
  <c r="N5"/>
  <c r="O5"/>
  <c r="M11"/>
  <c r="J9"/>
  <c r="L9"/>
  <c r="N9"/>
  <c r="O9"/>
  <c r="H6"/>
  <c r="H21" i="1"/>
  <c r="J21"/>
  <c r="K21"/>
  <c r="H11" i="4"/>
  <c r="J11"/>
  <c r="L11"/>
  <c r="N11"/>
  <c r="O11"/>
  <c r="H7"/>
  <c r="J7"/>
  <c r="L7"/>
  <c r="N7"/>
  <c r="O7"/>
  <c r="H10"/>
  <c r="J10"/>
  <c r="L10"/>
  <c r="N10"/>
  <c r="O10"/>
  <c r="J6"/>
  <c r="L6"/>
  <c r="N6"/>
  <c r="O6"/>
  <c r="J8"/>
  <c r="L8"/>
  <c r="N8"/>
  <c r="O8"/>
</calcChain>
</file>

<file path=xl/comments1.xml><?xml version="1.0" encoding="utf-8"?>
<comments xmlns="http://schemas.openxmlformats.org/spreadsheetml/2006/main">
  <authors>
    <author>Beatriz Solis Medina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Beatriz Solis Medina:</t>
        </r>
        <r>
          <rPr>
            <sz val="8"/>
            <color indexed="81"/>
            <rFont val="Tahoma"/>
            <family val="2"/>
          </rPr>
          <t xml:space="preserve">
REGLA 1.3.14.6: cuando la operación exceda a $227,400.00, la utilidad de laoperación estara gravada por el excedente a 3SMGA.</t>
        </r>
      </text>
    </comment>
  </commentList>
</comments>
</file>

<file path=xl/comments2.xml><?xml version="1.0" encoding="utf-8"?>
<comments xmlns="http://schemas.openxmlformats.org/spreadsheetml/2006/main">
  <authors>
    <author>Beatriz Solis Medina</author>
  </authors>
  <commentList>
    <comment ref="N1" authorId="0">
      <text>
        <r>
          <rPr>
            <b/>
            <sz val="8"/>
            <color indexed="81"/>
            <rFont val="Tahoma"/>
            <family val="2"/>
          </rPr>
          <t>Beatriz Solis Medina:</t>
        </r>
        <r>
          <rPr>
            <sz val="8"/>
            <color indexed="81"/>
            <rFont val="Tahoma"/>
            <family val="2"/>
          </rPr>
          <t xml:space="preserve">
REGLA 1.3.14.6: cuando la operación exceda a $227,400.00, la utilidad de laoperación estara gravada por el excedente a 3SMGA.</t>
        </r>
      </text>
    </comment>
  </commentList>
</comments>
</file>

<file path=xl/sharedStrings.xml><?xml version="1.0" encoding="utf-8"?>
<sst xmlns="http://schemas.openxmlformats.org/spreadsheetml/2006/main" count="97" uniqueCount="67">
  <si>
    <t>VEHICULO</t>
  </si>
  <si>
    <t>FECHA DE ADQUISICIÓN</t>
  </si>
  <si>
    <t>FECHA DE ENAJENACIÓN</t>
  </si>
  <si>
    <t>MESES DE USO</t>
  </si>
  <si>
    <t>FACTOR DE DEP. MENS</t>
  </si>
  <si>
    <t>VALOR FACTURA</t>
  </si>
  <si>
    <t>VALOR ACTUAL</t>
  </si>
  <si>
    <t>PRECIO COMPRA</t>
  </si>
  <si>
    <t>DIFERENCIAL</t>
  </si>
  <si>
    <t>RETENCIÓN ISR</t>
  </si>
  <si>
    <t>ASESOR</t>
  </si>
  <si>
    <t>COMENTARIOS</t>
  </si>
  <si>
    <t>COMPRA</t>
  </si>
  <si>
    <t>VENTA</t>
  </si>
  <si>
    <t>MEDIA</t>
  </si>
  <si>
    <t>SM</t>
  </si>
  <si>
    <t>SIENNA 2012</t>
  </si>
  <si>
    <t>PMVR</t>
  </si>
  <si>
    <t>* NO APLICA RETENCIÒN PORQUE HAY 3 SALARIOS MINIMOS ANUALIZADOS APROX $62,000.00 PARA QUEDAR EXCENTOS</t>
  </si>
  <si>
    <t>TACOMA 2012</t>
  </si>
  <si>
    <t>JCP</t>
  </si>
  <si>
    <t>FJ CRUSIER</t>
  </si>
  <si>
    <t>AMLL</t>
  </si>
  <si>
    <t>ODYSSEY 2009</t>
  </si>
  <si>
    <t>JLOO</t>
  </si>
  <si>
    <t>*SE HACE LA RESPONSIVA POR $227,000.00 SE LE HARA TRANSFERENCIA AL CLIENTE POR $10,000.00, PARA DAR UN TOTAL DE $237,000.00 (MONTO DE CIERRE DE TOMA)</t>
  </si>
  <si>
    <t>SIENNA 2011</t>
  </si>
  <si>
    <t>EYC</t>
  </si>
  <si>
    <t>SIENNA LTD 2012</t>
  </si>
  <si>
    <t>ACADIA 2012</t>
  </si>
  <si>
    <t>ALBERTO</t>
  </si>
  <si>
    <t>*QUEDA EXCENTO DE RETENCION PORQUE NO HAY DIFERENCIAL</t>
  </si>
  <si>
    <t>TACOMA 4X4 2013</t>
  </si>
  <si>
    <t>TACOMA 4X2 2013</t>
  </si>
  <si>
    <t>TOPE DE EXENSION 63.77SMZG (X) 365 (3)   =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</si>
  <si>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</si>
  <si>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</si>
  <si>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</si>
  <si>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</si>
  <si>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</si>
  <si>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</si>
  <si>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</si>
  <si>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</si>
  <si>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</si>
  <si>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</si>
  <si>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</si>
  <si>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</si>
  <si>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 xml:space="preserve"> </t>
  </si>
  <si>
    <t>INPC pubicado en el DOF enero 2011</t>
  </si>
  <si>
    <t>COSTO SIN ACTUALIZ</t>
  </si>
  <si>
    <t>DIFERENCIA</t>
  </si>
  <si>
    <t>COSTO ACTUALIZADO</t>
  </si>
  <si>
    <t>EXCENCION</t>
  </si>
  <si>
    <t>BASE P/RETENCION</t>
  </si>
  <si>
    <t>ISR</t>
  </si>
  <si>
    <t>COMPRAS UNIDADES USADAS</t>
  </si>
  <si>
    <t>PRECIO DE COMPRA</t>
  </si>
  <si>
    <t>RALLY CHAMPION, SA DE CV</t>
  </si>
  <si>
    <t>FACTOR DE AC</t>
  </si>
  <si>
    <t>INPC-FECHA VENTA</t>
  </si>
  <si>
    <t>INPC-FECHA COMPRA</t>
  </si>
  <si>
    <t>0001-SBU16</t>
  </si>
  <si>
    <t>0002-SBU16</t>
  </si>
  <si>
    <t>0003-SBU16</t>
  </si>
  <si>
    <t>0004-SBU16</t>
  </si>
  <si>
    <t>0005-SBU16</t>
  </si>
  <si>
    <t>0007-SBU16</t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</si>
</sst>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164" formatCode="dd/mm/yy"/>
    <numFmt numFmtId="165" formatCode="[$$-80A]#,##0.00;[Red]\-[$$-80A]#,##0.00"/>
    <numFmt numFmtId="166" formatCode="&quot; $&quot;#,##0.00\ ;&quot;-$&quot;#,##0.00\ ;&quot; $-&quot;#\ ;@\ "/>
    <numFmt numFmtId="167" formatCode="\$#,##0.00;[Red]&quot;-$&quot;#,##0.00"/>
    <numFmt numFmtId="168" formatCode="0.00\ ;[Red]\-0.00\ "/>
    <numFmt numFmtId="169" formatCode="0.0000"/>
    <numFmt numFmtId="170" formatCode="0.000"/>
    <numFmt numFmtId="171" formatCode="0.00000"/>
    <numFmt numFmtId="172" formatCode="0.0"/>
    <numFmt numFmtId="173" formatCode="_-* #,##0.0000_-;\-* #,##0.0000_-;_-* &quot;-&quot;??_-;_-@_-"/>
  </numFmts>
  <fonts count="15"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8"/>
      <color indexed="62"/>
      <name val="Arial"/>
      <family val="2"/>
    </font>
    <font>
      <b/>
      <sz val="8"/>
      <color indexed="62"/>
      <name val="Arial"/>
      <family val="2"/>
    </font>
    <font>
      <sz val="10"/>
      <name val="Arial"/>
      <family val="2"/>
    </font>
    <font>
      <sz val="11"/>
      <color indexed="12"/>
      <name val="Calibri"/>
      <family val="2"/>
    </font>
    <font>
      <sz val="10"/>
      <color indexed="10"/>
      <name val="Arial"/>
      <family val="2"/>
    </font>
    <font>
      <b/>
      <sz val="8"/>
      <color indexed="63"/>
      <name val="Arial"/>
      <family val="2"/>
    </font>
    <font>
      <b/>
      <sz val="6"/>
      <color indexed="63"/>
      <name val="Arial"/>
      <family val="2"/>
    </font>
    <font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 style="hair">
        <color indexed="62"/>
      </right>
      <top/>
      <bottom style="hair">
        <color indexed="62"/>
      </bottom>
      <diagonal/>
    </border>
    <border>
      <left/>
      <right/>
      <top/>
      <bottom style="medium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medium">
        <color indexed="62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3">
    <xf numFmtId="0" fontId="0" fillId="0" borderId="0"/>
    <xf numFmtId="43" fontId="1" fillId="0" borderId="0" applyFill="0" applyBorder="0" applyAlignment="0" applyProtection="0"/>
    <xf numFmtId="166" fontId="9" fillId="0" borderId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165" fontId="0" fillId="2" borderId="7" xfId="0" applyNumberFormat="1" applyFill="1" applyBorder="1" applyAlignment="1">
      <alignment horizontal="center" vertical="center"/>
    </xf>
    <xf numFmtId="165" fontId="0" fillId="2" borderId="7" xfId="0" applyNumberFormat="1" applyFill="1" applyBorder="1" applyAlignment="1" applyProtection="1">
      <alignment horizontal="center" vertical="center"/>
      <protection locked="0"/>
    </xf>
    <xf numFmtId="167" fontId="2" fillId="2" borderId="7" xfId="2" applyNumberFormat="1" applyFont="1" applyFill="1" applyBorder="1" applyAlignment="1" applyProtection="1">
      <alignment horizontal="center" vertical="center"/>
      <protection locked="0"/>
    </xf>
    <xf numFmtId="167" fontId="2" fillId="2" borderId="8" xfId="2" applyNumberFormat="1" applyFont="1" applyFill="1" applyBorder="1" applyAlignment="1" applyProtection="1">
      <alignment horizontal="center" vertical="center"/>
      <protection locked="0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165" fontId="0" fillId="0" borderId="7" xfId="0" applyNumberFormat="1" applyBorder="1" applyAlignment="1">
      <alignment horizontal="center" vertical="center"/>
    </xf>
    <xf numFmtId="165" fontId="0" fillId="3" borderId="7" xfId="0" applyNumberFormat="1" applyFill="1" applyBorder="1" applyAlignment="1" applyProtection="1">
      <alignment horizontal="center" vertical="center"/>
      <protection locked="0"/>
    </xf>
    <xf numFmtId="167" fontId="2" fillId="3" borderId="7" xfId="2" applyNumberFormat="1" applyFont="1" applyFill="1" applyBorder="1" applyAlignment="1" applyProtection="1">
      <alignment horizontal="center" vertical="center"/>
      <protection locked="0"/>
    </xf>
    <xf numFmtId="167" fontId="2" fillId="3" borderId="8" xfId="2" applyNumberFormat="1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15" xfId="0" applyFill="1" applyBorder="1" applyAlignment="1" applyProtection="1">
      <alignment horizontal="center" vertical="center"/>
      <protection locked="0"/>
    </xf>
    <xf numFmtId="165" fontId="0" fillId="0" borderId="15" xfId="0" applyNumberFormat="1" applyBorder="1" applyAlignment="1">
      <alignment horizontal="center" vertical="center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7" fontId="2" fillId="3" borderId="15" xfId="2" applyNumberFormat="1" applyFont="1" applyFill="1" applyBorder="1" applyAlignment="1" applyProtection="1">
      <alignment horizontal="center" vertical="center"/>
      <protection locked="0"/>
    </xf>
    <xf numFmtId="167" fontId="2" fillId="3" borderId="16" xfId="2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3" fontId="1" fillId="0" borderId="0" xfId="1"/>
    <xf numFmtId="0" fontId="0" fillId="0" borderId="0" xfId="0" applyFont="1"/>
    <xf numFmtId="0" fontId="0" fillId="4" borderId="0" xfId="0" applyFont="1" applyFill="1"/>
    <xf numFmtId="169" fontId="0" fillId="0" borderId="0" xfId="0" applyNumberFormat="1" applyFont="1"/>
    <xf numFmtId="171" fontId="0" fillId="0" borderId="0" xfId="0" applyNumberFormat="1" applyFont="1"/>
    <xf numFmtId="169" fontId="0" fillId="4" borderId="0" xfId="0" applyNumberFormat="1" applyFont="1" applyFill="1"/>
    <xf numFmtId="0" fontId="5" fillId="0" borderId="0" xfId="0" applyFont="1"/>
    <xf numFmtId="169" fontId="5" fillId="0" borderId="0" xfId="0" applyNumberFormat="1" applyFont="1"/>
    <xf numFmtId="169" fontId="5" fillId="4" borderId="0" xfId="0" applyNumberFormat="1" applyFont="1" applyFill="1"/>
    <xf numFmtId="172" fontId="6" fillId="0" borderId="0" xfId="0" applyNumberFormat="1" applyFont="1"/>
    <xf numFmtId="169" fontId="0" fillId="0" borderId="0" xfId="0" applyNumberFormat="1"/>
    <xf numFmtId="0" fontId="0" fillId="0" borderId="0" xfId="0" applyFill="1"/>
    <xf numFmtId="169" fontId="0" fillId="0" borderId="0" xfId="0" applyNumberFormat="1" applyFont="1" applyFill="1"/>
    <xf numFmtId="169" fontId="0" fillId="0" borderId="0" xfId="0" applyNumberFormat="1" applyFill="1"/>
    <xf numFmtId="0" fontId="1" fillId="0" borderId="0" xfId="0" applyFont="1"/>
    <xf numFmtId="169" fontId="1" fillId="0" borderId="0" xfId="0" applyNumberFormat="1" applyFont="1"/>
    <xf numFmtId="0" fontId="1" fillId="4" borderId="0" xfId="0" applyFont="1" applyFill="1"/>
    <xf numFmtId="170" fontId="0" fillId="0" borderId="0" xfId="0" applyNumberFormat="1"/>
    <xf numFmtId="0" fontId="0" fillId="4" borderId="0" xfId="0" applyFill="1"/>
    <xf numFmtId="171" fontId="0" fillId="0" borderId="0" xfId="0" applyNumberFormat="1"/>
    <xf numFmtId="170" fontId="1" fillId="0" borderId="0" xfId="0" applyNumberFormat="1" applyFont="1"/>
    <xf numFmtId="170" fontId="0" fillId="0" borderId="0" xfId="0" applyNumberFormat="1" applyFont="1" applyFill="1" applyBorder="1" applyAlignment="1">
      <alignment horizontal="center"/>
    </xf>
    <xf numFmtId="170" fontId="1" fillId="4" borderId="0" xfId="0" applyNumberFormat="1" applyFont="1" applyFill="1"/>
    <xf numFmtId="4" fontId="0" fillId="0" borderId="0" xfId="0" applyNumberFormat="1"/>
    <xf numFmtId="0" fontId="0" fillId="0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64" fontId="0" fillId="0" borderId="20" xfId="0" applyNumberFormat="1" applyFill="1" applyBorder="1" applyAlignment="1">
      <alignment horizontal="center" vertical="center"/>
    </xf>
    <xf numFmtId="14" fontId="1" fillId="0" borderId="20" xfId="0" applyNumberFormat="1" applyFont="1" applyFill="1" applyBorder="1"/>
    <xf numFmtId="2" fontId="0" fillId="0" borderId="20" xfId="0" applyNumberFormat="1" applyFill="1" applyBorder="1" applyAlignment="1" applyProtection="1">
      <alignment horizontal="center" vertical="center"/>
      <protection locked="0"/>
    </xf>
    <xf numFmtId="169" fontId="0" fillId="0" borderId="20" xfId="0" applyNumberFormat="1" applyFill="1" applyBorder="1" applyAlignment="1" applyProtection="1">
      <alignment horizontal="center" vertical="center"/>
      <protection locked="0"/>
    </xf>
    <xf numFmtId="43" fontId="1" fillId="0" borderId="20" xfId="1" applyFill="1" applyBorder="1" applyAlignment="1">
      <alignment horizontal="center" vertical="center"/>
    </xf>
    <xf numFmtId="43" fontId="1" fillId="0" borderId="20" xfId="1" applyFill="1" applyBorder="1" applyAlignment="1" applyProtection="1">
      <alignment horizontal="center" vertical="center"/>
      <protection locked="0"/>
    </xf>
    <xf numFmtId="173" fontId="1" fillId="0" borderId="20" xfId="1" applyNumberForma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0" fillId="0" borderId="20" xfId="0" applyFill="1" applyBorder="1"/>
    <xf numFmtId="0" fontId="1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Font="1" applyBorder="1"/>
    <xf numFmtId="164" fontId="0" fillId="0" borderId="21" xfId="0" applyNumberFormat="1" applyFill="1" applyBorder="1" applyAlignment="1">
      <alignment horizontal="center" vertical="center"/>
    </xf>
    <xf numFmtId="14" fontId="1" fillId="0" borderId="21" xfId="0" applyNumberFormat="1" applyFont="1" applyFill="1" applyBorder="1"/>
    <xf numFmtId="2" fontId="0" fillId="0" borderId="21" xfId="0" applyNumberFormat="1" applyFill="1" applyBorder="1" applyAlignment="1" applyProtection="1">
      <alignment horizontal="center" vertical="center"/>
      <protection locked="0"/>
    </xf>
    <xf numFmtId="169" fontId="0" fillId="0" borderId="21" xfId="0" applyNumberFormat="1" applyFill="1" applyBorder="1" applyAlignment="1" applyProtection="1">
      <alignment horizontal="center" vertical="center"/>
      <protection locked="0"/>
    </xf>
    <xf numFmtId="43" fontId="1" fillId="0" borderId="21" xfId="1" applyFill="1" applyBorder="1" applyAlignment="1">
      <alignment horizontal="center" vertical="center"/>
    </xf>
    <xf numFmtId="43" fontId="1" fillId="0" borderId="21" xfId="1" applyFill="1" applyBorder="1" applyAlignment="1" applyProtection="1">
      <alignment horizontal="center" vertical="center"/>
      <protection locked="0"/>
    </xf>
    <xf numFmtId="173" fontId="1" fillId="0" borderId="21" xfId="1" applyNumberFormat="1" applyFill="1" applyBorder="1" applyAlignment="1" applyProtection="1">
      <alignment horizontal="center" vertical="center"/>
      <protection locked="0"/>
    </xf>
    <xf numFmtId="0" fontId="0" fillId="0" borderId="21" xfId="0" applyFill="1" applyBorder="1"/>
    <xf numFmtId="0" fontId="0" fillId="0" borderId="22" xfId="0" applyFont="1" applyBorder="1"/>
    <xf numFmtId="164" fontId="0" fillId="0" borderId="23" xfId="0" applyNumberFormat="1" applyFill="1" applyBorder="1" applyAlignment="1">
      <alignment horizontal="center" vertical="center"/>
    </xf>
    <xf numFmtId="14" fontId="1" fillId="0" borderId="23" xfId="0" applyNumberFormat="1" applyFont="1" applyFill="1" applyBorder="1"/>
    <xf numFmtId="2" fontId="0" fillId="0" borderId="23" xfId="0" applyNumberFormat="1" applyFill="1" applyBorder="1" applyAlignment="1" applyProtection="1">
      <alignment horizontal="center" vertical="center"/>
      <protection locked="0"/>
    </xf>
    <xf numFmtId="169" fontId="0" fillId="0" borderId="23" xfId="0" applyNumberFormat="1" applyFill="1" applyBorder="1" applyAlignment="1" applyProtection="1">
      <alignment horizontal="center" vertical="center"/>
      <protection locked="0"/>
    </xf>
    <xf numFmtId="43" fontId="1" fillId="0" borderId="23" xfId="1" applyFill="1" applyBorder="1" applyAlignment="1">
      <alignment horizontal="center" vertical="center"/>
    </xf>
    <xf numFmtId="43" fontId="1" fillId="0" borderId="23" xfId="1" applyFill="1" applyBorder="1" applyAlignment="1" applyProtection="1">
      <alignment horizontal="center" vertical="center"/>
      <protection locked="0"/>
    </xf>
    <xf numFmtId="173" fontId="1" fillId="0" borderId="23" xfId="1" applyNumberFormat="1" applyFill="1" applyBorder="1" applyAlignment="1" applyProtection="1">
      <alignment horizontal="center" vertical="center"/>
      <protection locked="0"/>
    </xf>
    <xf numFmtId="0" fontId="0" fillId="0" borderId="23" xfId="0" applyFill="1" applyBorder="1"/>
    <xf numFmtId="0" fontId="10" fillId="0" borderId="0" xfId="0" applyFont="1" applyBorder="1"/>
    <xf numFmtId="169" fontId="11" fillId="0" borderId="0" xfId="0" applyNumberFormat="1" applyFont="1"/>
    <xf numFmtId="169" fontId="11" fillId="0" borderId="0" xfId="0" applyNumberFormat="1" applyFont="1" applyFill="1"/>
    <xf numFmtId="170" fontId="11" fillId="0" borderId="0" xfId="0" applyNumberFormat="1" applyFont="1"/>
    <xf numFmtId="0" fontId="10" fillId="0" borderId="22" xfId="0" applyFont="1" applyBorder="1"/>
    <xf numFmtId="4" fontId="0" fillId="5" borderId="0" xfId="0" applyNumberFormat="1" applyFont="1" applyFill="1"/>
    <xf numFmtId="4" fontId="10" fillId="5" borderId="0" xfId="0" applyNumberFormat="1" applyFont="1" applyFill="1"/>
    <xf numFmtId="4" fontId="0" fillId="5" borderId="22" xfId="0" applyNumberFormat="1" applyFont="1" applyFill="1" applyBorder="1"/>
    <xf numFmtId="4" fontId="0" fillId="5" borderId="0" xfId="0" applyNumberFormat="1" applyFont="1" applyFill="1" applyBorder="1"/>
    <xf numFmtId="4" fontId="10" fillId="5" borderId="0" xfId="0" applyNumberFormat="1" applyFont="1" applyFill="1" applyBorder="1"/>
    <xf numFmtId="4" fontId="10" fillId="5" borderId="22" xfId="0" applyNumberFormat="1" applyFont="1" applyFill="1" applyBorder="1"/>
    <xf numFmtId="0" fontId="11" fillId="0" borderId="0" xfId="0" applyFont="1" applyAlignment="1">
      <alignment horizontal="center" vertical="center"/>
    </xf>
    <xf numFmtId="0" fontId="11" fillId="0" borderId="0" xfId="0" applyFont="1" applyBorder="1"/>
    <xf numFmtId="164" fontId="11" fillId="0" borderId="20" xfId="0" applyNumberFormat="1" applyFont="1" applyFill="1" applyBorder="1" applyAlignment="1">
      <alignment horizontal="center" vertical="center"/>
    </xf>
    <xf numFmtId="14" fontId="11" fillId="0" borderId="20" xfId="0" applyNumberFormat="1" applyFont="1" applyFill="1" applyBorder="1"/>
    <xf numFmtId="2" fontId="11" fillId="0" borderId="20" xfId="0" applyNumberFormat="1" applyFont="1" applyFill="1" applyBorder="1" applyAlignment="1" applyProtection="1">
      <alignment horizontal="center" vertical="center"/>
      <protection locked="0"/>
    </xf>
    <xf numFmtId="169" fontId="11" fillId="0" borderId="20" xfId="0" applyNumberFormat="1" applyFont="1" applyFill="1" applyBorder="1" applyAlignment="1" applyProtection="1">
      <alignment horizontal="center" vertical="center"/>
      <protection locked="0"/>
    </xf>
    <xf numFmtId="43" fontId="11" fillId="0" borderId="20" xfId="1" applyFont="1" applyFill="1" applyBorder="1" applyAlignment="1">
      <alignment horizontal="center" vertical="center"/>
    </xf>
    <xf numFmtId="43" fontId="11" fillId="0" borderId="20" xfId="1" applyFont="1" applyFill="1" applyBorder="1" applyAlignment="1" applyProtection="1">
      <alignment horizontal="center" vertical="center"/>
      <protection locked="0"/>
    </xf>
    <xf numFmtId="173" fontId="11" fillId="0" borderId="20" xfId="1" applyNumberFormat="1" applyFont="1" applyFill="1" applyBorder="1" applyAlignment="1" applyProtection="1">
      <alignment horizontal="center" vertical="center"/>
      <protection locked="0"/>
    </xf>
    <xf numFmtId="4" fontId="11" fillId="5" borderId="0" xfId="0" applyNumberFormat="1" applyFont="1" applyFill="1" applyBorder="1"/>
    <xf numFmtId="0" fontId="11" fillId="0" borderId="20" xfId="0" applyFont="1" applyFill="1" applyBorder="1"/>
    <xf numFmtId="0" fontId="11" fillId="0" borderId="20" xfId="0" applyFont="1" applyFill="1" applyBorder="1" applyAlignment="1">
      <alignment vertical="center"/>
    </xf>
    <xf numFmtId="0" fontId="11" fillId="0" borderId="0" xfId="0" applyFont="1"/>
    <xf numFmtId="0" fontId="13" fillId="5" borderId="18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14" fontId="0" fillId="0" borderId="20" xfId="0" applyNumberFormat="1" applyFill="1" applyBorder="1"/>
    <xf numFmtId="43" fontId="9" fillId="0" borderId="20" xfId="1" applyFont="1" applyFill="1" applyBorder="1"/>
    <xf numFmtId="43" fontId="11" fillId="0" borderId="20" xfId="1" applyFont="1" applyFill="1" applyBorder="1"/>
    <xf numFmtId="0" fontId="0" fillId="0" borderId="20" xfId="0" applyFont="1" applyFill="1" applyBorder="1"/>
    <xf numFmtId="43" fontId="0" fillId="0" borderId="20" xfId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14" fontId="0" fillId="0" borderId="20" xfId="0" applyNumberFormat="1" applyFont="1" applyFill="1" applyBorder="1"/>
    <xf numFmtId="169" fontId="0" fillId="0" borderId="20" xfId="0" applyNumberFormat="1" applyFont="1" applyFill="1" applyBorder="1" applyAlignment="1" applyProtection="1">
      <alignment horizontal="center" vertical="center"/>
      <protection locked="0"/>
    </xf>
    <xf numFmtId="43" fontId="0" fillId="0" borderId="20" xfId="1" applyFont="1" applyFill="1" applyBorder="1"/>
    <xf numFmtId="43" fontId="9" fillId="0" borderId="20" xfId="1" applyFont="1" applyFill="1" applyBorder="1" applyAlignment="1" applyProtection="1">
      <alignment horizontal="center" vertical="center"/>
      <protection locked="0"/>
    </xf>
    <xf numFmtId="173" fontId="9" fillId="0" borderId="20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/>
    <xf numFmtId="170" fontId="0" fillId="0" borderId="0" xfId="0" applyNumberFormat="1" applyFont="1" applyFill="1"/>
    <xf numFmtId="170" fontId="1" fillId="0" borderId="0" xfId="0" applyNumberFormat="1" applyFont="1" applyFill="1"/>
    <xf numFmtId="0" fontId="14" fillId="0" borderId="0" xfId="0" applyFont="1"/>
    <xf numFmtId="164" fontId="14" fillId="0" borderId="20" xfId="0" applyNumberFormat="1" applyFont="1" applyFill="1" applyBorder="1" applyAlignment="1">
      <alignment horizontal="center" vertical="center"/>
    </xf>
    <xf numFmtId="14" fontId="14" fillId="0" borderId="20" xfId="0" applyNumberFormat="1" applyFont="1" applyFill="1" applyBorder="1"/>
    <xf numFmtId="2" fontId="14" fillId="0" borderId="20" xfId="0" applyNumberFormat="1" applyFont="1" applyFill="1" applyBorder="1" applyAlignment="1" applyProtection="1">
      <alignment horizontal="center" vertical="center"/>
      <protection locked="0"/>
    </xf>
    <xf numFmtId="169" fontId="14" fillId="0" borderId="20" xfId="0" applyNumberFormat="1" applyFont="1" applyFill="1" applyBorder="1" applyAlignment="1" applyProtection="1">
      <alignment horizontal="center" vertical="center"/>
      <protection locked="0"/>
    </xf>
    <xf numFmtId="43" fontId="14" fillId="0" borderId="20" xfId="1" applyFont="1" applyFill="1" applyBorder="1" applyAlignment="1">
      <alignment horizontal="center" vertical="center"/>
    </xf>
    <xf numFmtId="43" fontId="14" fillId="0" borderId="20" xfId="1" applyFont="1" applyFill="1" applyBorder="1" applyAlignment="1" applyProtection="1">
      <alignment horizontal="center" vertical="center"/>
      <protection locked="0"/>
    </xf>
    <xf numFmtId="173" fontId="14" fillId="0" borderId="20" xfId="1" applyNumberFormat="1" applyFont="1" applyFill="1" applyBorder="1" applyAlignment="1" applyProtection="1">
      <alignment horizontal="center" vertical="center"/>
      <protection locked="0"/>
    </xf>
    <xf numFmtId="4" fontId="14" fillId="5" borderId="0" xfId="0" applyNumberFormat="1" applyFont="1" applyFill="1"/>
    <xf numFmtId="0" fontId="14" fillId="0" borderId="20" xfId="0" applyFont="1" applyFill="1" applyBorder="1" applyAlignment="1">
      <alignment vertical="center"/>
    </xf>
    <xf numFmtId="0" fontId="14" fillId="0" borderId="20" xfId="0" applyFont="1" applyFill="1" applyBorder="1"/>
    <xf numFmtId="2" fontId="0" fillId="0" borderId="20" xfId="0" applyNumberFormat="1" applyFont="1" applyFill="1" applyBorder="1" applyAlignment="1" applyProtection="1">
      <alignment horizontal="center" vertical="center"/>
      <protection locked="0"/>
    </xf>
    <xf numFmtId="43" fontId="0" fillId="0" borderId="20" xfId="1" applyFont="1" applyFill="1" applyBorder="1" applyAlignment="1">
      <alignment horizontal="center" vertical="center"/>
    </xf>
    <xf numFmtId="173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>
      <alignment vertical="center"/>
    </xf>
    <xf numFmtId="0" fontId="10" fillId="0" borderId="0" xfId="0" applyFont="1" applyFill="1"/>
    <xf numFmtId="14" fontId="0" fillId="0" borderId="20" xfId="0" applyNumberFormat="1" applyFill="1" applyBorder="1" applyAlignment="1">
      <alignment horizontal="center" vertical="center"/>
    </xf>
    <xf numFmtId="14" fontId="14" fillId="0" borderId="20" xfId="0" applyNumberFormat="1" applyFont="1" applyFill="1" applyBorder="1" applyAlignment="1">
      <alignment horizontal="center" vertical="center"/>
    </xf>
    <xf numFmtId="14" fontId="0" fillId="0" borderId="20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12" fillId="5" borderId="28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1.107.8.56\Users\users\Documents%20and%20Settings\tpacontabilidad\Mis%20documentos\ContabilidadToyota\Conciliacion%20de%20cuentas%20contables%20Pachuca\Pachuca%202013\INFORMATIVAS%202013\ANUAL%202013\ISR%20ALECSA%20PACHUCA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Gen"/>
      <sheetName val="ERes"/>
      <sheetName val="Datos"/>
      <sheetName val="DIVIDENDOS"/>
      <sheetName val="BzaCompr"/>
      <sheetName val="PP ISR"/>
      <sheetName val="IETU"/>
      <sheetName val="AInf"/>
      <sheetName val="DepF"/>
      <sheetName val="SProm"/>
      <sheetName val="CInf"/>
      <sheetName val="Acum"/>
      <sheetName val="ISR"/>
      <sheetName val="VTA AF"/>
      <sheetName val="FACTORES DEP"/>
      <sheetName val="Ind"/>
    </sheetNames>
    <sheetDataSet>
      <sheetData sheetId="0">
        <row r="17">
          <cell r="D17">
            <v>1381735.69</v>
          </cell>
        </row>
        <row r="18">
          <cell r="D18">
            <v>2075827.26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3"/>
  <sheetViews>
    <sheetView workbookViewId="0">
      <selection activeCell="C14" sqref="C14"/>
    </sheetView>
  </sheetViews>
  <sheetFormatPr baseColWidth="10" defaultRowHeight="12.75"/>
  <cols>
    <col min="1" max="1" width="4.85546875" customWidth="1"/>
    <col min="2" max="2" width="19" customWidth="1"/>
    <col min="3" max="3" width="13" customWidth="1"/>
    <col min="4" max="4" width="14.140625" customWidth="1"/>
    <col min="5" max="5" width="9" customWidth="1"/>
    <col min="7" max="7" width="11.85546875" customWidth="1"/>
    <col min="8" max="8" width="12.140625" customWidth="1"/>
    <col min="9" max="9" width="12" customWidth="1"/>
    <col min="10" max="10" width="13.140625" customWidth="1"/>
    <col min="11" max="11" width="11.5703125" customWidth="1"/>
    <col min="12" max="12" width="10.5703125" customWidth="1"/>
    <col min="13" max="13" width="57" customWidth="1"/>
    <col min="15" max="20" width="0" hidden="1" customWidth="1"/>
  </cols>
  <sheetData>
    <row r="1" spans="1:20">
      <c r="G1" t="s">
        <v>34</v>
      </c>
      <c r="K1" s="44">
        <f>63.77*365*3</f>
        <v>69828.150000000009</v>
      </c>
    </row>
    <row r="2" spans="1:20" s="1" customFormat="1" ht="15.95" customHeight="1">
      <c r="E2" s="43"/>
    </row>
    <row r="3" spans="1:20" s="2" customFormat="1" ht="34.35" customHeight="1">
      <c r="B3" s="3" t="s">
        <v>0</v>
      </c>
      <c r="C3" s="4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4" t="s">
        <v>10</v>
      </c>
      <c r="M3" s="6" t="s">
        <v>11</v>
      </c>
      <c r="O3" s="2" t="s">
        <v>12</v>
      </c>
      <c r="P3" s="2" t="s">
        <v>13</v>
      </c>
      <c r="Q3" s="2" t="s">
        <v>14</v>
      </c>
      <c r="R3" s="2" t="s">
        <v>15</v>
      </c>
    </row>
    <row r="4" spans="1:20" s="2" customFormat="1" ht="32.1" customHeight="1">
      <c r="A4" s="2">
        <v>1</v>
      </c>
      <c r="B4" s="7" t="s">
        <v>16</v>
      </c>
      <c r="C4" s="8">
        <v>41055</v>
      </c>
      <c r="D4" s="9">
        <v>41708</v>
      </c>
      <c r="E4" s="10">
        <f t="shared" ref="E4:E22" si="0">(D4-C4)/30</f>
        <v>21.766666666666666</v>
      </c>
      <c r="F4" s="10">
        <f t="shared" ref="F4:F22" si="1">0.2/12</f>
        <v>1.6666666666666666E-2</v>
      </c>
      <c r="G4" s="11">
        <v>633900</v>
      </c>
      <c r="H4" s="12">
        <f t="shared" ref="H4:H22" si="2">G4-(G4*F4*E4)</f>
        <v>403935.16666666669</v>
      </c>
      <c r="I4" s="11">
        <v>425000</v>
      </c>
      <c r="J4" s="13">
        <f t="shared" ref="J4:J22" si="3">I4-H4</f>
        <v>21064.833333333314</v>
      </c>
      <c r="K4" s="14">
        <f t="shared" ref="K4:K22" si="4">J4*0.2</f>
        <v>4212.9666666666626</v>
      </c>
      <c r="L4" s="15" t="s">
        <v>17</v>
      </c>
      <c r="M4" s="16" t="s">
        <v>18</v>
      </c>
      <c r="R4" s="2">
        <v>57</v>
      </c>
      <c r="S4" s="2">
        <f>R4*365</f>
        <v>20805</v>
      </c>
      <c r="T4" s="2">
        <f>S4*3</f>
        <v>62415</v>
      </c>
    </row>
    <row r="5" spans="1:20" s="2" customFormat="1" ht="32.1" customHeight="1">
      <c r="A5" s="2">
        <v>2</v>
      </c>
      <c r="B5" s="17" t="s">
        <v>19</v>
      </c>
      <c r="C5" s="18">
        <v>40956</v>
      </c>
      <c r="D5" s="19">
        <v>41719</v>
      </c>
      <c r="E5" s="20">
        <f t="shared" si="0"/>
        <v>25.433333333333334</v>
      </c>
      <c r="F5" s="20">
        <f t="shared" si="1"/>
        <v>1.6666666666666666E-2</v>
      </c>
      <c r="G5" s="21">
        <v>380200</v>
      </c>
      <c r="H5" s="22">
        <f t="shared" si="2"/>
        <v>219037.44444444444</v>
      </c>
      <c r="I5" s="21">
        <v>265000</v>
      </c>
      <c r="J5" s="23">
        <f t="shared" si="3"/>
        <v>45962.555555555562</v>
      </c>
      <c r="K5" s="24">
        <f t="shared" si="4"/>
        <v>9192.5111111111128</v>
      </c>
      <c r="L5" s="25" t="s">
        <v>20</v>
      </c>
      <c r="M5" s="26" t="s">
        <v>18</v>
      </c>
    </row>
    <row r="6" spans="1:20" s="2" customFormat="1" ht="18.600000000000001" customHeight="1">
      <c r="A6" s="2">
        <v>3</v>
      </c>
      <c r="B6" s="17" t="s">
        <v>21</v>
      </c>
      <c r="C6" s="18">
        <v>40179</v>
      </c>
      <c r="D6" s="27">
        <v>41710</v>
      </c>
      <c r="E6" s="20">
        <f t="shared" si="0"/>
        <v>51.033333333333331</v>
      </c>
      <c r="F6" s="20">
        <f t="shared" si="1"/>
        <v>1.6666666666666666E-2</v>
      </c>
      <c r="G6" s="21">
        <v>421500</v>
      </c>
      <c r="H6" s="22">
        <f t="shared" si="2"/>
        <v>62990.833333333372</v>
      </c>
      <c r="I6" s="21">
        <v>240000</v>
      </c>
      <c r="J6" s="23">
        <f t="shared" si="3"/>
        <v>177009.16666666663</v>
      </c>
      <c r="K6" s="24">
        <f t="shared" si="4"/>
        <v>35401.833333333328</v>
      </c>
      <c r="L6" s="25" t="s">
        <v>22</v>
      </c>
      <c r="M6" s="28"/>
    </row>
    <row r="7" spans="1:20" s="2" customFormat="1" ht="38.1" customHeight="1">
      <c r="A7" s="2">
        <v>4</v>
      </c>
      <c r="B7" s="17" t="s">
        <v>23</v>
      </c>
      <c r="C7" s="18">
        <v>39811</v>
      </c>
      <c r="D7" s="27">
        <v>41717</v>
      </c>
      <c r="E7" s="20">
        <f t="shared" si="0"/>
        <v>63.533333333333331</v>
      </c>
      <c r="F7" s="20">
        <f t="shared" si="1"/>
        <v>1.6666666666666666E-2</v>
      </c>
      <c r="G7" s="21">
        <v>478500</v>
      </c>
      <c r="H7" s="22">
        <f t="shared" si="2"/>
        <v>-28178.333333333314</v>
      </c>
      <c r="I7" s="21">
        <v>237000</v>
      </c>
      <c r="J7" s="23">
        <f t="shared" si="3"/>
        <v>265178.33333333331</v>
      </c>
      <c r="K7" s="24">
        <f t="shared" si="4"/>
        <v>53035.666666666664</v>
      </c>
      <c r="L7" s="25" t="s">
        <v>24</v>
      </c>
      <c r="M7" s="28" t="s">
        <v>25</v>
      </c>
    </row>
    <row r="8" spans="1:20" s="2" customFormat="1" ht="18.600000000000001" customHeight="1">
      <c r="A8" s="2">
        <v>5</v>
      </c>
      <c r="B8" s="17" t="s">
        <v>26</v>
      </c>
      <c r="C8" s="18">
        <v>40813</v>
      </c>
      <c r="D8" s="27">
        <v>41718</v>
      </c>
      <c r="E8" s="20">
        <f t="shared" si="0"/>
        <v>30.166666666666668</v>
      </c>
      <c r="F8" s="20">
        <f t="shared" si="1"/>
        <v>1.6666666666666666E-2</v>
      </c>
      <c r="G8" s="21">
        <v>508500</v>
      </c>
      <c r="H8" s="22">
        <f t="shared" si="2"/>
        <v>252837.5</v>
      </c>
      <c r="I8" s="21">
        <v>310000</v>
      </c>
      <c r="J8" s="23">
        <f t="shared" si="3"/>
        <v>57162.5</v>
      </c>
      <c r="K8" s="24">
        <f t="shared" si="4"/>
        <v>11432.5</v>
      </c>
      <c r="L8" s="25" t="s">
        <v>27</v>
      </c>
      <c r="M8" s="28"/>
      <c r="O8" s="2">
        <v>306</v>
      </c>
      <c r="P8" s="2">
        <v>346</v>
      </c>
      <c r="Q8" s="2">
        <f t="shared" ref="Q8:Q13" si="5">(P8+O8)/2</f>
        <v>326</v>
      </c>
    </row>
    <row r="9" spans="1:20" s="2" customFormat="1" ht="18.600000000000001" customHeight="1">
      <c r="A9" s="2">
        <v>6</v>
      </c>
      <c r="B9" s="17" t="s">
        <v>28</v>
      </c>
      <c r="C9" s="18">
        <v>40870</v>
      </c>
      <c r="D9" s="27">
        <v>41721</v>
      </c>
      <c r="E9" s="20">
        <f t="shared" si="0"/>
        <v>28.366666666666667</v>
      </c>
      <c r="F9" s="20">
        <f t="shared" si="1"/>
        <v>1.6666666666666666E-2</v>
      </c>
      <c r="G9" s="21">
        <v>639100</v>
      </c>
      <c r="H9" s="22">
        <f t="shared" si="2"/>
        <v>336947.72222222225</v>
      </c>
      <c r="I9" s="21">
        <v>435000</v>
      </c>
      <c r="J9" s="23">
        <f t="shared" si="3"/>
        <v>98052.277777777752</v>
      </c>
      <c r="K9" s="24">
        <f t="shared" si="4"/>
        <v>19610.455555555553</v>
      </c>
      <c r="L9" s="25" t="s">
        <v>27</v>
      </c>
      <c r="M9" s="26"/>
      <c r="O9" s="2">
        <v>408</v>
      </c>
      <c r="P9" s="2">
        <v>462</v>
      </c>
      <c r="Q9" s="2">
        <f t="shared" si="5"/>
        <v>435</v>
      </c>
    </row>
    <row r="10" spans="1:20" s="2" customFormat="1" ht="27.6" customHeight="1">
      <c r="A10" s="2">
        <v>7</v>
      </c>
      <c r="B10" s="17" t="s">
        <v>29</v>
      </c>
      <c r="C10" s="18">
        <v>40966</v>
      </c>
      <c r="D10" s="27">
        <v>41725</v>
      </c>
      <c r="E10" s="20">
        <f t="shared" si="0"/>
        <v>25.3</v>
      </c>
      <c r="F10" s="20">
        <f t="shared" si="1"/>
        <v>1.6666666666666666E-2</v>
      </c>
      <c r="G10" s="21">
        <v>623200</v>
      </c>
      <c r="H10" s="22">
        <f t="shared" si="2"/>
        <v>360417.33333333331</v>
      </c>
      <c r="I10" s="21">
        <v>340000</v>
      </c>
      <c r="J10" s="23">
        <f t="shared" si="3"/>
        <v>-20417.333333333314</v>
      </c>
      <c r="K10" s="24">
        <f t="shared" si="4"/>
        <v>-4083.4666666666631</v>
      </c>
      <c r="L10" s="25" t="s">
        <v>30</v>
      </c>
      <c r="M10" s="26" t="s">
        <v>31</v>
      </c>
      <c r="Q10" s="2">
        <f t="shared" si="5"/>
        <v>0</v>
      </c>
    </row>
    <row r="11" spans="1:20" s="2" customFormat="1" ht="18.600000000000001" customHeight="1">
      <c r="A11" s="2">
        <v>8</v>
      </c>
      <c r="B11" s="17" t="s">
        <v>32</v>
      </c>
      <c r="C11" s="18">
        <v>41172</v>
      </c>
      <c r="D11" s="27">
        <v>41725</v>
      </c>
      <c r="E11" s="20">
        <f t="shared" si="0"/>
        <v>18.433333333333334</v>
      </c>
      <c r="F11" s="20">
        <f t="shared" si="1"/>
        <v>1.6666666666666666E-2</v>
      </c>
      <c r="G11" s="21">
        <v>425100</v>
      </c>
      <c r="H11" s="22">
        <f t="shared" si="2"/>
        <v>294499.83333333331</v>
      </c>
      <c r="I11" s="21">
        <v>325000</v>
      </c>
      <c r="J11" s="23">
        <f t="shared" si="3"/>
        <v>30500.166666666686</v>
      </c>
      <c r="K11" s="24">
        <f t="shared" si="4"/>
        <v>6100.0333333333374</v>
      </c>
      <c r="L11" s="25" t="s">
        <v>22</v>
      </c>
      <c r="M11" s="26"/>
      <c r="Q11" s="2">
        <f t="shared" si="5"/>
        <v>0</v>
      </c>
    </row>
    <row r="12" spans="1:20" s="2" customFormat="1" ht="18.600000000000001" customHeight="1">
      <c r="A12" s="2">
        <v>9</v>
      </c>
      <c r="B12" s="17" t="s">
        <v>33</v>
      </c>
      <c r="C12" s="18">
        <v>41221</v>
      </c>
      <c r="D12" s="27">
        <v>41729</v>
      </c>
      <c r="E12" s="20">
        <f t="shared" si="0"/>
        <v>16.933333333333334</v>
      </c>
      <c r="F12" s="20">
        <f t="shared" si="1"/>
        <v>1.6666666666666666E-2</v>
      </c>
      <c r="G12" s="21">
        <v>390800</v>
      </c>
      <c r="H12" s="22">
        <f t="shared" si="2"/>
        <v>280507.55555555556</v>
      </c>
      <c r="I12" s="21">
        <v>300000</v>
      </c>
      <c r="J12" s="23">
        <f t="shared" si="3"/>
        <v>19492.444444444438</v>
      </c>
      <c r="K12" s="24">
        <f t="shared" si="4"/>
        <v>3898.4888888888877</v>
      </c>
      <c r="L12" s="25" t="s">
        <v>20</v>
      </c>
      <c r="M12" s="26"/>
      <c r="Q12" s="2">
        <f t="shared" si="5"/>
        <v>0</v>
      </c>
    </row>
    <row r="13" spans="1:20" s="2" customFormat="1" ht="18.600000000000001" customHeight="1">
      <c r="A13" s="2">
        <v>10</v>
      </c>
      <c r="B13" s="17"/>
      <c r="C13" s="18">
        <v>40863</v>
      </c>
      <c r="D13" s="27">
        <v>41729</v>
      </c>
      <c r="E13" s="20">
        <f t="shared" si="0"/>
        <v>28.866666666666667</v>
      </c>
      <c r="F13" s="20">
        <f t="shared" si="1"/>
        <v>1.6666666666666666E-2</v>
      </c>
      <c r="G13" s="21">
        <v>360000</v>
      </c>
      <c r="H13" s="22">
        <f t="shared" si="2"/>
        <v>186800</v>
      </c>
      <c r="I13" s="21">
        <v>240000</v>
      </c>
      <c r="J13" s="23">
        <f t="shared" si="3"/>
        <v>53200</v>
      </c>
      <c r="K13" s="24">
        <f t="shared" si="4"/>
        <v>10640</v>
      </c>
      <c r="L13" s="25"/>
      <c r="M13" s="26"/>
      <c r="O13" s="2">
        <v>228</v>
      </c>
      <c r="P13" s="2">
        <v>259</v>
      </c>
      <c r="Q13" s="2">
        <f t="shared" si="5"/>
        <v>243.5</v>
      </c>
    </row>
    <row r="14" spans="1:20" s="2" customFormat="1" ht="18.600000000000001" customHeight="1">
      <c r="A14" s="2">
        <v>11</v>
      </c>
      <c r="B14" s="17"/>
      <c r="C14" s="29"/>
      <c r="D14" s="30"/>
      <c r="E14" s="20">
        <f t="shared" si="0"/>
        <v>0</v>
      </c>
      <c r="F14" s="20">
        <f t="shared" si="1"/>
        <v>1.6666666666666666E-2</v>
      </c>
      <c r="G14" s="21"/>
      <c r="H14" s="22">
        <f t="shared" si="2"/>
        <v>0</v>
      </c>
      <c r="I14" s="21"/>
      <c r="J14" s="23">
        <f t="shared" si="3"/>
        <v>0</v>
      </c>
      <c r="K14" s="24">
        <f t="shared" si="4"/>
        <v>0</v>
      </c>
      <c r="L14" s="25"/>
      <c r="M14" s="26"/>
    </row>
    <row r="15" spans="1:20" s="2" customFormat="1" ht="18.600000000000001" customHeight="1">
      <c r="A15" s="2">
        <v>12</v>
      </c>
      <c r="B15" s="17"/>
      <c r="C15" s="29"/>
      <c r="D15" s="30"/>
      <c r="E15" s="20">
        <f t="shared" si="0"/>
        <v>0</v>
      </c>
      <c r="F15" s="20">
        <f t="shared" si="1"/>
        <v>1.6666666666666666E-2</v>
      </c>
      <c r="G15" s="21"/>
      <c r="H15" s="22">
        <f t="shared" si="2"/>
        <v>0</v>
      </c>
      <c r="I15" s="21"/>
      <c r="J15" s="23">
        <f t="shared" si="3"/>
        <v>0</v>
      </c>
      <c r="K15" s="24">
        <f t="shared" si="4"/>
        <v>0</v>
      </c>
      <c r="L15" s="25"/>
      <c r="M15" s="26"/>
    </row>
    <row r="16" spans="1:20" s="2" customFormat="1" ht="18.600000000000001" customHeight="1">
      <c r="A16" s="2">
        <v>13</v>
      </c>
      <c r="B16" s="17"/>
      <c r="C16" s="29"/>
      <c r="D16" s="30"/>
      <c r="E16" s="20">
        <f t="shared" si="0"/>
        <v>0</v>
      </c>
      <c r="F16" s="20">
        <f t="shared" si="1"/>
        <v>1.6666666666666666E-2</v>
      </c>
      <c r="G16" s="21"/>
      <c r="H16" s="22">
        <f t="shared" si="2"/>
        <v>0</v>
      </c>
      <c r="I16" s="21"/>
      <c r="J16" s="23">
        <f t="shared" si="3"/>
        <v>0</v>
      </c>
      <c r="K16" s="24">
        <f t="shared" si="4"/>
        <v>0</v>
      </c>
      <c r="L16" s="25"/>
      <c r="M16" s="26"/>
    </row>
    <row r="17" spans="1:13" s="2" customFormat="1" ht="18.600000000000001" customHeight="1">
      <c r="A17" s="2">
        <v>14</v>
      </c>
      <c r="B17" s="17"/>
      <c r="C17" s="29"/>
      <c r="D17" s="30"/>
      <c r="E17" s="20">
        <f t="shared" si="0"/>
        <v>0</v>
      </c>
      <c r="F17" s="20">
        <f t="shared" si="1"/>
        <v>1.6666666666666666E-2</v>
      </c>
      <c r="G17" s="21"/>
      <c r="H17" s="22">
        <f t="shared" si="2"/>
        <v>0</v>
      </c>
      <c r="I17" s="21"/>
      <c r="J17" s="23">
        <f t="shared" si="3"/>
        <v>0</v>
      </c>
      <c r="K17" s="24">
        <f t="shared" si="4"/>
        <v>0</v>
      </c>
      <c r="L17" s="25"/>
      <c r="M17" s="26"/>
    </row>
    <row r="18" spans="1:13" s="2" customFormat="1" ht="18.600000000000001" customHeight="1">
      <c r="A18" s="2">
        <v>15</v>
      </c>
      <c r="B18" s="17"/>
      <c r="C18" s="29"/>
      <c r="D18" s="30"/>
      <c r="E18" s="20">
        <f t="shared" si="0"/>
        <v>0</v>
      </c>
      <c r="F18" s="20">
        <f t="shared" si="1"/>
        <v>1.6666666666666666E-2</v>
      </c>
      <c r="G18" s="21"/>
      <c r="H18" s="22">
        <f t="shared" si="2"/>
        <v>0</v>
      </c>
      <c r="I18" s="21"/>
      <c r="J18" s="23">
        <f t="shared" si="3"/>
        <v>0</v>
      </c>
      <c r="K18" s="24">
        <f t="shared" si="4"/>
        <v>0</v>
      </c>
      <c r="L18" s="25"/>
      <c r="M18" s="26"/>
    </row>
    <row r="19" spans="1:13" s="2" customFormat="1" ht="18.600000000000001" customHeight="1">
      <c r="A19" s="2">
        <v>16</v>
      </c>
      <c r="B19" s="17"/>
      <c r="C19" s="29"/>
      <c r="D19" s="30"/>
      <c r="E19" s="20">
        <f t="shared" si="0"/>
        <v>0</v>
      </c>
      <c r="F19" s="20">
        <f t="shared" si="1"/>
        <v>1.6666666666666666E-2</v>
      </c>
      <c r="G19" s="21"/>
      <c r="H19" s="22">
        <f t="shared" si="2"/>
        <v>0</v>
      </c>
      <c r="I19" s="21"/>
      <c r="J19" s="23">
        <f t="shared" si="3"/>
        <v>0</v>
      </c>
      <c r="K19" s="24">
        <f t="shared" si="4"/>
        <v>0</v>
      </c>
      <c r="L19" s="25"/>
      <c r="M19" s="26"/>
    </row>
    <row r="20" spans="1:13" s="2" customFormat="1" ht="18.600000000000001" customHeight="1">
      <c r="A20" s="2">
        <v>17</v>
      </c>
      <c r="B20" s="17"/>
      <c r="C20" s="29"/>
      <c r="D20" s="30"/>
      <c r="E20" s="20">
        <f t="shared" si="0"/>
        <v>0</v>
      </c>
      <c r="F20" s="20">
        <f t="shared" si="1"/>
        <v>1.6666666666666666E-2</v>
      </c>
      <c r="G20" s="21"/>
      <c r="H20" s="22">
        <f t="shared" si="2"/>
        <v>0</v>
      </c>
      <c r="I20" s="21"/>
      <c r="J20" s="23">
        <f t="shared" si="3"/>
        <v>0</v>
      </c>
      <c r="K20" s="24">
        <f t="shared" si="4"/>
        <v>0</v>
      </c>
      <c r="L20" s="25"/>
      <c r="M20" s="26"/>
    </row>
    <row r="21" spans="1:13" s="2" customFormat="1" ht="18.600000000000001" customHeight="1">
      <c r="A21" s="2">
        <v>18</v>
      </c>
      <c r="B21" s="17"/>
      <c r="C21" s="29"/>
      <c r="D21" s="30"/>
      <c r="E21" s="20">
        <f t="shared" si="0"/>
        <v>0</v>
      </c>
      <c r="F21" s="20">
        <f t="shared" si="1"/>
        <v>1.6666666666666666E-2</v>
      </c>
      <c r="G21" s="21"/>
      <c r="H21" s="22">
        <f t="shared" si="2"/>
        <v>0</v>
      </c>
      <c r="I21" s="21"/>
      <c r="J21" s="23">
        <f t="shared" si="3"/>
        <v>0</v>
      </c>
      <c r="K21" s="24">
        <f t="shared" si="4"/>
        <v>0</v>
      </c>
      <c r="L21" s="25"/>
      <c r="M21" s="26"/>
    </row>
    <row r="22" spans="1:13" s="2" customFormat="1" ht="18.600000000000001" customHeight="1">
      <c r="A22" s="2">
        <v>19</v>
      </c>
      <c r="B22" s="31"/>
      <c r="C22" s="32"/>
      <c r="D22" s="33"/>
      <c r="E22" s="34">
        <f t="shared" si="0"/>
        <v>0</v>
      </c>
      <c r="F22" s="34">
        <f t="shared" si="1"/>
        <v>1.6666666666666666E-2</v>
      </c>
      <c r="G22" s="35"/>
      <c r="H22" s="36">
        <f t="shared" si="2"/>
        <v>0</v>
      </c>
      <c r="I22" s="35"/>
      <c r="J22" s="37">
        <f t="shared" si="3"/>
        <v>0</v>
      </c>
      <c r="K22" s="38">
        <f t="shared" si="4"/>
        <v>0</v>
      </c>
      <c r="L22" s="39"/>
      <c r="M22" s="40"/>
    </row>
    <row r="23" spans="1:13" s="2" customFormat="1" ht="15.95" customHeight="1">
      <c r="J23" s="41"/>
      <c r="K23" s="41"/>
    </row>
    <row r="24" spans="1:13" s="2" customFormat="1" ht="15.95" customHeight="1">
      <c r="J24" s="41"/>
      <c r="K24" s="41"/>
    </row>
    <row r="25" spans="1:13" s="1" customFormat="1" ht="15.95" customHeight="1">
      <c r="J25" s="42"/>
      <c r="K25" s="42"/>
    </row>
    <row r="26" spans="1:13" s="1" customFormat="1" ht="15.95" customHeight="1">
      <c r="J26" s="42"/>
      <c r="K26" s="42"/>
    </row>
    <row r="27" spans="1:13" s="1" customFormat="1" ht="15.95" customHeight="1">
      <c r="J27" s="42"/>
      <c r="K27" s="42"/>
    </row>
    <row r="28" spans="1:13" s="1" customFormat="1" ht="15.95" customHeight="1">
      <c r="J28" s="42"/>
      <c r="K28" s="42"/>
    </row>
    <row r="29" spans="1:13" s="1" customFormat="1" ht="15.95" customHeight="1">
      <c r="J29" s="42"/>
      <c r="K29" s="42"/>
    </row>
    <row r="30" spans="1:13" s="1" customFormat="1" ht="15.95" customHeight="1">
      <c r="J30" s="42"/>
      <c r="K30" s="42"/>
    </row>
    <row r="31" spans="1:13" s="1" customFormat="1" ht="15.95" customHeight="1">
      <c r="J31" s="42"/>
      <c r="K31" s="42"/>
    </row>
    <row r="32" spans="1:13" s="1" customFormat="1" ht="15.95" customHeight="1"/>
    <row r="33" s="1" customFormat="1" ht="15.95" customHeight="1"/>
  </sheetData>
  <phoneticPr fontId="0" type="noConversion"/>
  <pageMargins left="0.29652777777777778" right="0.26458333333333334" top="0.31388888888888888" bottom="0.98402777777777772" header="0.51180555555555551" footer="0.51180555555555551"/>
  <pageSetup scale="68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6"/>
  <sheetViews>
    <sheetView tabSelected="1" zoomScale="85" workbookViewId="0">
      <pane ySplit="4" topLeftCell="A5" activePane="bottomLeft" state="frozenSplit"/>
      <selection pane="bottomLeft" activeCell="B4" sqref="B4"/>
    </sheetView>
  </sheetViews>
  <sheetFormatPr baseColWidth="10" defaultRowHeight="12.75" outlineLevelCol="1"/>
  <cols>
    <col min="1" max="1" width="4.140625" customWidth="1"/>
    <col min="2" max="2" width="12.42578125" bestFit="1" customWidth="1"/>
    <col min="3" max="3" width="10.85546875" bestFit="1" customWidth="1"/>
    <col min="5" max="5" width="8.5703125" bestFit="1" customWidth="1"/>
    <col min="6" max="6" width="13.140625" bestFit="1" customWidth="1"/>
    <col min="7" max="7" width="12.5703125" customWidth="1"/>
    <col min="8" max="8" width="14.140625" bestFit="1" customWidth="1"/>
    <col min="9" max="9" width="9.140625" customWidth="1" outlineLevel="1"/>
    <col min="10" max="10" width="14.140625" bestFit="1" customWidth="1"/>
    <col min="11" max="11" width="11.7109375" customWidth="1"/>
    <col min="12" max="12" width="14.140625" bestFit="1" customWidth="1"/>
    <col min="13" max="13" width="11.28515625" customWidth="1"/>
    <col min="14" max="14" width="20.140625" customWidth="1"/>
    <col min="15" max="15" width="13.140625" bestFit="1" customWidth="1"/>
    <col min="16" max="16" width="10.5703125" customWidth="1"/>
    <col min="17" max="17" width="57" customWidth="1"/>
    <col min="19" max="24" width="0" hidden="1" customWidth="1"/>
  </cols>
  <sheetData>
    <row r="1" spans="1:24">
      <c r="B1" s="132" t="s">
        <v>57</v>
      </c>
      <c r="M1" s="44">
        <f>63.77*365*3</f>
        <v>69828.150000000009</v>
      </c>
      <c r="N1" t="s">
        <v>34</v>
      </c>
    </row>
    <row r="2" spans="1:24" s="1" customFormat="1" ht="15.95" customHeight="1">
      <c r="B2" s="133" t="s">
        <v>55</v>
      </c>
      <c r="E2" s="43"/>
      <c r="I2" s="167" t="s">
        <v>59</v>
      </c>
      <c r="J2" s="167"/>
    </row>
    <row r="3" spans="1:24" s="1" customFormat="1" ht="15.95" customHeight="1" thickBot="1">
      <c r="E3" s="43"/>
      <c r="I3" s="1" t="s">
        <v>60</v>
      </c>
    </row>
    <row r="4" spans="1:24" s="69" customFormat="1" ht="39.75" customHeight="1">
      <c r="B4" s="168" t="s">
        <v>0</v>
      </c>
      <c r="C4" s="126" t="s">
        <v>1</v>
      </c>
      <c r="D4" s="128" t="s">
        <v>2</v>
      </c>
      <c r="E4" s="127" t="s">
        <v>3</v>
      </c>
      <c r="F4" s="127" t="s">
        <v>4</v>
      </c>
      <c r="G4" s="128" t="s">
        <v>5</v>
      </c>
      <c r="H4" s="127" t="s">
        <v>49</v>
      </c>
      <c r="I4" s="128" t="s">
        <v>58</v>
      </c>
      <c r="J4" s="127" t="s">
        <v>51</v>
      </c>
      <c r="K4" s="128" t="s">
        <v>56</v>
      </c>
      <c r="L4" s="127" t="s">
        <v>50</v>
      </c>
      <c r="M4" s="129" t="s">
        <v>52</v>
      </c>
      <c r="N4" s="130" t="s">
        <v>53</v>
      </c>
      <c r="O4" s="131" t="s">
        <v>54</v>
      </c>
      <c r="P4" s="70" t="s">
        <v>10</v>
      </c>
      <c r="Q4" s="71" t="s">
        <v>11</v>
      </c>
      <c r="S4" s="69" t="s">
        <v>12</v>
      </c>
      <c r="T4" s="69" t="s">
        <v>13</v>
      </c>
      <c r="U4" s="69" t="s">
        <v>14</v>
      </c>
      <c r="V4" s="69" t="s">
        <v>15</v>
      </c>
    </row>
    <row r="5" spans="1:24" s="68" customFormat="1">
      <c r="A5" s="68">
        <v>1</v>
      </c>
      <c r="B5" s="55" t="s">
        <v>61</v>
      </c>
      <c r="C5" s="164">
        <v>41935</v>
      </c>
      <c r="D5" s="73">
        <v>42373</v>
      </c>
      <c r="E5" s="74">
        <f>(D5-C5)/30</f>
        <v>14.6</v>
      </c>
      <c r="F5" s="75">
        <f>0.2/12</f>
        <v>1.6666666666666666E-2</v>
      </c>
      <c r="G5" s="76">
        <v>317000</v>
      </c>
      <c r="H5" s="77">
        <f t="shared" ref="H5:H12" si="0">G5-(G5*F5*E5)</f>
        <v>239863.33333333334</v>
      </c>
      <c r="I5" s="78">
        <f ca="1">INDICES!C49/INDICES!L47</f>
        <v>1.0385357295603521</v>
      </c>
      <c r="J5" s="77">
        <f>+H5*I5</f>
        <v>249106.64187811126</v>
      </c>
      <c r="K5" s="107">
        <v>248000</v>
      </c>
      <c r="L5" s="77">
        <f>+K5-J5</f>
        <v>-1106.6418781112588</v>
      </c>
      <c r="M5" s="77">
        <f>+M1</f>
        <v>69828.150000000009</v>
      </c>
      <c r="N5" s="77">
        <f>+L5-M5</f>
        <v>-70934.791878111268</v>
      </c>
      <c r="O5" s="77">
        <f>IF(N5&gt;1,N5*0.2,0)</f>
        <v>0</v>
      </c>
      <c r="P5" s="79"/>
      <c r="Q5" s="81"/>
      <c r="V5" s="68">
        <v>57</v>
      </c>
      <c r="W5" s="68">
        <f>V5*365</f>
        <v>20805</v>
      </c>
      <c r="X5" s="68">
        <f>W5*3</f>
        <v>62415</v>
      </c>
    </row>
    <row r="6" spans="1:24" s="2" customFormat="1">
      <c r="A6" s="2">
        <v>2</v>
      </c>
      <c r="B6" s="55" t="s">
        <v>62</v>
      </c>
      <c r="C6" s="164">
        <v>41683</v>
      </c>
      <c r="D6" s="73">
        <v>42397</v>
      </c>
      <c r="E6" s="74">
        <f t="shared" ref="E6:E12" si="1">(D6-C6)/30</f>
        <v>23.8</v>
      </c>
      <c r="F6" s="75">
        <f t="shared" ref="F6:F14" si="2">0.2/12</f>
        <v>1.6666666666666666E-2</v>
      </c>
      <c r="G6" s="76">
        <v>399700</v>
      </c>
      <c r="H6" s="77">
        <f t="shared" si="0"/>
        <v>241152.33333333331</v>
      </c>
      <c r="I6" s="78">
        <f ca="1">INDICES!C49/INDICES!D47</f>
        <v>1.0549162159765935</v>
      </c>
      <c r="J6" s="77">
        <f t="shared" ref="J6:J12" si="3">+H6*I6</f>
        <v>254395.50695392612</v>
      </c>
      <c r="K6" s="107">
        <v>315000</v>
      </c>
      <c r="L6" s="77">
        <f t="shared" ref="L6:L14" si="4">+K6-J6</f>
        <v>60604.493046073883</v>
      </c>
      <c r="M6" s="77">
        <f>+$M$1</f>
        <v>69828.150000000009</v>
      </c>
      <c r="N6" s="77">
        <f t="shared" ref="N6:N12" si="5">+L6-M6</f>
        <v>-9223.6569539261254</v>
      </c>
      <c r="O6" s="77">
        <f t="shared" ref="O6:O12" si="6">IF(N6&gt;1,N6*0.2,0)</f>
        <v>0</v>
      </c>
      <c r="P6" s="79"/>
      <c r="Q6" s="81"/>
    </row>
    <row r="7" spans="1:24" s="1" customFormat="1" ht="15">
      <c r="A7" s="68">
        <v>3</v>
      </c>
      <c r="B7" s="163" t="s">
        <v>63</v>
      </c>
      <c r="C7" s="165">
        <v>40694</v>
      </c>
      <c r="D7" s="150">
        <v>42404</v>
      </c>
      <c r="E7" s="151">
        <f t="shared" si="1"/>
        <v>57</v>
      </c>
      <c r="F7" s="152">
        <f t="shared" si="2"/>
        <v>1.6666666666666666E-2</v>
      </c>
      <c r="G7" s="153">
        <v>259000</v>
      </c>
      <c r="H7" s="154">
        <f t="shared" si="0"/>
        <v>12949.999999999971</v>
      </c>
      <c r="I7" s="155">
        <f ca="1">INDICES!D49/INDICES!G44</f>
        <v>1.194500529756312</v>
      </c>
      <c r="J7" s="154">
        <f t="shared" si="3"/>
        <v>15468.781860344207</v>
      </c>
      <c r="K7" s="156">
        <v>23200</v>
      </c>
      <c r="L7" s="154">
        <f t="shared" si="4"/>
        <v>7731.2181396557935</v>
      </c>
      <c r="M7" s="154">
        <f t="shared" ref="M7:M14" si="7">+$M$1</f>
        <v>69828.150000000009</v>
      </c>
      <c r="N7" s="154">
        <f t="shared" si="5"/>
        <v>-62096.931860344215</v>
      </c>
      <c r="O7" s="154">
        <f t="shared" si="6"/>
        <v>0</v>
      </c>
      <c r="P7" s="157"/>
      <c r="Q7" s="157"/>
    </row>
    <row r="8" spans="1:24" s="1" customFormat="1" ht="15">
      <c r="A8" s="2">
        <v>4</v>
      </c>
      <c r="B8" s="163" t="s">
        <v>64</v>
      </c>
      <c r="C8" s="166">
        <v>41935</v>
      </c>
      <c r="D8" s="140">
        <v>42465</v>
      </c>
      <c r="E8" s="159">
        <f t="shared" si="1"/>
        <v>17.666666666666668</v>
      </c>
      <c r="F8" s="141">
        <f t="shared" si="2"/>
        <v>1.6666666666666666E-2</v>
      </c>
      <c r="G8" s="160">
        <v>317000</v>
      </c>
      <c r="H8" s="138">
        <f t="shared" si="0"/>
        <v>223661.11111111112</v>
      </c>
      <c r="I8" s="161">
        <f ca="1">INDICES!F49/INDICES!L47</f>
        <v>1.0413113494924455</v>
      </c>
      <c r="J8" s="138">
        <f t="shared" si="3"/>
        <v>232900.85344009093</v>
      </c>
      <c r="K8" s="107">
        <v>278400</v>
      </c>
      <c r="L8" s="138">
        <f t="shared" si="4"/>
        <v>45499.146559909073</v>
      </c>
      <c r="M8" s="138">
        <f t="shared" si="7"/>
        <v>69828.150000000009</v>
      </c>
      <c r="N8" s="138">
        <f t="shared" si="5"/>
        <v>-24329.003440090935</v>
      </c>
      <c r="O8" s="138">
        <f t="shared" si="6"/>
        <v>0</v>
      </c>
      <c r="P8" s="162"/>
      <c r="Q8" s="137"/>
    </row>
    <row r="9" spans="1:24" s="1" customFormat="1">
      <c r="A9" s="68">
        <v>5</v>
      </c>
      <c r="B9" s="55" t="s">
        <v>65</v>
      </c>
      <c r="C9" s="164">
        <v>41449</v>
      </c>
      <c r="D9" s="73">
        <v>42467</v>
      </c>
      <c r="E9" s="74">
        <f t="shared" si="1"/>
        <v>33.93333333333333</v>
      </c>
      <c r="F9" s="75">
        <f t="shared" si="2"/>
        <v>1.6666666666666666E-2</v>
      </c>
      <c r="G9" s="76">
        <v>446900</v>
      </c>
      <c r="H9" s="77">
        <f t="shared" si="0"/>
        <v>194153.22222222225</v>
      </c>
      <c r="I9" s="78">
        <f ca="1">INDICES!F49/INDICES!H46</f>
        <v>1.0980901099912561</v>
      </c>
      <c r="J9" s="77">
        <f>+H9*I9</f>
        <v>213197.73314515682</v>
      </c>
      <c r="K9" s="107">
        <v>220000</v>
      </c>
      <c r="L9" s="77">
        <f t="shared" si="4"/>
        <v>6802.266854843183</v>
      </c>
      <c r="M9" s="77">
        <f t="shared" si="7"/>
        <v>69828.150000000009</v>
      </c>
      <c r="N9" s="77">
        <f t="shared" si="5"/>
        <v>-63025.883145156826</v>
      </c>
      <c r="O9" s="77">
        <f t="shared" si="6"/>
        <v>0</v>
      </c>
      <c r="P9" s="80"/>
      <c r="Q9" s="81"/>
    </row>
    <row r="10" spans="1:24" s="1" customFormat="1">
      <c r="A10" s="2">
        <v>6</v>
      </c>
      <c r="B10" s="55" t="s">
        <v>66</v>
      </c>
      <c r="C10" s="165">
        <v>40726</v>
      </c>
      <c r="D10" s="150">
        <v>42479</v>
      </c>
      <c r="E10" s="151">
        <f t="shared" si="1"/>
        <v>58.43333333333333</v>
      </c>
      <c r="F10" s="152">
        <f t="shared" si="2"/>
        <v>1.6666666666666666E-2</v>
      </c>
      <c r="G10" s="153">
        <v>349200</v>
      </c>
      <c r="H10" s="154">
        <f t="shared" si="0"/>
        <v>9118</v>
      </c>
      <c r="I10" s="155">
        <f ca="1">INDICES!F49/INDICES!I44</f>
        <v>1.1868365814108495</v>
      </c>
      <c r="J10" s="154">
        <f>+H10*I10</f>
        <v>10821.575949304126</v>
      </c>
      <c r="K10" s="156">
        <v>129000</v>
      </c>
      <c r="L10" s="154">
        <f t="shared" si="4"/>
        <v>118178.42405069587</v>
      </c>
      <c r="M10" s="154">
        <f t="shared" si="7"/>
        <v>69828.150000000009</v>
      </c>
      <c r="N10" s="154">
        <f t="shared" si="5"/>
        <v>48350.274050695865</v>
      </c>
      <c r="O10" s="154">
        <f t="shared" si="6"/>
        <v>9670.0548101391742</v>
      </c>
      <c r="P10" s="157"/>
      <c r="Q10" s="158"/>
    </row>
    <row r="11" spans="1:24" s="1" customFormat="1">
      <c r="A11" s="68">
        <v>7</v>
      </c>
      <c r="B11"/>
      <c r="C11" s="164"/>
      <c r="D11" s="73"/>
      <c r="E11" s="74">
        <f t="shared" si="1"/>
        <v>0</v>
      </c>
      <c r="F11" s="75">
        <f t="shared" si="2"/>
        <v>1.6666666666666666E-2</v>
      </c>
      <c r="G11" s="76"/>
      <c r="H11" s="77">
        <f t="shared" si="0"/>
        <v>0</v>
      </c>
      <c r="I11" s="78"/>
      <c r="J11" s="77">
        <f>+H11*I11</f>
        <v>0</v>
      </c>
      <c r="K11" s="107"/>
      <c r="L11" s="77">
        <f t="shared" si="4"/>
        <v>0</v>
      </c>
      <c r="M11" s="77">
        <f t="shared" si="7"/>
        <v>69828.150000000009</v>
      </c>
      <c r="N11" s="77">
        <f t="shared" si="5"/>
        <v>-69828.150000000009</v>
      </c>
      <c r="O11" s="77">
        <f t="shared" si="6"/>
        <v>0</v>
      </c>
      <c r="P11" s="80"/>
      <c r="Q11" s="81"/>
    </row>
    <row r="12" spans="1:24" s="1" customFormat="1">
      <c r="A12" s="2">
        <v>8</v>
      </c>
      <c r="B12" s="148"/>
      <c r="C12" s="165"/>
      <c r="D12" s="150"/>
      <c r="E12" s="151">
        <f t="shared" si="1"/>
        <v>0</v>
      </c>
      <c r="F12" s="152">
        <f t="shared" si="2"/>
        <v>1.6666666666666666E-2</v>
      </c>
      <c r="G12" s="153"/>
      <c r="H12" s="154">
        <f t="shared" si="0"/>
        <v>0</v>
      </c>
      <c r="I12" s="155"/>
      <c r="J12" s="154">
        <f t="shared" si="3"/>
        <v>0</v>
      </c>
      <c r="K12" s="156"/>
      <c r="L12" s="154">
        <f t="shared" si="4"/>
        <v>0</v>
      </c>
      <c r="M12" s="154">
        <f t="shared" si="7"/>
        <v>69828.150000000009</v>
      </c>
      <c r="N12" s="154">
        <f t="shared" si="5"/>
        <v>-69828.150000000009</v>
      </c>
      <c r="O12" s="154">
        <f t="shared" si="6"/>
        <v>0</v>
      </c>
      <c r="P12" s="157"/>
      <c r="Q12" s="157"/>
    </row>
    <row r="13" spans="1:24" s="1" customFormat="1">
      <c r="A13" s="68">
        <v>9</v>
      </c>
      <c r="B13" s="125"/>
      <c r="C13" s="149"/>
      <c r="D13" s="150"/>
      <c r="E13" s="151">
        <f>(D13-C13)/30</f>
        <v>0</v>
      </c>
      <c r="F13" s="152">
        <f t="shared" si="2"/>
        <v>1.6666666666666666E-2</v>
      </c>
      <c r="G13" s="153"/>
      <c r="H13" s="154">
        <f>G13-(G13*F13*E13)</f>
        <v>0</v>
      </c>
      <c r="I13" s="155"/>
      <c r="J13" s="154">
        <f>+H13*I13</f>
        <v>0</v>
      </c>
      <c r="K13" s="156"/>
      <c r="L13" s="154">
        <f t="shared" si="4"/>
        <v>0</v>
      </c>
      <c r="M13" s="154">
        <f t="shared" si="7"/>
        <v>69828.150000000009</v>
      </c>
      <c r="N13" s="154">
        <f>+L13-M13</f>
        <v>-69828.150000000009</v>
      </c>
      <c r="O13" s="154">
        <f>IF(N13&gt;1,N13*0.2,0)</f>
        <v>0</v>
      </c>
      <c r="P13" s="157"/>
      <c r="Q13" s="157"/>
    </row>
    <row r="14" spans="1:24" s="1" customFormat="1" ht="15">
      <c r="A14" s="2">
        <v>10</v>
      </c>
      <c r="B14" s="82"/>
      <c r="C14" s="72"/>
      <c r="D14" s="73"/>
      <c r="E14" s="74">
        <f>(D14-C14)/30</f>
        <v>0</v>
      </c>
      <c r="F14" s="152">
        <f t="shared" si="2"/>
        <v>1.6666666666666666E-2</v>
      </c>
      <c r="G14" s="153"/>
      <c r="H14" s="154">
        <f>G14-(G14*F14*E14)</f>
        <v>0</v>
      </c>
      <c r="I14" s="155"/>
      <c r="J14" s="154">
        <f>+H14*I14</f>
        <v>0</v>
      </c>
      <c r="K14" s="156"/>
      <c r="L14" s="154">
        <f t="shared" si="4"/>
        <v>0</v>
      </c>
      <c r="M14" s="154">
        <f t="shared" si="7"/>
        <v>69828.150000000009</v>
      </c>
      <c r="N14" s="154">
        <f>+L14-M14</f>
        <v>-69828.150000000009</v>
      </c>
      <c r="O14" s="154">
        <f>IF(N14&gt;1,N14*0.2,0)</f>
        <v>0</v>
      </c>
      <c r="P14" s="157"/>
      <c r="Q14" s="157"/>
    </row>
    <row r="15" spans="1:24" s="1" customFormat="1">
      <c r="A15" s="68">
        <v>11</v>
      </c>
      <c r="B15" s="45"/>
      <c r="C15" s="72"/>
      <c r="D15" s="73"/>
      <c r="E15" s="74"/>
      <c r="F15" s="75"/>
      <c r="G15" s="76"/>
      <c r="H15" s="77"/>
      <c r="I15" s="78"/>
      <c r="J15" s="77"/>
      <c r="K15" s="107"/>
      <c r="L15" s="77"/>
      <c r="M15" s="77"/>
      <c r="N15" s="77"/>
      <c r="O15" s="77"/>
      <c r="P15" s="80"/>
      <c r="Q15" s="81"/>
    </row>
    <row r="16" spans="1:24">
      <c r="A16" s="2">
        <v>12</v>
      </c>
      <c r="B16" s="45"/>
      <c r="C16" s="72"/>
      <c r="D16" s="73"/>
      <c r="E16" s="74"/>
      <c r="F16" s="75"/>
      <c r="G16" s="76"/>
      <c r="H16" s="77"/>
      <c r="I16" s="78"/>
      <c r="J16" s="77"/>
      <c r="K16" s="107"/>
      <c r="L16" s="77"/>
      <c r="M16" s="77"/>
      <c r="N16" s="77"/>
      <c r="O16" s="77"/>
      <c r="P16" s="81"/>
      <c r="Q16" s="81"/>
      <c r="R16" s="1"/>
    </row>
    <row r="17" spans="1:18" ht="13.5" thickBot="1">
      <c r="A17" s="68">
        <v>13</v>
      </c>
      <c r="B17" s="93"/>
      <c r="C17" s="94"/>
      <c r="D17" s="95"/>
      <c r="E17" s="96"/>
      <c r="F17" s="97"/>
      <c r="G17" s="98"/>
      <c r="H17" s="99"/>
      <c r="I17" s="100"/>
      <c r="J17" s="99"/>
      <c r="K17" s="109"/>
      <c r="L17" s="99"/>
      <c r="M17" s="99"/>
      <c r="N17" s="99"/>
      <c r="O17" s="99"/>
      <c r="P17" s="101"/>
      <c r="Q17" s="81"/>
      <c r="R17" s="1"/>
    </row>
    <row r="18" spans="1:18">
      <c r="A18" s="2">
        <v>14</v>
      </c>
      <c r="B18" s="45"/>
      <c r="C18" s="85"/>
      <c r="D18" s="86"/>
      <c r="E18" s="87"/>
      <c r="F18" s="88"/>
      <c r="G18" s="89"/>
      <c r="H18" s="90"/>
      <c r="I18" s="91"/>
      <c r="J18" s="90"/>
      <c r="K18" s="107"/>
      <c r="L18" s="90"/>
      <c r="M18" s="90"/>
      <c r="N18" s="90"/>
      <c r="O18" s="90"/>
      <c r="P18" s="92"/>
      <c r="Q18" s="81"/>
      <c r="R18" s="1"/>
    </row>
    <row r="19" spans="1:18">
      <c r="A19" s="68">
        <v>15</v>
      </c>
      <c r="B19" s="45"/>
      <c r="C19" s="72"/>
      <c r="D19" s="73"/>
      <c r="E19" s="74"/>
      <c r="F19" s="75"/>
      <c r="G19" s="76"/>
      <c r="H19" s="77"/>
      <c r="I19" s="78"/>
      <c r="J19" s="77"/>
      <c r="K19" s="107"/>
      <c r="L19" s="77"/>
      <c r="M19" s="77"/>
      <c r="N19" s="77"/>
      <c r="O19" s="77"/>
      <c r="P19" s="81"/>
      <c r="Q19" s="80"/>
    </row>
    <row r="20" spans="1:18" ht="15">
      <c r="A20" s="2">
        <v>16</v>
      </c>
      <c r="B20" s="82"/>
      <c r="C20" s="72"/>
      <c r="D20" s="73"/>
      <c r="E20" s="74"/>
      <c r="F20" s="75"/>
      <c r="G20" s="76"/>
      <c r="H20" s="77"/>
      <c r="I20" s="78"/>
      <c r="J20" s="77"/>
      <c r="K20" s="108"/>
      <c r="L20" s="77"/>
      <c r="M20" s="77"/>
      <c r="N20" s="77"/>
      <c r="O20" s="77"/>
      <c r="P20" s="81"/>
      <c r="Q20" s="81"/>
    </row>
    <row r="21" spans="1:18">
      <c r="A21" s="68">
        <v>17</v>
      </c>
      <c r="B21" s="45"/>
      <c r="C21" s="72"/>
      <c r="D21" s="73"/>
      <c r="E21" s="74"/>
      <c r="F21" s="75"/>
      <c r="G21" s="76"/>
      <c r="H21" s="77"/>
      <c r="I21" s="78"/>
      <c r="J21" s="77"/>
      <c r="K21" s="107"/>
      <c r="L21" s="77"/>
      <c r="M21" s="77"/>
      <c r="N21" s="77"/>
      <c r="O21" s="77"/>
      <c r="P21" s="81"/>
      <c r="Q21" s="81"/>
      <c r="R21" s="1"/>
    </row>
    <row r="22" spans="1:18">
      <c r="A22" s="2">
        <v>18</v>
      </c>
      <c r="B22" s="45"/>
      <c r="C22" s="72"/>
      <c r="D22" s="73"/>
      <c r="E22" s="74"/>
      <c r="F22" s="75"/>
      <c r="G22" s="76"/>
      <c r="H22" s="77"/>
      <c r="I22" s="78"/>
      <c r="J22" s="77"/>
      <c r="K22" s="107"/>
      <c r="L22" s="77"/>
      <c r="M22" s="77"/>
      <c r="N22" s="77"/>
      <c r="O22" s="77"/>
      <c r="P22" s="81"/>
      <c r="Q22" s="81"/>
      <c r="R22" s="1"/>
    </row>
    <row r="23" spans="1:18" ht="13.5" thickBot="1">
      <c r="A23" s="68">
        <v>19</v>
      </c>
      <c r="B23" s="93"/>
      <c r="C23" s="94"/>
      <c r="D23" s="95"/>
      <c r="E23" s="96"/>
      <c r="F23" s="97"/>
      <c r="G23" s="98"/>
      <c r="H23" s="99"/>
      <c r="I23" s="100"/>
      <c r="J23" s="99"/>
      <c r="K23" s="109"/>
      <c r="L23" s="99"/>
      <c r="M23" s="99"/>
      <c r="N23" s="99"/>
      <c r="O23" s="99"/>
      <c r="P23" s="101"/>
      <c r="Q23" s="80"/>
    </row>
    <row r="24" spans="1:18">
      <c r="A24" s="2">
        <v>20</v>
      </c>
      <c r="B24" s="45"/>
      <c r="C24" s="85"/>
      <c r="D24" s="86"/>
      <c r="E24" s="87"/>
      <c r="F24" s="88"/>
      <c r="G24" s="89"/>
      <c r="H24" s="90"/>
      <c r="I24" s="91"/>
      <c r="J24" s="90"/>
      <c r="K24" s="107"/>
      <c r="L24" s="90"/>
      <c r="M24" s="90"/>
      <c r="N24" s="90"/>
      <c r="O24" s="90"/>
      <c r="P24" s="92"/>
      <c r="Q24" s="80"/>
    </row>
    <row r="25" spans="1:18">
      <c r="A25" s="68">
        <v>21</v>
      </c>
      <c r="B25" s="45"/>
      <c r="C25" s="72"/>
      <c r="D25" s="73"/>
      <c r="E25" s="74"/>
      <c r="F25" s="75"/>
      <c r="G25" s="76"/>
      <c r="H25" s="77"/>
      <c r="I25" s="78"/>
      <c r="J25" s="77"/>
      <c r="K25" s="107"/>
      <c r="L25" s="77"/>
      <c r="M25" s="77"/>
      <c r="N25" s="77"/>
      <c r="O25" s="77"/>
      <c r="P25" s="81"/>
      <c r="Q25" s="80"/>
    </row>
    <row r="26" spans="1:18">
      <c r="A26" s="2">
        <v>22</v>
      </c>
      <c r="B26" s="45"/>
      <c r="C26" s="72"/>
      <c r="D26" s="73"/>
      <c r="E26" s="74"/>
      <c r="F26" s="75"/>
      <c r="G26" s="76"/>
      <c r="H26" s="77"/>
      <c r="I26" s="78"/>
      <c r="J26" s="77"/>
      <c r="K26" s="107"/>
      <c r="L26" s="77"/>
      <c r="M26" s="77"/>
      <c r="N26" s="77"/>
      <c r="O26" s="77"/>
      <c r="P26" s="81"/>
      <c r="Q26" s="80"/>
    </row>
    <row r="27" spans="1:18">
      <c r="A27" s="68">
        <v>23</v>
      </c>
      <c r="B27" s="45"/>
      <c r="C27" s="72"/>
      <c r="D27" s="73"/>
      <c r="E27" s="74"/>
      <c r="F27" s="75"/>
      <c r="G27" s="76"/>
      <c r="H27" s="77"/>
      <c r="I27" s="78"/>
      <c r="J27" s="77"/>
      <c r="K27" s="107"/>
      <c r="L27" s="77"/>
      <c r="M27" s="77"/>
      <c r="N27" s="77"/>
      <c r="O27" s="77"/>
      <c r="P27" s="81"/>
      <c r="Q27" s="80"/>
    </row>
    <row r="28" spans="1:18">
      <c r="A28" s="2">
        <v>24</v>
      </c>
      <c r="B28" s="45"/>
      <c r="C28" s="72"/>
      <c r="D28" s="73"/>
      <c r="E28" s="74"/>
      <c r="F28" s="75"/>
      <c r="G28" s="76"/>
      <c r="H28" s="77"/>
      <c r="I28" s="78"/>
      <c r="J28" s="77"/>
      <c r="K28" s="107"/>
      <c r="L28" s="77"/>
      <c r="M28" s="77"/>
      <c r="N28" s="77"/>
      <c r="O28" s="77"/>
      <c r="P28" s="81"/>
      <c r="Q28" s="81"/>
    </row>
    <row r="29" spans="1:18">
      <c r="A29" s="68">
        <v>25</v>
      </c>
      <c r="B29" s="84"/>
      <c r="C29" s="72"/>
      <c r="D29" s="73"/>
      <c r="E29" s="74"/>
      <c r="F29" s="75"/>
      <c r="G29" s="76"/>
      <c r="H29" s="77"/>
      <c r="I29" s="78"/>
      <c r="J29" s="77"/>
      <c r="K29" s="110"/>
      <c r="L29" s="77"/>
      <c r="M29" s="77"/>
      <c r="N29" s="77"/>
      <c r="O29" s="77"/>
      <c r="P29" s="81"/>
      <c r="Q29" s="80"/>
    </row>
    <row r="30" spans="1:18" ht="13.5" thickBot="1">
      <c r="A30" s="2">
        <v>26</v>
      </c>
      <c r="B30" s="93"/>
      <c r="C30" s="94"/>
      <c r="D30" s="95"/>
      <c r="E30" s="96"/>
      <c r="F30" s="97"/>
      <c r="G30" s="98"/>
      <c r="H30" s="99"/>
      <c r="I30" s="100"/>
      <c r="J30" s="99"/>
      <c r="K30" s="109"/>
      <c r="L30" s="99"/>
      <c r="M30" s="99"/>
      <c r="N30" s="99"/>
      <c r="O30" s="99"/>
      <c r="P30" s="101"/>
      <c r="Q30" s="80"/>
    </row>
    <row r="31" spans="1:18">
      <c r="A31" s="68">
        <v>27</v>
      </c>
      <c r="B31" s="45"/>
      <c r="C31" s="85"/>
      <c r="D31" s="86"/>
      <c r="E31" s="87"/>
      <c r="F31" s="88"/>
      <c r="G31" s="89"/>
      <c r="H31" s="90"/>
      <c r="I31" s="91"/>
      <c r="J31" s="90"/>
      <c r="K31" s="107"/>
      <c r="L31" s="90"/>
      <c r="M31" s="90"/>
      <c r="N31" s="90"/>
      <c r="O31" s="90"/>
      <c r="P31" s="92"/>
      <c r="Q31" s="81"/>
    </row>
    <row r="32" spans="1:18">
      <c r="A32" s="2">
        <f>A31+1</f>
        <v>28</v>
      </c>
      <c r="B32" s="45"/>
      <c r="C32" s="72"/>
      <c r="D32" s="73"/>
      <c r="E32" s="74"/>
      <c r="F32" s="75"/>
      <c r="G32" s="76"/>
      <c r="H32" s="77"/>
      <c r="I32" s="78"/>
      <c r="J32" s="77"/>
      <c r="K32" s="107"/>
      <c r="L32" s="77"/>
      <c r="M32" s="77"/>
      <c r="N32" s="77"/>
      <c r="O32" s="77"/>
      <c r="P32" s="81"/>
      <c r="Q32" s="80"/>
    </row>
    <row r="33" spans="1:17" ht="15">
      <c r="A33" s="2">
        <f t="shared" ref="A33:A96" si="8">A32+1</f>
        <v>29</v>
      </c>
      <c r="B33" s="82"/>
      <c r="C33" s="72"/>
      <c r="D33" s="73"/>
      <c r="E33" s="74"/>
      <c r="F33" s="75"/>
      <c r="G33" s="76"/>
      <c r="H33" s="77"/>
      <c r="I33" s="78"/>
      <c r="J33" s="77"/>
      <c r="K33" s="108"/>
      <c r="L33" s="77"/>
      <c r="M33" s="77"/>
      <c r="N33" s="77"/>
      <c r="O33" s="77"/>
      <c r="P33" s="81"/>
      <c r="Q33" s="81"/>
    </row>
    <row r="34" spans="1:17">
      <c r="A34" s="2">
        <f t="shared" si="8"/>
        <v>30</v>
      </c>
      <c r="B34" s="45"/>
      <c r="C34" s="72"/>
      <c r="D34" s="73"/>
      <c r="E34" s="74"/>
      <c r="F34" s="75"/>
      <c r="G34" s="76"/>
      <c r="H34" s="77"/>
      <c r="I34" s="78"/>
      <c r="J34" s="77"/>
      <c r="K34" s="107"/>
      <c r="L34" s="77"/>
      <c r="M34" s="77"/>
      <c r="N34" s="77"/>
      <c r="O34" s="77"/>
      <c r="P34" s="81"/>
      <c r="Q34" s="80"/>
    </row>
    <row r="35" spans="1:17">
      <c r="A35" s="2">
        <f t="shared" si="8"/>
        <v>31</v>
      </c>
      <c r="B35" s="45"/>
      <c r="C35" s="72"/>
      <c r="D35" s="73"/>
      <c r="E35" s="74"/>
      <c r="F35" s="75"/>
      <c r="G35" s="76"/>
      <c r="H35" s="77"/>
      <c r="I35" s="78"/>
      <c r="J35" s="77"/>
      <c r="K35" s="107"/>
      <c r="L35" s="77"/>
      <c r="M35" s="77"/>
      <c r="N35" s="77"/>
      <c r="O35" s="77"/>
      <c r="P35" s="81"/>
      <c r="Q35" s="81"/>
    </row>
    <row r="36" spans="1:17">
      <c r="A36" s="2">
        <f t="shared" si="8"/>
        <v>32</v>
      </c>
      <c r="B36" s="45"/>
      <c r="C36" s="72"/>
      <c r="D36" s="73"/>
      <c r="E36" s="74"/>
      <c r="F36" s="75"/>
      <c r="G36" s="76"/>
      <c r="H36" s="77"/>
      <c r="I36" s="78"/>
      <c r="J36" s="77"/>
      <c r="K36" s="107"/>
      <c r="L36" s="77"/>
      <c r="M36" s="77"/>
      <c r="N36" s="77"/>
      <c r="O36" s="77"/>
      <c r="P36" s="81"/>
      <c r="Q36" s="81"/>
    </row>
    <row r="37" spans="1:17">
      <c r="A37" s="2">
        <f t="shared" si="8"/>
        <v>33</v>
      </c>
      <c r="B37" s="45"/>
      <c r="C37" s="72"/>
      <c r="D37" s="73"/>
      <c r="E37" s="74"/>
      <c r="F37" s="75"/>
      <c r="G37" s="76"/>
      <c r="H37" s="77"/>
      <c r="I37" s="78"/>
      <c r="J37" s="77"/>
      <c r="K37" s="107"/>
      <c r="L37" s="77"/>
      <c r="M37" s="77"/>
      <c r="N37" s="77"/>
      <c r="O37" s="77"/>
      <c r="P37" s="81"/>
      <c r="Q37" s="80"/>
    </row>
    <row r="38" spans="1:17">
      <c r="A38" s="2">
        <f t="shared" si="8"/>
        <v>34</v>
      </c>
      <c r="B38" s="45"/>
      <c r="C38" s="72"/>
      <c r="D38" s="73"/>
      <c r="E38" s="74"/>
      <c r="F38" s="75"/>
      <c r="G38" s="76"/>
      <c r="H38" s="77"/>
      <c r="I38" s="78"/>
      <c r="J38" s="77"/>
      <c r="K38" s="107"/>
      <c r="L38" s="77"/>
      <c r="M38" s="77"/>
      <c r="N38" s="77"/>
      <c r="O38" s="77"/>
      <c r="P38" s="81"/>
      <c r="Q38" s="80"/>
    </row>
    <row r="39" spans="1:17" ht="13.5" thickBot="1">
      <c r="A39" s="83">
        <f t="shared" si="8"/>
        <v>35</v>
      </c>
      <c r="B39" s="93"/>
      <c r="C39" s="94"/>
      <c r="D39" s="95"/>
      <c r="E39" s="96"/>
      <c r="F39" s="97"/>
      <c r="G39" s="98"/>
      <c r="H39" s="99"/>
      <c r="I39" s="100"/>
      <c r="J39" s="99"/>
      <c r="K39" s="109"/>
      <c r="L39" s="99"/>
      <c r="M39" s="99"/>
      <c r="N39" s="99"/>
      <c r="O39" s="99"/>
      <c r="P39" s="101"/>
      <c r="Q39" s="80"/>
    </row>
    <row r="40" spans="1:17">
      <c r="A40" s="2">
        <f t="shared" si="8"/>
        <v>36</v>
      </c>
      <c r="B40" s="45"/>
      <c r="C40" s="85"/>
      <c r="D40" s="86"/>
      <c r="E40" s="87"/>
      <c r="F40" s="88"/>
      <c r="G40" s="89"/>
      <c r="H40" s="90"/>
      <c r="I40" s="91"/>
      <c r="J40" s="90"/>
      <c r="K40" s="107"/>
      <c r="L40" s="90"/>
      <c r="M40" s="90"/>
      <c r="N40" s="90"/>
      <c r="O40" s="90"/>
      <c r="P40" s="92"/>
      <c r="Q40" s="81"/>
    </row>
    <row r="41" spans="1:17">
      <c r="A41" s="2">
        <f t="shared" si="8"/>
        <v>37</v>
      </c>
      <c r="B41" s="45"/>
      <c r="C41" s="72"/>
      <c r="D41" s="73"/>
      <c r="E41" s="74"/>
      <c r="F41" s="75"/>
      <c r="G41" s="76"/>
      <c r="H41" s="77"/>
      <c r="I41" s="78"/>
      <c r="J41" s="77"/>
      <c r="K41" s="107"/>
      <c r="L41" s="77"/>
      <c r="M41" s="77"/>
      <c r="N41" s="77"/>
      <c r="O41" s="77"/>
      <c r="P41" s="81"/>
      <c r="Q41" s="81"/>
    </row>
    <row r="42" spans="1:17">
      <c r="A42" s="2">
        <f t="shared" si="8"/>
        <v>38</v>
      </c>
      <c r="B42" s="45"/>
      <c r="C42" s="72"/>
      <c r="D42" s="73"/>
      <c r="E42" s="74"/>
      <c r="F42" s="75"/>
      <c r="G42" s="76"/>
      <c r="H42" s="77"/>
      <c r="I42" s="78"/>
      <c r="J42" s="77"/>
      <c r="K42" s="107"/>
      <c r="L42" s="77"/>
      <c r="M42" s="77"/>
      <c r="N42" s="77"/>
      <c r="O42" s="77"/>
      <c r="P42" s="81"/>
      <c r="Q42" s="80"/>
    </row>
    <row r="43" spans="1:17" ht="15">
      <c r="A43" s="2">
        <f t="shared" si="8"/>
        <v>39</v>
      </c>
      <c r="B43" s="82"/>
      <c r="C43" s="72"/>
      <c r="D43" s="73"/>
      <c r="E43" s="74"/>
      <c r="F43" s="75"/>
      <c r="G43" s="76"/>
      <c r="H43" s="77"/>
      <c r="I43" s="78"/>
      <c r="J43" s="77"/>
      <c r="K43" s="108"/>
      <c r="L43" s="77"/>
      <c r="M43" s="77"/>
      <c r="N43" s="77"/>
      <c r="O43" s="77"/>
      <c r="P43" s="81"/>
      <c r="Q43" s="81"/>
    </row>
    <row r="44" spans="1:17" ht="15">
      <c r="A44" s="2">
        <f t="shared" si="8"/>
        <v>40</v>
      </c>
      <c r="B44" s="82"/>
      <c r="C44" s="72"/>
      <c r="D44" s="73"/>
      <c r="E44" s="74"/>
      <c r="F44" s="75"/>
      <c r="G44" s="76"/>
      <c r="H44" s="77"/>
      <c r="I44" s="78"/>
      <c r="J44" s="77"/>
      <c r="K44" s="108"/>
      <c r="L44" s="77"/>
      <c r="M44" s="77"/>
      <c r="N44" s="77"/>
      <c r="O44" s="77"/>
      <c r="P44" s="81"/>
      <c r="Q44" s="80"/>
    </row>
    <row r="45" spans="1:17" ht="15">
      <c r="A45" s="2">
        <f t="shared" si="8"/>
        <v>41</v>
      </c>
      <c r="B45" s="82"/>
      <c r="C45" s="72"/>
      <c r="D45" s="73"/>
      <c r="E45" s="74"/>
      <c r="F45" s="75"/>
      <c r="G45" s="76"/>
      <c r="H45" s="77"/>
      <c r="I45" s="78"/>
      <c r="J45" s="77"/>
      <c r="K45" s="108"/>
      <c r="L45" s="77"/>
      <c r="M45" s="77"/>
      <c r="N45" s="77"/>
      <c r="O45" s="77"/>
      <c r="P45" s="81"/>
      <c r="Q45" s="80"/>
    </row>
    <row r="46" spans="1:17">
      <c r="A46" s="2">
        <f t="shared" si="8"/>
        <v>42</v>
      </c>
      <c r="B46" s="45"/>
      <c r="C46" s="72"/>
      <c r="D46" s="73"/>
      <c r="E46" s="74"/>
      <c r="F46" s="75"/>
      <c r="G46" s="76"/>
      <c r="H46" s="77"/>
      <c r="I46" s="78"/>
      <c r="J46" s="77"/>
      <c r="K46" s="107"/>
      <c r="L46" s="77"/>
      <c r="M46" s="77"/>
      <c r="N46" s="77"/>
      <c r="O46" s="77"/>
      <c r="P46" s="81"/>
      <c r="Q46" s="81"/>
    </row>
    <row r="47" spans="1:17">
      <c r="A47" s="2">
        <f t="shared" si="8"/>
        <v>43</v>
      </c>
      <c r="B47" s="45"/>
      <c r="C47" s="72"/>
      <c r="D47" s="73"/>
      <c r="E47" s="74"/>
      <c r="F47" s="75"/>
      <c r="G47" s="76"/>
      <c r="H47" s="77"/>
      <c r="I47" s="78"/>
      <c r="J47" s="77"/>
      <c r="K47" s="107"/>
      <c r="L47" s="77"/>
      <c r="M47" s="77"/>
      <c r="N47" s="77"/>
      <c r="O47" s="77"/>
      <c r="P47" s="81"/>
      <c r="Q47" s="81"/>
    </row>
    <row r="48" spans="1:17">
      <c r="A48" s="2">
        <f t="shared" si="8"/>
        <v>44</v>
      </c>
      <c r="B48" s="45"/>
      <c r="C48" s="72"/>
      <c r="D48" s="73"/>
      <c r="E48" s="74"/>
      <c r="F48" s="75"/>
      <c r="G48" s="76"/>
      <c r="H48" s="77"/>
      <c r="I48" s="78"/>
      <c r="J48" s="77"/>
      <c r="K48" s="107"/>
      <c r="L48" s="77"/>
      <c r="M48" s="77"/>
      <c r="N48" s="77"/>
      <c r="O48" s="77"/>
      <c r="P48" s="81"/>
      <c r="Q48" s="80"/>
    </row>
    <row r="49" spans="1:17">
      <c r="A49" s="2">
        <f t="shared" si="8"/>
        <v>45</v>
      </c>
      <c r="B49" s="45"/>
      <c r="C49" s="72"/>
      <c r="D49" s="73"/>
      <c r="E49" s="74"/>
      <c r="F49" s="75"/>
      <c r="G49" s="76"/>
      <c r="H49" s="77"/>
      <c r="I49" s="78"/>
      <c r="J49" s="77"/>
      <c r="K49" s="107"/>
      <c r="L49" s="77"/>
      <c r="M49" s="77"/>
      <c r="N49" s="77"/>
      <c r="O49" s="77"/>
      <c r="P49" s="81"/>
      <c r="Q49" s="81"/>
    </row>
    <row r="50" spans="1:17">
      <c r="A50" s="2">
        <f t="shared" si="8"/>
        <v>46</v>
      </c>
      <c r="B50" s="45"/>
      <c r="C50" s="72"/>
      <c r="D50" s="73"/>
      <c r="E50" s="74"/>
      <c r="F50" s="75"/>
      <c r="G50" s="76"/>
      <c r="H50" s="77"/>
      <c r="I50" s="78"/>
      <c r="J50" s="77"/>
      <c r="K50" s="107"/>
      <c r="L50" s="77"/>
      <c r="M50" s="77"/>
      <c r="N50" s="77"/>
      <c r="O50" s="77"/>
      <c r="P50" s="81"/>
      <c r="Q50" s="80"/>
    </row>
    <row r="51" spans="1:17">
      <c r="A51" s="2">
        <f t="shared" si="8"/>
        <v>47</v>
      </c>
      <c r="B51" s="45"/>
      <c r="C51" s="72"/>
      <c r="D51" s="73"/>
      <c r="E51" s="74"/>
      <c r="F51" s="75"/>
      <c r="G51" s="76"/>
      <c r="H51" s="77"/>
      <c r="I51" s="78"/>
      <c r="J51" s="77"/>
      <c r="K51" s="107"/>
      <c r="L51" s="77"/>
      <c r="M51" s="77"/>
      <c r="N51" s="77"/>
      <c r="O51" s="77"/>
      <c r="P51" s="81"/>
      <c r="Q51" s="80"/>
    </row>
    <row r="52" spans="1:17" ht="13.5" thickBot="1">
      <c r="A52" s="2">
        <f t="shared" si="8"/>
        <v>48</v>
      </c>
      <c r="B52" s="93"/>
      <c r="C52" s="94"/>
      <c r="D52" s="95"/>
      <c r="E52" s="96"/>
      <c r="F52" s="97"/>
      <c r="G52" s="98"/>
      <c r="H52" s="99"/>
      <c r="I52" s="100"/>
      <c r="J52" s="99"/>
      <c r="K52" s="109"/>
      <c r="L52" s="99"/>
      <c r="M52" s="99"/>
      <c r="N52" s="99"/>
      <c r="O52" s="99"/>
      <c r="P52" s="101"/>
      <c r="Q52" s="81"/>
    </row>
    <row r="53" spans="1:17">
      <c r="A53" s="2">
        <f t="shared" si="8"/>
        <v>49</v>
      </c>
      <c r="B53" s="45"/>
      <c r="C53" s="85"/>
      <c r="D53" s="86"/>
      <c r="E53" s="87"/>
      <c r="F53" s="88"/>
      <c r="G53" s="89"/>
      <c r="H53" s="90"/>
      <c r="I53" s="91"/>
      <c r="J53" s="90"/>
      <c r="K53" s="107"/>
      <c r="L53" s="90"/>
      <c r="M53" s="90"/>
      <c r="N53" s="90"/>
      <c r="O53" s="90"/>
      <c r="P53" s="92"/>
      <c r="Q53" s="80"/>
    </row>
    <row r="54" spans="1:17" ht="15">
      <c r="A54" s="2">
        <f t="shared" si="8"/>
        <v>50</v>
      </c>
      <c r="B54" s="82"/>
      <c r="C54" s="72"/>
      <c r="D54" s="73"/>
      <c r="E54" s="74"/>
      <c r="F54" s="75"/>
      <c r="G54" s="76"/>
      <c r="H54" s="77"/>
      <c r="I54" s="78"/>
      <c r="J54" s="77"/>
      <c r="K54" s="108"/>
      <c r="L54" s="77"/>
      <c r="M54" s="77"/>
      <c r="N54" s="77"/>
      <c r="O54" s="77"/>
      <c r="P54" s="81"/>
      <c r="Q54" s="81"/>
    </row>
    <row r="55" spans="1:17" ht="15">
      <c r="A55" s="2">
        <f t="shared" si="8"/>
        <v>51</v>
      </c>
      <c r="B55" s="82"/>
      <c r="C55" s="72"/>
      <c r="D55" s="73"/>
      <c r="E55" s="74"/>
      <c r="F55" s="75"/>
      <c r="G55" s="76"/>
      <c r="H55" s="77"/>
      <c r="I55" s="78"/>
      <c r="J55" s="77"/>
      <c r="K55" s="108"/>
      <c r="L55" s="77"/>
      <c r="M55" s="77"/>
      <c r="N55" s="77"/>
      <c r="O55" s="77"/>
      <c r="P55" s="81"/>
      <c r="Q55" s="81"/>
    </row>
    <row r="56" spans="1:17">
      <c r="A56" s="2">
        <f t="shared" si="8"/>
        <v>52</v>
      </c>
      <c r="B56" s="45"/>
      <c r="C56" s="72"/>
      <c r="D56" s="73"/>
      <c r="E56" s="74"/>
      <c r="F56" s="75"/>
      <c r="G56" s="76"/>
      <c r="H56" s="77"/>
      <c r="I56" s="78"/>
      <c r="J56" s="77"/>
      <c r="K56" s="107"/>
      <c r="L56" s="77"/>
      <c r="M56" s="77"/>
      <c r="N56" s="77"/>
      <c r="O56" s="77"/>
      <c r="P56" s="81"/>
      <c r="Q56" s="81"/>
    </row>
    <row r="57" spans="1:17">
      <c r="A57" s="2">
        <f t="shared" si="8"/>
        <v>53</v>
      </c>
      <c r="B57" s="45"/>
      <c r="C57" s="72"/>
      <c r="D57" s="73"/>
      <c r="E57" s="74"/>
      <c r="F57" s="75"/>
      <c r="G57" s="76"/>
      <c r="H57" s="77"/>
      <c r="I57" s="78"/>
      <c r="J57" s="77"/>
      <c r="K57" s="107"/>
      <c r="L57" s="77"/>
      <c r="M57" s="77"/>
      <c r="N57" s="77"/>
      <c r="O57" s="77"/>
      <c r="P57" s="81"/>
      <c r="Q57" s="80"/>
    </row>
    <row r="58" spans="1:17">
      <c r="A58" s="2">
        <f t="shared" si="8"/>
        <v>54</v>
      </c>
      <c r="B58" s="45"/>
      <c r="C58" s="72"/>
      <c r="D58" s="73"/>
      <c r="E58" s="74"/>
      <c r="F58" s="75"/>
      <c r="G58" s="76"/>
      <c r="H58" s="77"/>
      <c r="I58" s="78"/>
      <c r="J58" s="77"/>
      <c r="K58" s="107"/>
      <c r="L58" s="77"/>
      <c r="M58" s="77"/>
      <c r="N58" s="77"/>
      <c r="O58" s="77"/>
      <c r="P58" s="81"/>
      <c r="Q58" s="81"/>
    </row>
    <row r="59" spans="1:17">
      <c r="A59" s="2">
        <f t="shared" si="8"/>
        <v>55</v>
      </c>
      <c r="B59" s="45"/>
      <c r="C59" s="72"/>
      <c r="D59" s="73"/>
      <c r="E59" s="74"/>
      <c r="F59" s="75"/>
      <c r="G59" s="76"/>
      <c r="H59" s="77"/>
      <c r="I59" s="78"/>
      <c r="J59" s="77"/>
      <c r="K59" s="107"/>
      <c r="L59" s="77"/>
      <c r="M59" s="77"/>
      <c r="N59" s="77"/>
      <c r="O59" s="77"/>
      <c r="P59" s="81"/>
      <c r="Q59" s="80"/>
    </row>
    <row r="60" spans="1:17">
      <c r="A60" s="2">
        <f t="shared" si="8"/>
        <v>56</v>
      </c>
      <c r="B60" s="45"/>
      <c r="C60" s="72"/>
      <c r="D60" s="73"/>
      <c r="E60" s="74"/>
      <c r="F60" s="75"/>
      <c r="G60" s="76"/>
      <c r="H60" s="77"/>
      <c r="I60" s="78"/>
      <c r="J60" s="77"/>
      <c r="K60" s="107"/>
      <c r="L60" s="77"/>
      <c r="M60" s="77"/>
      <c r="N60" s="77"/>
      <c r="O60" s="77"/>
      <c r="P60" s="81"/>
      <c r="Q60" s="80"/>
    </row>
    <row r="61" spans="1:17" ht="15">
      <c r="A61" s="2">
        <f t="shared" si="8"/>
        <v>57</v>
      </c>
      <c r="B61" s="102"/>
      <c r="C61" s="72"/>
      <c r="D61" s="73"/>
      <c r="E61" s="74"/>
      <c r="F61" s="75"/>
      <c r="G61" s="76"/>
      <c r="H61" s="77"/>
      <c r="I61" s="78"/>
      <c r="J61" s="77"/>
      <c r="K61" s="111"/>
      <c r="L61" s="77"/>
      <c r="M61" s="77"/>
      <c r="N61" s="77"/>
      <c r="O61" s="77"/>
      <c r="P61" s="81"/>
      <c r="Q61" s="81"/>
    </row>
    <row r="62" spans="1:17" ht="13.5" thickBot="1">
      <c r="A62" s="2">
        <f t="shared" si="8"/>
        <v>58</v>
      </c>
      <c r="B62" s="93"/>
      <c r="C62" s="94"/>
      <c r="D62" s="95"/>
      <c r="E62" s="96"/>
      <c r="F62" s="97"/>
      <c r="G62" s="98"/>
      <c r="H62" s="99"/>
      <c r="I62" s="100"/>
      <c r="J62" s="99"/>
      <c r="K62" s="109"/>
      <c r="L62" s="99"/>
      <c r="M62" s="99"/>
      <c r="N62" s="99"/>
      <c r="O62" s="99"/>
      <c r="P62" s="101"/>
      <c r="Q62" s="80"/>
    </row>
    <row r="63" spans="1:17">
      <c r="A63" s="2">
        <f t="shared" si="8"/>
        <v>59</v>
      </c>
      <c r="B63" s="45"/>
      <c r="C63" s="85"/>
      <c r="D63" s="86"/>
      <c r="E63" s="87"/>
      <c r="F63" s="88"/>
      <c r="G63" s="89"/>
      <c r="H63" s="90"/>
      <c r="I63" s="91"/>
      <c r="J63" s="90"/>
      <c r="K63" s="107"/>
      <c r="L63" s="90"/>
      <c r="M63" s="90"/>
      <c r="N63" s="90"/>
      <c r="O63" s="90"/>
      <c r="P63" s="92"/>
      <c r="Q63" s="80"/>
    </row>
    <row r="64" spans="1:17">
      <c r="A64" s="2">
        <f t="shared" si="8"/>
        <v>60</v>
      </c>
      <c r="B64" s="45"/>
      <c r="C64" s="72"/>
      <c r="D64" s="73"/>
      <c r="E64" s="74"/>
      <c r="F64" s="75"/>
      <c r="G64" s="76"/>
      <c r="H64" s="77"/>
      <c r="I64" s="78"/>
      <c r="J64" s="77"/>
      <c r="K64" s="107"/>
      <c r="L64" s="77"/>
      <c r="M64" s="77"/>
      <c r="N64" s="77"/>
      <c r="O64" s="77"/>
      <c r="P64" s="81"/>
      <c r="Q64" s="80"/>
    </row>
    <row r="65" spans="1:17" ht="15">
      <c r="A65" s="2">
        <f t="shared" si="8"/>
        <v>61</v>
      </c>
      <c r="B65" s="82"/>
      <c r="C65" s="72"/>
      <c r="D65" s="73"/>
      <c r="E65" s="74"/>
      <c r="F65" s="75"/>
      <c r="G65" s="76"/>
      <c r="H65" s="77"/>
      <c r="I65" s="78"/>
      <c r="J65" s="77"/>
      <c r="K65" s="108"/>
      <c r="L65" s="77"/>
      <c r="M65" s="77"/>
      <c r="N65" s="77"/>
      <c r="O65" s="77"/>
      <c r="P65" s="81"/>
      <c r="Q65" s="81"/>
    </row>
    <row r="66" spans="1:17" ht="15">
      <c r="A66" s="2">
        <f t="shared" si="8"/>
        <v>62</v>
      </c>
      <c r="B66" s="82"/>
      <c r="C66" s="72"/>
      <c r="D66" s="73"/>
      <c r="E66" s="74"/>
      <c r="F66" s="75"/>
      <c r="G66" s="76"/>
      <c r="H66" s="77"/>
      <c r="I66" s="78"/>
      <c r="J66" s="77"/>
      <c r="K66" s="108"/>
      <c r="L66" s="77"/>
      <c r="M66" s="77"/>
      <c r="N66" s="77"/>
      <c r="O66" s="77"/>
      <c r="P66" s="81"/>
      <c r="Q66" s="81"/>
    </row>
    <row r="67" spans="1:17" ht="15">
      <c r="A67" s="2">
        <f t="shared" si="8"/>
        <v>63</v>
      </c>
      <c r="B67" s="82"/>
      <c r="C67" s="72"/>
      <c r="D67" s="73"/>
      <c r="E67" s="74"/>
      <c r="F67" s="75"/>
      <c r="G67" s="76"/>
      <c r="H67" s="77"/>
      <c r="I67" s="78"/>
      <c r="J67" s="77"/>
      <c r="K67" s="108"/>
      <c r="L67" s="77"/>
      <c r="M67" s="77"/>
      <c r="N67" s="77"/>
      <c r="O67" s="77"/>
      <c r="P67" s="81"/>
      <c r="Q67" s="81"/>
    </row>
    <row r="68" spans="1:17" ht="15">
      <c r="A68" s="2">
        <f t="shared" si="8"/>
        <v>64</v>
      </c>
      <c r="B68" s="82"/>
      <c r="C68" s="72"/>
      <c r="D68" s="73"/>
      <c r="E68" s="74"/>
      <c r="F68" s="75"/>
      <c r="G68" s="76"/>
      <c r="H68" s="77"/>
      <c r="I68" s="78"/>
      <c r="J68" s="77"/>
      <c r="K68" s="108"/>
      <c r="L68" s="77"/>
      <c r="M68" s="77"/>
      <c r="N68" s="77"/>
      <c r="O68" s="77"/>
      <c r="P68" s="81"/>
      <c r="Q68" s="81"/>
    </row>
    <row r="69" spans="1:17">
      <c r="A69" s="2">
        <f t="shared" si="8"/>
        <v>65</v>
      </c>
      <c r="B69" s="45"/>
      <c r="C69" s="72"/>
      <c r="D69" s="73"/>
      <c r="E69" s="74"/>
      <c r="F69" s="75"/>
      <c r="G69" s="76"/>
      <c r="H69" s="77"/>
      <c r="I69" s="78"/>
      <c r="J69" s="77"/>
      <c r="K69" s="107"/>
      <c r="L69" s="77"/>
      <c r="M69" s="77"/>
      <c r="N69" s="77"/>
      <c r="O69" s="77"/>
      <c r="P69" s="81"/>
      <c r="Q69" s="80"/>
    </row>
    <row r="70" spans="1:17">
      <c r="A70" s="2">
        <f t="shared" si="8"/>
        <v>66</v>
      </c>
      <c r="B70" s="45"/>
      <c r="C70" s="72"/>
      <c r="D70" s="73"/>
      <c r="E70" s="74"/>
      <c r="F70" s="75"/>
      <c r="G70" s="76"/>
      <c r="H70" s="77"/>
      <c r="I70" s="78"/>
      <c r="J70" s="77"/>
      <c r="K70" s="107"/>
      <c r="L70" s="77"/>
      <c r="M70" s="77"/>
      <c r="N70" s="77"/>
      <c r="O70" s="77"/>
      <c r="P70" s="81"/>
      <c r="Q70" s="80"/>
    </row>
    <row r="71" spans="1:17">
      <c r="A71" s="2">
        <f t="shared" si="8"/>
        <v>67</v>
      </c>
      <c r="B71" s="45"/>
      <c r="C71" s="72"/>
      <c r="D71" s="73"/>
      <c r="E71" s="74"/>
      <c r="F71" s="75"/>
      <c r="G71" s="76"/>
      <c r="H71" s="77"/>
      <c r="I71" s="78"/>
      <c r="J71" s="77"/>
      <c r="K71" s="107"/>
      <c r="L71" s="77"/>
      <c r="M71" s="77"/>
      <c r="N71" s="77"/>
      <c r="O71" s="77"/>
      <c r="P71" s="81"/>
      <c r="Q71" s="81"/>
    </row>
    <row r="72" spans="1:17">
      <c r="A72" s="2">
        <f t="shared" si="8"/>
        <v>68</v>
      </c>
      <c r="B72" s="45"/>
      <c r="C72" s="72"/>
      <c r="D72" s="73"/>
      <c r="E72" s="74"/>
      <c r="F72" s="75"/>
      <c r="G72" s="76"/>
      <c r="H72" s="77"/>
      <c r="I72" s="78"/>
      <c r="J72" s="77"/>
      <c r="K72" s="107"/>
      <c r="L72" s="77"/>
      <c r="M72" s="77"/>
      <c r="N72" s="77"/>
      <c r="O72" s="77"/>
      <c r="P72" s="81"/>
      <c r="Q72" s="81"/>
    </row>
    <row r="73" spans="1:17">
      <c r="A73" s="2">
        <f t="shared" si="8"/>
        <v>69</v>
      </c>
      <c r="B73" s="45"/>
      <c r="C73" s="72"/>
      <c r="D73" s="73"/>
      <c r="E73" s="74"/>
      <c r="F73" s="75"/>
      <c r="G73" s="76"/>
      <c r="H73" s="77"/>
      <c r="I73" s="78"/>
      <c r="J73" s="77"/>
      <c r="K73" s="107"/>
      <c r="L73" s="77"/>
      <c r="M73" s="77"/>
      <c r="N73" s="77"/>
      <c r="O73" s="77"/>
      <c r="P73" s="81"/>
      <c r="Q73" s="81"/>
    </row>
    <row r="74" spans="1:17">
      <c r="A74" s="2">
        <f t="shared" si="8"/>
        <v>70</v>
      </c>
      <c r="B74" s="45"/>
      <c r="C74" s="72"/>
      <c r="D74" s="73"/>
      <c r="E74" s="74"/>
      <c r="F74" s="75"/>
      <c r="G74" s="76"/>
      <c r="H74" s="77"/>
      <c r="I74" s="78"/>
      <c r="J74" s="77"/>
      <c r="K74" s="107"/>
      <c r="L74" s="77"/>
      <c r="M74" s="77"/>
      <c r="N74" s="77"/>
      <c r="O74" s="77"/>
      <c r="P74" s="81"/>
      <c r="Q74" s="81"/>
    </row>
    <row r="75" spans="1:17">
      <c r="A75" s="2">
        <f t="shared" si="8"/>
        <v>71</v>
      </c>
      <c r="B75" s="84"/>
      <c r="C75" s="72"/>
      <c r="D75" s="73"/>
      <c r="E75" s="74"/>
      <c r="F75" s="75"/>
      <c r="G75" s="76"/>
      <c r="H75" s="77"/>
      <c r="I75" s="78"/>
      <c r="J75" s="77"/>
      <c r="K75" s="110"/>
      <c r="L75" s="77"/>
      <c r="M75" s="77"/>
      <c r="N75" s="77"/>
      <c r="O75" s="77"/>
      <c r="P75" s="81"/>
      <c r="Q75" s="81"/>
    </row>
    <row r="76" spans="1:17">
      <c r="A76" s="2">
        <f t="shared" si="8"/>
        <v>72</v>
      </c>
      <c r="B76" s="84"/>
      <c r="C76" s="72"/>
      <c r="D76" s="73"/>
      <c r="E76" s="74"/>
      <c r="F76" s="75"/>
      <c r="G76" s="76"/>
      <c r="H76" s="77"/>
      <c r="I76" s="78"/>
      <c r="J76" s="77"/>
      <c r="K76" s="110"/>
      <c r="L76" s="77"/>
      <c r="M76" s="77"/>
      <c r="N76" s="77"/>
      <c r="O76" s="77"/>
      <c r="P76" s="81"/>
      <c r="Q76" s="80"/>
    </row>
    <row r="77" spans="1:17" ht="13.5" thickBot="1">
      <c r="A77" s="2">
        <f t="shared" si="8"/>
        <v>73</v>
      </c>
      <c r="B77" s="93"/>
      <c r="C77" s="94"/>
      <c r="D77" s="95"/>
      <c r="E77" s="96"/>
      <c r="F77" s="97"/>
      <c r="G77" s="98"/>
      <c r="H77" s="99"/>
      <c r="I77" s="100"/>
      <c r="J77" s="99"/>
      <c r="K77" s="109"/>
      <c r="L77" s="99"/>
      <c r="M77" s="99"/>
      <c r="N77" s="99"/>
      <c r="O77" s="99"/>
      <c r="P77" s="101"/>
      <c r="Q77" s="81"/>
    </row>
    <row r="78" spans="1:17" ht="15">
      <c r="A78" s="2">
        <f t="shared" si="8"/>
        <v>74</v>
      </c>
      <c r="B78" s="82"/>
      <c r="C78" s="85"/>
      <c r="D78" s="86"/>
      <c r="E78" s="87"/>
      <c r="F78" s="88"/>
      <c r="G78" s="89"/>
      <c r="H78" s="90"/>
      <c r="I78" s="91"/>
      <c r="J78" s="90"/>
      <c r="K78" s="108"/>
      <c r="L78" s="90"/>
      <c r="M78" s="90"/>
      <c r="N78" s="90"/>
      <c r="O78" s="90"/>
      <c r="P78" s="92"/>
      <c r="Q78" s="81"/>
    </row>
    <row r="79" spans="1:17">
      <c r="A79" s="2">
        <f t="shared" si="8"/>
        <v>75</v>
      </c>
      <c r="B79" s="45"/>
      <c r="C79" s="72"/>
      <c r="D79" s="73"/>
      <c r="E79" s="74"/>
      <c r="F79" s="75"/>
      <c r="G79" s="76"/>
      <c r="H79" s="77"/>
      <c r="I79" s="78"/>
      <c r="J79" s="77"/>
      <c r="K79" s="107"/>
      <c r="L79" s="77"/>
      <c r="M79" s="77"/>
      <c r="N79" s="77"/>
      <c r="O79" s="77"/>
      <c r="P79" s="81"/>
      <c r="Q79" s="80"/>
    </row>
    <row r="80" spans="1:17">
      <c r="A80" s="2">
        <f t="shared" si="8"/>
        <v>76</v>
      </c>
      <c r="B80" s="45"/>
      <c r="C80" s="72"/>
      <c r="D80" s="73"/>
      <c r="E80" s="74"/>
      <c r="F80" s="75"/>
      <c r="G80" s="76"/>
      <c r="H80" s="77"/>
      <c r="I80" s="78"/>
      <c r="J80" s="77"/>
      <c r="K80" s="107"/>
      <c r="L80" s="77"/>
      <c r="M80" s="77"/>
      <c r="N80" s="77"/>
      <c r="O80" s="77"/>
      <c r="P80" s="81"/>
      <c r="Q80" s="80"/>
    </row>
    <row r="81" spans="1:17">
      <c r="A81" s="2">
        <f t="shared" si="8"/>
        <v>77</v>
      </c>
      <c r="B81" s="45"/>
      <c r="C81" s="72"/>
      <c r="D81" s="73"/>
      <c r="E81" s="74"/>
      <c r="F81" s="75"/>
      <c r="G81" s="76"/>
      <c r="H81" s="77"/>
      <c r="I81" s="78"/>
      <c r="J81" s="77"/>
      <c r="K81" s="107"/>
      <c r="L81" s="77"/>
      <c r="M81" s="77"/>
      <c r="N81" s="77"/>
      <c r="O81" s="77"/>
      <c r="P81" s="81"/>
      <c r="Q81" s="80"/>
    </row>
    <row r="82" spans="1:17" ht="15">
      <c r="A82" s="2">
        <f t="shared" si="8"/>
        <v>78</v>
      </c>
      <c r="B82" s="82"/>
      <c r="C82" s="72"/>
      <c r="D82" s="73"/>
      <c r="E82" s="74"/>
      <c r="F82" s="75"/>
      <c r="G82" s="76"/>
      <c r="H82" s="77"/>
      <c r="I82" s="78"/>
      <c r="J82" s="77"/>
      <c r="K82" s="108"/>
      <c r="L82" s="77"/>
      <c r="M82" s="77"/>
      <c r="N82" s="77"/>
      <c r="O82" s="77"/>
      <c r="P82" s="81"/>
      <c r="Q82" s="81"/>
    </row>
    <row r="83" spans="1:17">
      <c r="A83" s="2">
        <f t="shared" si="8"/>
        <v>79</v>
      </c>
      <c r="B83" s="45"/>
      <c r="C83" s="72"/>
      <c r="D83" s="73"/>
      <c r="E83" s="74"/>
      <c r="F83" s="75"/>
      <c r="G83" s="76"/>
      <c r="H83" s="77"/>
      <c r="I83" s="78"/>
      <c r="J83" s="77"/>
      <c r="K83" s="107"/>
      <c r="L83" s="77"/>
      <c r="M83" s="77"/>
      <c r="N83" s="77"/>
      <c r="O83" s="77"/>
      <c r="P83" s="81"/>
      <c r="Q83" s="80"/>
    </row>
    <row r="84" spans="1:17" ht="15">
      <c r="A84" s="2">
        <f t="shared" si="8"/>
        <v>80</v>
      </c>
      <c r="B84" s="82"/>
      <c r="C84" s="72"/>
      <c r="D84" s="73"/>
      <c r="E84" s="74"/>
      <c r="F84" s="75"/>
      <c r="G84" s="76"/>
      <c r="H84" s="77"/>
      <c r="I84" s="78"/>
      <c r="J84" s="77"/>
      <c r="K84" s="108"/>
      <c r="L84" s="77"/>
      <c r="M84" s="77"/>
      <c r="N84" s="77"/>
      <c r="O84" s="77"/>
      <c r="P84" s="81"/>
      <c r="Q84" s="81"/>
    </row>
    <row r="85" spans="1:17">
      <c r="A85" s="113">
        <f t="shared" si="8"/>
        <v>81</v>
      </c>
      <c r="B85" s="114"/>
      <c r="C85" s="115"/>
      <c r="D85" s="116"/>
      <c r="E85" s="117"/>
      <c r="F85" s="118"/>
      <c r="G85" s="119"/>
      <c r="H85" s="120"/>
      <c r="I85" s="121"/>
      <c r="J85" s="120"/>
      <c r="K85" s="122"/>
      <c r="L85" s="120"/>
      <c r="M85" s="120"/>
      <c r="N85" s="120"/>
      <c r="O85" s="120"/>
      <c r="P85" s="123"/>
      <c r="Q85" s="124"/>
    </row>
    <row r="86" spans="1:17" ht="15.75" thickBot="1">
      <c r="A86" s="2">
        <f t="shared" si="8"/>
        <v>82</v>
      </c>
      <c r="B86" s="106"/>
      <c r="C86" s="94"/>
      <c r="D86" s="95"/>
      <c r="E86" s="96"/>
      <c r="F86" s="97"/>
      <c r="G86" s="98"/>
      <c r="H86" s="99"/>
      <c r="I86" s="100"/>
      <c r="J86" s="99"/>
      <c r="K86" s="112"/>
      <c r="L86" s="99"/>
      <c r="M86" s="99"/>
      <c r="N86" s="99"/>
      <c r="O86" s="99"/>
      <c r="P86" s="101"/>
      <c r="Q86" s="81"/>
    </row>
    <row r="87" spans="1:17">
      <c r="A87" s="2">
        <f t="shared" si="8"/>
        <v>83</v>
      </c>
      <c r="B87" s="45"/>
      <c r="C87" s="85"/>
      <c r="D87" s="86"/>
      <c r="E87" s="87"/>
      <c r="F87" s="88"/>
      <c r="G87" s="89"/>
      <c r="H87" s="90"/>
      <c r="I87" s="91"/>
      <c r="J87" s="90"/>
      <c r="K87" s="107"/>
      <c r="L87" s="90"/>
      <c r="M87" s="90"/>
      <c r="N87" s="90"/>
      <c r="O87" s="90"/>
      <c r="P87" s="92"/>
      <c r="Q87" s="80"/>
    </row>
    <row r="88" spans="1:17">
      <c r="A88" s="2">
        <f t="shared" si="8"/>
        <v>84</v>
      </c>
      <c r="B88" s="45"/>
      <c r="C88" s="72"/>
      <c r="D88" s="73"/>
      <c r="E88" s="74"/>
      <c r="F88" s="75"/>
      <c r="G88" s="76"/>
      <c r="H88" s="77"/>
      <c r="I88" s="78"/>
      <c r="J88" s="77"/>
      <c r="K88" s="107"/>
      <c r="L88" s="77"/>
      <c r="M88" s="77"/>
      <c r="N88" s="77"/>
      <c r="O88" s="77"/>
      <c r="P88" s="81"/>
      <c r="Q88" s="80"/>
    </row>
    <row r="89" spans="1:17" ht="15">
      <c r="A89" s="2">
        <f t="shared" si="8"/>
        <v>85</v>
      </c>
      <c r="B89" s="82"/>
      <c r="C89" s="72"/>
      <c r="D89" s="73"/>
      <c r="E89" s="74"/>
      <c r="F89" s="75"/>
      <c r="G89" s="76"/>
      <c r="H89" s="77"/>
      <c r="I89" s="78"/>
      <c r="J89" s="77"/>
      <c r="K89" s="108"/>
      <c r="L89" s="77"/>
      <c r="M89" s="77"/>
      <c r="N89" s="77"/>
      <c r="O89" s="77"/>
      <c r="P89" s="81"/>
      <c r="Q89" s="81"/>
    </row>
    <row r="90" spans="1:17" ht="13.5" thickBot="1">
      <c r="A90" s="2">
        <f t="shared" si="8"/>
        <v>86</v>
      </c>
      <c r="B90" s="93"/>
      <c r="C90" s="94"/>
      <c r="D90" s="95"/>
      <c r="E90" s="96"/>
      <c r="F90" s="97"/>
      <c r="G90" s="98"/>
      <c r="H90" s="99"/>
      <c r="I90" s="100"/>
      <c r="J90" s="99"/>
      <c r="K90" s="109"/>
      <c r="L90" s="99"/>
      <c r="M90" s="99"/>
      <c r="N90" s="99"/>
      <c r="O90" s="99"/>
      <c r="P90" s="101"/>
      <c r="Q90" s="80"/>
    </row>
    <row r="91" spans="1:17">
      <c r="A91" s="2">
        <f t="shared" si="8"/>
        <v>87</v>
      </c>
      <c r="B91" s="45"/>
      <c r="C91" s="85"/>
      <c r="D91" s="86"/>
      <c r="E91" s="87"/>
      <c r="F91" s="88"/>
      <c r="G91" s="89"/>
      <c r="H91" s="90"/>
      <c r="I91" s="91"/>
      <c r="J91" s="90"/>
      <c r="K91" s="107"/>
      <c r="L91" s="90"/>
      <c r="M91" s="90"/>
      <c r="N91" s="90"/>
      <c r="O91" s="90"/>
      <c r="P91" s="92"/>
      <c r="Q91" s="80"/>
    </row>
    <row r="92" spans="1:17">
      <c r="A92" s="2">
        <f t="shared" si="8"/>
        <v>88</v>
      </c>
      <c r="B92" s="45"/>
      <c r="C92" s="72"/>
      <c r="D92" s="73"/>
      <c r="E92" s="74"/>
      <c r="F92" s="75"/>
      <c r="G92" s="76"/>
      <c r="H92" s="77"/>
      <c r="I92" s="78"/>
      <c r="J92" s="77"/>
      <c r="K92" s="107"/>
      <c r="L92" s="77"/>
      <c r="M92" s="77"/>
      <c r="N92" s="77"/>
      <c r="O92" s="77"/>
      <c r="P92" s="81"/>
      <c r="Q92" s="81"/>
    </row>
    <row r="93" spans="1:17">
      <c r="A93" s="2">
        <f t="shared" si="8"/>
        <v>89</v>
      </c>
      <c r="B93" s="45"/>
      <c r="C93" s="72"/>
      <c r="D93" s="73"/>
      <c r="E93" s="74"/>
      <c r="F93" s="75"/>
      <c r="G93" s="76"/>
      <c r="H93" s="77"/>
      <c r="I93" s="78"/>
      <c r="J93" s="77"/>
      <c r="K93" s="107"/>
      <c r="L93" s="77"/>
      <c r="M93" s="77"/>
      <c r="N93" s="77"/>
      <c r="O93" s="77"/>
      <c r="P93" s="81"/>
      <c r="Q93" s="80"/>
    </row>
    <row r="94" spans="1:17" ht="15">
      <c r="A94" s="2">
        <f t="shared" si="8"/>
        <v>90</v>
      </c>
      <c r="B94" s="82"/>
      <c r="C94" s="72"/>
      <c r="D94" s="73"/>
      <c r="E94" s="74"/>
      <c r="F94" s="75"/>
      <c r="G94" s="76"/>
      <c r="H94" s="77"/>
      <c r="I94" s="78"/>
      <c r="J94" s="77"/>
      <c r="K94" s="108"/>
      <c r="L94" s="77"/>
      <c r="M94" s="77"/>
      <c r="N94" s="77"/>
      <c r="O94" s="77"/>
      <c r="P94" s="81"/>
      <c r="Q94" s="81"/>
    </row>
    <row r="95" spans="1:17">
      <c r="A95" s="2">
        <f t="shared" si="8"/>
        <v>91</v>
      </c>
      <c r="B95" s="45"/>
      <c r="C95" s="72"/>
      <c r="D95" s="73"/>
      <c r="E95" s="74"/>
      <c r="F95" s="75"/>
      <c r="G95" s="76"/>
      <c r="H95" s="77"/>
      <c r="I95" s="78"/>
      <c r="J95" s="77"/>
      <c r="K95" s="107"/>
      <c r="L95" s="77"/>
      <c r="M95" s="77"/>
      <c r="N95" s="77"/>
      <c r="O95" s="77"/>
      <c r="P95" s="81"/>
      <c r="Q95" s="80"/>
    </row>
    <row r="96" spans="1:17">
      <c r="A96" s="2">
        <f t="shared" si="8"/>
        <v>92</v>
      </c>
      <c r="B96" s="45"/>
      <c r="C96" s="72"/>
      <c r="D96" s="73"/>
      <c r="E96" s="74"/>
      <c r="F96" s="75"/>
      <c r="G96" s="76"/>
      <c r="H96" s="77"/>
      <c r="I96" s="78"/>
      <c r="J96" s="77"/>
      <c r="K96" s="107"/>
      <c r="L96" s="77"/>
      <c r="M96" s="77"/>
      <c r="N96" s="77"/>
      <c r="O96" s="77"/>
      <c r="P96" s="81"/>
      <c r="Q96" s="80"/>
    </row>
    <row r="97" spans="1:17" ht="15">
      <c r="A97" s="2">
        <f t="shared" ref="A97:A126" si="9">A96+1</f>
        <v>93</v>
      </c>
      <c r="B97" s="82"/>
      <c r="C97" s="72"/>
      <c r="D97" s="73"/>
      <c r="E97" s="74"/>
      <c r="F97" s="75"/>
      <c r="G97" s="76"/>
      <c r="H97" s="77"/>
      <c r="I97" s="78"/>
      <c r="J97" s="77"/>
      <c r="K97" s="108"/>
      <c r="L97" s="77"/>
      <c r="M97" s="77"/>
      <c r="N97" s="77"/>
      <c r="O97" s="77"/>
      <c r="P97" s="81"/>
      <c r="Q97" s="81"/>
    </row>
    <row r="98" spans="1:17" ht="15.75" thickBot="1">
      <c r="A98" s="2">
        <f t="shared" si="9"/>
        <v>94</v>
      </c>
      <c r="B98" s="106"/>
      <c r="C98" s="94"/>
      <c r="D98" s="95"/>
      <c r="E98" s="96"/>
      <c r="F98" s="97"/>
      <c r="G98" s="98"/>
      <c r="H98" s="99"/>
      <c r="I98" s="100"/>
      <c r="J98" s="99"/>
      <c r="K98" s="112"/>
      <c r="L98" s="99"/>
      <c r="M98" s="99"/>
      <c r="N98" s="99"/>
      <c r="O98" s="99"/>
      <c r="P98" s="101"/>
      <c r="Q98" s="81"/>
    </row>
    <row r="99" spans="1:17" ht="15">
      <c r="A99" s="2">
        <f t="shared" si="9"/>
        <v>95</v>
      </c>
      <c r="B99" s="82"/>
      <c r="C99" s="85"/>
      <c r="D99" s="86"/>
      <c r="E99" s="87"/>
      <c r="F99" s="88"/>
      <c r="G99" s="89"/>
      <c r="H99" s="90"/>
      <c r="I99" s="91"/>
      <c r="J99" s="90"/>
      <c r="K99" s="108"/>
      <c r="L99" s="90"/>
      <c r="M99" s="90"/>
      <c r="N99" s="90"/>
      <c r="O99" s="90"/>
      <c r="P99" s="92"/>
      <c r="Q99" s="81"/>
    </row>
    <row r="100" spans="1:17">
      <c r="A100" s="2">
        <f t="shared" si="9"/>
        <v>96</v>
      </c>
      <c r="B100" s="45"/>
      <c r="C100" s="72"/>
      <c r="D100" s="73"/>
      <c r="E100" s="74"/>
      <c r="F100" s="75"/>
      <c r="G100" s="76"/>
      <c r="H100" s="77"/>
      <c r="I100" s="78"/>
      <c r="J100" s="77"/>
      <c r="K100" s="107"/>
      <c r="L100" s="77"/>
      <c r="M100" s="77"/>
      <c r="N100" s="77"/>
      <c r="O100" s="77"/>
      <c r="P100" s="81"/>
      <c r="Q100" s="81"/>
    </row>
    <row r="101" spans="1:17" ht="15">
      <c r="A101" s="2">
        <f t="shared" si="9"/>
        <v>97</v>
      </c>
      <c r="B101" s="82"/>
      <c r="C101" s="72"/>
      <c r="D101" s="73"/>
      <c r="E101" s="74"/>
      <c r="F101" s="75"/>
      <c r="G101" s="76"/>
      <c r="H101" s="77"/>
      <c r="I101" s="78"/>
      <c r="J101" s="77"/>
      <c r="K101" s="108"/>
      <c r="L101" s="77"/>
      <c r="M101" s="77"/>
      <c r="N101" s="77"/>
      <c r="O101" s="77"/>
      <c r="P101" s="81"/>
      <c r="Q101" s="81"/>
    </row>
    <row r="102" spans="1:17">
      <c r="A102" s="2">
        <f t="shared" si="9"/>
        <v>98</v>
      </c>
      <c r="B102" s="45"/>
      <c r="C102" s="72"/>
      <c r="D102" s="73"/>
      <c r="E102" s="74"/>
      <c r="F102" s="75"/>
      <c r="G102" s="76"/>
      <c r="H102" s="77"/>
      <c r="I102" s="78"/>
      <c r="J102" s="77"/>
      <c r="K102" s="107"/>
      <c r="L102" s="77"/>
      <c r="M102" s="77"/>
      <c r="N102" s="77"/>
      <c r="O102" s="77"/>
      <c r="P102" s="81"/>
      <c r="Q102" s="81"/>
    </row>
    <row r="103" spans="1:17">
      <c r="A103" s="2">
        <f t="shared" si="9"/>
        <v>99</v>
      </c>
      <c r="B103" s="45"/>
      <c r="C103" s="72"/>
      <c r="D103" s="73"/>
      <c r="E103" s="74"/>
      <c r="F103" s="75"/>
      <c r="G103" s="76"/>
      <c r="H103" s="77"/>
      <c r="I103" s="78"/>
      <c r="J103" s="77"/>
      <c r="K103" s="107"/>
      <c r="L103" s="77"/>
      <c r="M103" s="77"/>
      <c r="N103" s="77"/>
      <c r="O103" s="77"/>
      <c r="P103" s="81"/>
      <c r="Q103" s="81"/>
    </row>
    <row r="104" spans="1:17" ht="15">
      <c r="A104" s="2">
        <f t="shared" si="9"/>
        <v>100</v>
      </c>
      <c r="B104" s="82"/>
      <c r="C104" s="72"/>
      <c r="D104" s="73"/>
      <c r="E104" s="74"/>
      <c r="F104" s="75"/>
      <c r="G104" s="76"/>
      <c r="H104" s="77"/>
      <c r="I104" s="78"/>
      <c r="J104" s="77"/>
      <c r="K104" s="108"/>
      <c r="L104" s="77"/>
      <c r="M104" s="77"/>
      <c r="N104" s="77"/>
      <c r="O104" s="77"/>
      <c r="P104" s="81"/>
      <c r="Q104" s="81"/>
    </row>
    <row r="105" spans="1:17">
      <c r="A105" s="2">
        <f t="shared" si="9"/>
        <v>101</v>
      </c>
      <c r="B105" s="45"/>
      <c r="C105" s="72"/>
      <c r="D105" s="73"/>
      <c r="E105" s="74"/>
      <c r="F105" s="75"/>
      <c r="G105" s="76"/>
      <c r="H105" s="77"/>
      <c r="I105" s="78"/>
      <c r="J105" s="77"/>
      <c r="K105" s="107"/>
      <c r="L105" s="77"/>
      <c r="M105" s="77"/>
      <c r="N105" s="77"/>
      <c r="O105" s="77"/>
      <c r="P105" s="81"/>
      <c r="Q105" s="80"/>
    </row>
    <row r="106" spans="1:17" ht="15">
      <c r="A106" s="2">
        <f t="shared" si="9"/>
        <v>102</v>
      </c>
      <c r="B106" s="82"/>
      <c r="C106" s="72"/>
      <c r="D106" s="73"/>
      <c r="E106" s="74"/>
      <c r="F106" s="75"/>
      <c r="G106" s="76"/>
      <c r="H106" s="77"/>
      <c r="I106" s="78"/>
      <c r="J106" s="77"/>
      <c r="K106" s="108"/>
      <c r="L106" s="77"/>
      <c r="M106" s="77"/>
      <c r="N106" s="77"/>
      <c r="O106" s="77"/>
      <c r="P106" s="81"/>
      <c r="Q106" s="81"/>
    </row>
    <row r="107" spans="1:17" ht="15">
      <c r="A107" s="2">
        <f t="shared" si="9"/>
        <v>103</v>
      </c>
      <c r="B107" s="102"/>
      <c r="C107" s="72"/>
      <c r="D107" s="73"/>
      <c r="E107" s="74"/>
      <c r="F107" s="75"/>
      <c r="G107" s="76"/>
      <c r="H107" s="77"/>
      <c r="I107" s="78"/>
      <c r="J107" s="77"/>
      <c r="K107" s="111"/>
      <c r="L107" s="77"/>
      <c r="M107" s="77"/>
      <c r="N107" s="77"/>
      <c r="O107" s="77"/>
      <c r="P107" s="81"/>
      <c r="Q107" s="81"/>
    </row>
    <row r="108" spans="1:17" ht="15">
      <c r="A108" s="2">
        <f t="shared" si="9"/>
        <v>104</v>
      </c>
      <c r="B108" s="102"/>
      <c r="C108" s="72"/>
      <c r="D108" s="73"/>
      <c r="E108" s="74"/>
      <c r="F108" s="75"/>
      <c r="G108" s="76"/>
      <c r="H108" s="77"/>
      <c r="I108" s="78"/>
      <c r="J108" s="77"/>
      <c r="K108" s="111"/>
      <c r="L108" s="77"/>
      <c r="M108" s="77"/>
      <c r="N108" s="77"/>
      <c r="O108" s="77"/>
      <c r="P108" s="81"/>
      <c r="Q108" s="81"/>
    </row>
    <row r="109" spans="1:17" ht="15.75" thickBot="1">
      <c r="A109" s="2">
        <f t="shared" si="9"/>
        <v>105</v>
      </c>
      <c r="B109" s="106"/>
      <c r="C109" s="94"/>
      <c r="D109" s="95"/>
      <c r="E109" s="96"/>
      <c r="F109" s="97"/>
      <c r="G109" s="98"/>
      <c r="H109" s="99"/>
      <c r="I109" s="100"/>
      <c r="J109" s="99"/>
      <c r="K109" s="112"/>
      <c r="L109" s="99"/>
      <c r="M109" s="99"/>
      <c r="N109" s="99"/>
      <c r="O109" s="99"/>
      <c r="P109" s="101"/>
      <c r="Q109" s="81"/>
    </row>
    <row r="110" spans="1:17" ht="15">
      <c r="A110" s="2">
        <f t="shared" si="9"/>
        <v>106</v>
      </c>
      <c r="B110" s="82"/>
      <c r="C110" s="85"/>
      <c r="D110" s="86"/>
      <c r="E110" s="87"/>
      <c r="F110" s="88"/>
      <c r="G110" s="89"/>
      <c r="H110" s="90"/>
      <c r="I110" s="91"/>
      <c r="J110" s="90"/>
      <c r="K110" s="108"/>
      <c r="L110" s="90"/>
      <c r="M110" s="90"/>
      <c r="N110" s="90"/>
      <c r="O110" s="90"/>
      <c r="P110" s="92"/>
      <c r="Q110" s="81"/>
    </row>
    <row r="111" spans="1:17" ht="15">
      <c r="A111" s="2">
        <f t="shared" si="9"/>
        <v>107</v>
      </c>
      <c r="B111" s="82"/>
      <c r="C111" s="72"/>
      <c r="D111" s="73"/>
      <c r="E111" s="74"/>
      <c r="F111" s="75"/>
      <c r="G111" s="76"/>
      <c r="H111" s="77"/>
      <c r="I111" s="78"/>
      <c r="J111" s="77"/>
      <c r="K111" s="108"/>
      <c r="L111" s="77"/>
      <c r="M111" s="77"/>
      <c r="N111" s="77"/>
      <c r="O111" s="77"/>
      <c r="P111" s="81"/>
      <c r="Q111" s="81"/>
    </row>
    <row r="112" spans="1:17">
      <c r="A112" s="2">
        <f t="shared" si="9"/>
        <v>108</v>
      </c>
      <c r="B112" s="45"/>
      <c r="C112" s="72"/>
      <c r="D112" s="73"/>
      <c r="E112" s="74"/>
      <c r="F112" s="75"/>
      <c r="G112" s="76"/>
      <c r="H112" s="77"/>
      <c r="I112" s="78"/>
      <c r="J112" s="77"/>
      <c r="K112" s="107"/>
      <c r="L112" s="77"/>
      <c r="M112" s="77"/>
      <c r="N112" s="77"/>
      <c r="O112" s="77"/>
      <c r="P112" s="81"/>
      <c r="Q112" s="80"/>
    </row>
    <row r="113" spans="1:17" ht="15">
      <c r="A113" s="2">
        <f t="shared" si="9"/>
        <v>109</v>
      </c>
      <c r="B113" s="82"/>
      <c r="C113" s="72"/>
      <c r="D113" s="73"/>
      <c r="E113" s="74"/>
      <c r="F113" s="75"/>
      <c r="G113" s="76"/>
      <c r="H113" s="77"/>
      <c r="I113" s="78"/>
      <c r="J113" s="77"/>
      <c r="K113" s="108"/>
      <c r="L113" s="77"/>
      <c r="M113" s="77"/>
      <c r="N113" s="77"/>
      <c r="O113" s="77"/>
      <c r="P113" s="81"/>
      <c r="Q113" s="81"/>
    </row>
    <row r="114" spans="1:17" ht="15">
      <c r="A114" s="2">
        <f t="shared" si="9"/>
        <v>110</v>
      </c>
      <c r="B114" s="82"/>
      <c r="C114" s="72"/>
      <c r="D114" s="73"/>
      <c r="E114" s="74"/>
      <c r="F114" s="75"/>
      <c r="G114" s="76"/>
      <c r="H114" s="77"/>
      <c r="I114" s="78"/>
      <c r="J114" s="77"/>
      <c r="K114" s="108"/>
      <c r="L114" s="77"/>
      <c r="M114" s="77"/>
      <c r="N114" s="77"/>
      <c r="O114" s="77"/>
      <c r="P114" s="81"/>
      <c r="Q114" s="81"/>
    </row>
    <row r="115" spans="1:17">
      <c r="A115" s="2">
        <f t="shared" si="9"/>
        <v>111</v>
      </c>
      <c r="B115" s="45"/>
      <c r="C115" s="72"/>
      <c r="D115" s="73"/>
      <c r="E115" s="74"/>
      <c r="F115" s="75"/>
      <c r="G115" s="76"/>
      <c r="H115" s="77"/>
      <c r="I115" s="78"/>
      <c r="J115" s="77"/>
      <c r="K115" s="107"/>
      <c r="L115" s="77"/>
      <c r="M115" s="77"/>
      <c r="N115" s="77"/>
      <c r="O115" s="77"/>
      <c r="P115" s="81"/>
      <c r="Q115" s="81"/>
    </row>
    <row r="116" spans="1:17" ht="15">
      <c r="A116" s="2">
        <f t="shared" si="9"/>
        <v>112</v>
      </c>
      <c r="B116" s="82"/>
      <c r="C116" s="72"/>
      <c r="D116" s="73"/>
      <c r="E116" s="74"/>
      <c r="F116" s="75"/>
      <c r="G116" s="76"/>
      <c r="H116" s="77"/>
      <c r="I116" s="78"/>
      <c r="J116" s="77"/>
      <c r="K116" s="108"/>
      <c r="L116" s="77"/>
      <c r="M116" s="77"/>
      <c r="N116" s="77"/>
      <c r="O116" s="77"/>
      <c r="P116" s="81"/>
      <c r="Q116" s="80"/>
    </row>
    <row r="117" spans="1:17">
      <c r="A117" s="2">
        <f t="shared" si="9"/>
        <v>113</v>
      </c>
      <c r="B117" s="45"/>
      <c r="C117" s="72"/>
      <c r="D117" s="73"/>
      <c r="E117" s="74"/>
      <c r="F117" s="75"/>
      <c r="G117" s="76"/>
      <c r="H117" s="77"/>
      <c r="I117" s="78"/>
      <c r="J117" s="77"/>
      <c r="K117" s="107"/>
      <c r="L117" s="77"/>
      <c r="M117" s="77"/>
      <c r="N117" s="77"/>
      <c r="O117" s="77"/>
      <c r="P117" s="81"/>
      <c r="Q117" s="80"/>
    </row>
    <row r="118" spans="1:17">
      <c r="A118" s="2">
        <f t="shared" si="9"/>
        <v>114</v>
      </c>
      <c r="B118" s="123"/>
      <c r="C118" s="116"/>
      <c r="D118" s="116"/>
      <c r="E118" s="123"/>
      <c r="F118" s="118"/>
      <c r="G118" s="136"/>
      <c r="H118" s="136"/>
      <c r="I118" s="121"/>
      <c r="J118" s="120"/>
      <c r="K118" s="136"/>
      <c r="L118" s="136"/>
      <c r="M118" s="120"/>
      <c r="N118" s="120"/>
      <c r="O118" s="120"/>
      <c r="P118" s="123"/>
      <c r="Q118" s="123"/>
    </row>
    <row r="119" spans="1:17">
      <c r="A119" s="2">
        <f t="shared" si="9"/>
        <v>115</v>
      </c>
      <c r="B119" s="81"/>
      <c r="C119" s="134"/>
      <c r="D119" s="134"/>
      <c r="E119" s="81"/>
      <c r="F119" s="141"/>
      <c r="G119" s="135"/>
      <c r="H119" s="135"/>
      <c r="I119" s="144"/>
      <c r="J119" s="143"/>
      <c r="K119" s="135"/>
      <c r="L119" s="135"/>
      <c r="M119" s="138"/>
      <c r="N119" s="138"/>
      <c r="O119" s="138"/>
      <c r="P119" s="137"/>
      <c r="Q119" s="81"/>
    </row>
    <row r="120" spans="1:17" s="125" customFormat="1">
      <c r="A120" s="139">
        <f t="shared" si="9"/>
        <v>116</v>
      </c>
      <c r="B120" s="137"/>
      <c r="C120" s="140"/>
      <c r="D120" s="140"/>
      <c r="E120" s="137"/>
      <c r="F120" s="141"/>
      <c r="G120" s="142"/>
      <c r="H120" s="142"/>
      <c r="I120" s="144"/>
      <c r="J120" s="138"/>
      <c r="K120" s="142"/>
      <c r="L120" s="142"/>
      <c r="M120" s="138"/>
      <c r="N120" s="138"/>
      <c r="O120" s="138"/>
      <c r="P120" s="123"/>
      <c r="Q120" s="81"/>
    </row>
    <row r="121" spans="1:17" s="125" customFormat="1">
      <c r="A121" s="139">
        <f t="shared" si="9"/>
        <v>117</v>
      </c>
      <c r="B121" s="137"/>
      <c r="C121" s="140"/>
      <c r="D121" s="140"/>
      <c r="E121" s="137"/>
      <c r="F121" s="141"/>
      <c r="G121" s="142"/>
      <c r="H121" s="142"/>
      <c r="I121" s="144"/>
      <c r="J121" s="138"/>
      <c r="K121" s="142"/>
      <c r="L121" s="142"/>
      <c r="M121" s="138"/>
      <c r="N121" s="138"/>
      <c r="O121" s="138"/>
      <c r="P121" s="123"/>
      <c r="Q121" s="81"/>
    </row>
    <row r="122" spans="1:17">
      <c r="A122" s="139">
        <f t="shared" si="9"/>
        <v>118</v>
      </c>
      <c r="B122" s="137"/>
      <c r="C122" s="140"/>
      <c r="D122" s="140"/>
      <c r="E122" s="137"/>
      <c r="F122" s="141"/>
      <c r="G122" s="142"/>
      <c r="H122" s="142"/>
      <c r="I122" s="144"/>
      <c r="J122" s="138"/>
      <c r="K122" s="142"/>
      <c r="L122" s="142"/>
      <c r="M122" s="138"/>
      <c r="N122" s="138"/>
      <c r="O122" s="138"/>
      <c r="P122" s="81"/>
      <c r="Q122" s="81"/>
    </row>
    <row r="123" spans="1:17">
      <c r="A123" s="2">
        <f t="shared" si="9"/>
        <v>119</v>
      </c>
      <c r="B123" s="81"/>
      <c r="C123" s="134"/>
      <c r="D123" s="134"/>
      <c r="E123" s="137"/>
      <c r="F123" s="141"/>
      <c r="G123" s="135"/>
      <c r="H123" s="135"/>
      <c r="I123" s="144"/>
      <c r="J123" s="138"/>
      <c r="K123" s="135"/>
      <c r="L123" s="135"/>
      <c r="M123" s="138"/>
      <c r="N123" s="138"/>
      <c r="O123" s="138"/>
      <c r="P123" s="81"/>
      <c r="Q123" s="81"/>
    </row>
    <row r="124" spans="1:17">
      <c r="A124" s="2">
        <f t="shared" si="9"/>
        <v>120</v>
      </c>
      <c r="B124" s="123"/>
      <c r="C124" s="116"/>
      <c r="D124" s="116"/>
      <c r="E124" s="123"/>
      <c r="F124" s="118"/>
      <c r="G124" s="136"/>
      <c r="H124" s="136"/>
      <c r="I124" s="121"/>
      <c r="J124" s="120"/>
      <c r="K124" s="136"/>
      <c r="L124" s="136"/>
      <c r="M124" s="120"/>
      <c r="N124" s="120"/>
      <c r="O124" s="120"/>
      <c r="P124" s="123"/>
      <c r="Q124" s="123"/>
    </row>
    <row r="125" spans="1:17">
      <c r="A125" s="2">
        <f t="shared" si="9"/>
        <v>121</v>
      </c>
      <c r="B125" s="81"/>
      <c r="C125" s="134"/>
      <c r="D125" s="134"/>
      <c r="E125" s="81"/>
      <c r="F125" s="118"/>
      <c r="G125" s="135"/>
      <c r="H125" s="135"/>
      <c r="I125" s="144"/>
      <c r="J125" s="120"/>
      <c r="K125" s="135"/>
      <c r="L125" s="135"/>
      <c r="M125" s="120"/>
      <c r="N125" s="120"/>
      <c r="O125" s="120"/>
      <c r="P125" s="81"/>
      <c r="Q125" s="81"/>
    </row>
    <row r="126" spans="1:17">
      <c r="A126" s="2">
        <f t="shared" si="9"/>
        <v>122</v>
      </c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</sheetData>
  <autoFilter ref="A4:Q117"/>
  <phoneticPr fontId="0" type="noConversion"/>
  <pageMargins left="0.29652777777777778" right="0.26458333333333334" top="0.31388888888888888" bottom="0.98402777777777772" header="0.51180555555555551" footer="0.51180555555555551"/>
  <pageSetup scale="54" firstPageNumber="0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48"/>
  <sheetViews>
    <sheetView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B54" sqref="B54"/>
    </sheetView>
  </sheetViews>
  <sheetFormatPr baseColWidth="10" defaultRowHeight="12.75"/>
  <cols>
    <col min="1" max="1" width="6.140625" customWidth="1"/>
    <col min="2" max="14" width="8.5703125" customWidth="1"/>
    <col min="16" max="16" width="12.42578125" bestFit="1" customWidth="1"/>
  </cols>
  <sheetData>
    <row r="1" spans="1:14">
      <c r="A1" s="45"/>
      <c r="B1" s="45" t="s">
        <v>35</v>
      </c>
      <c r="C1" s="45" t="s">
        <v>36</v>
      </c>
      <c r="D1" s="45" t="s">
        <v>37</v>
      </c>
      <c r="E1" s="45" t="s">
        <v>38</v>
      </c>
      <c r="F1" s="45" t="s">
        <v>39</v>
      </c>
      <c r="G1" s="45" t="s">
        <v>40</v>
      </c>
      <c r="H1" s="46" t="s">
        <v>41</v>
      </c>
      <c r="I1" s="45" t="s">
        <v>42</v>
      </c>
      <c r="J1" s="45" t="s">
        <v>43</v>
      </c>
      <c r="K1" s="45" t="s">
        <v>44</v>
      </c>
      <c r="L1" s="45" t="s">
        <v>45</v>
      </c>
      <c r="M1" s="45" t="s">
        <v>46</v>
      </c>
      <c r="N1" s="45" t="s">
        <v>35</v>
      </c>
    </row>
    <row r="2" spans="1:14">
      <c r="A2" s="45">
        <v>1969</v>
      </c>
      <c r="B2" s="47"/>
      <c r="C2" s="48">
        <v>2.2381000000000002E-2</v>
      </c>
      <c r="D2" s="47">
        <v>2.2461999999999999E-2</v>
      </c>
      <c r="E2" s="47">
        <v>2.2484000000000001E-2</v>
      </c>
      <c r="F2" s="47">
        <v>2.2544999999999999E-2</v>
      </c>
      <c r="G2" s="47">
        <v>2.2544999999999999E-2</v>
      </c>
      <c r="H2" s="49">
        <v>2.2624999999999999E-2</v>
      </c>
      <c r="I2" s="47">
        <v>2.2710999999999999E-2</v>
      </c>
      <c r="J2" s="47">
        <v>2.2735999999999999E-2</v>
      </c>
      <c r="K2" s="47">
        <v>2.2949000000000001E-2</v>
      </c>
      <c r="L2" s="47">
        <v>2.3189999999999999E-2</v>
      </c>
      <c r="M2" s="47">
        <v>2.3189999999999999E-2</v>
      </c>
      <c r="N2" s="47" t="s">
        <v>47</v>
      </c>
    </row>
    <row r="3" spans="1:14">
      <c r="A3" s="45">
        <v>1970</v>
      </c>
      <c r="B3" s="47"/>
      <c r="C3" s="47">
        <v>2.3545E-2</v>
      </c>
      <c r="D3" s="47">
        <v>2.3542E-2</v>
      </c>
      <c r="E3" s="47">
        <v>2.3612000000000001E-2</v>
      </c>
      <c r="F3" s="47">
        <v>2.3642E-2</v>
      </c>
      <c r="G3" s="47">
        <v>2.3692000000000001E-2</v>
      </c>
      <c r="H3" s="49">
        <v>2.3836E-2</v>
      </c>
      <c r="I3" s="47">
        <v>2.3952000000000001E-2</v>
      </c>
      <c r="J3" s="47">
        <v>2.4063000000000001E-2</v>
      </c>
      <c r="K3" s="47">
        <v>2.4121E-2</v>
      </c>
      <c r="L3" s="47">
        <v>2.4129999999999999E-2</v>
      </c>
      <c r="M3" s="47"/>
      <c r="N3" s="47"/>
    </row>
    <row r="4" spans="1:14">
      <c r="A4" s="45">
        <v>1971</v>
      </c>
      <c r="B4" s="47"/>
      <c r="C4" s="47">
        <v>2.4705999999999999E-2</v>
      </c>
      <c r="D4" s="47">
        <v>2.4806000000000002E-2</v>
      </c>
      <c r="E4" s="47">
        <v>2.4902000000000001E-2</v>
      </c>
      <c r="F4" s="47">
        <v>2.503E-2</v>
      </c>
      <c r="G4" s="47">
        <v>2.5083000000000001E-2</v>
      </c>
      <c r="H4" s="49">
        <v>2.5196E-2</v>
      </c>
      <c r="I4" s="47">
        <v>2.5177000000000001E-2</v>
      </c>
      <c r="J4" s="47">
        <v>2.5406999999999999E-2</v>
      </c>
      <c r="K4" s="47">
        <v>2.5489999999999999E-2</v>
      </c>
      <c r="L4" s="47">
        <v>2.5514999999999999E-2</v>
      </c>
      <c r="M4" s="47"/>
      <c r="N4" s="47"/>
    </row>
    <row r="5" spans="1:14">
      <c r="A5" s="45">
        <v>1972</v>
      </c>
      <c r="B5" s="47"/>
      <c r="C5" s="47">
        <v>2.5791999999999999E-2</v>
      </c>
      <c r="D5" s="47">
        <v>2.5871999999999999E-2</v>
      </c>
      <c r="E5" s="47">
        <v>2.6013000000000001E-2</v>
      </c>
      <c r="F5" s="47">
        <v>2.6176999999999999E-2</v>
      </c>
      <c r="G5" s="47">
        <v>2.6228999999999999E-2</v>
      </c>
      <c r="H5" s="49">
        <v>2.6422999999999999E-2</v>
      </c>
      <c r="I5" s="47">
        <v>2.6523000000000001E-2</v>
      </c>
      <c r="J5" s="47">
        <v>2.6698E-2</v>
      </c>
      <c r="K5" s="47">
        <v>2.682E-2</v>
      </c>
      <c r="L5" s="47">
        <v>2.6838999999999998E-2</v>
      </c>
      <c r="M5" s="47"/>
      <c r="N5" s="47"/>
    </row>
    <row r="6" spans="1:14">
      <c r="A6" s="45">
        <v>1973</v>
      </c>
      <c r="B6" s="47"/>
      <c r="C6" s="47">
        <v>2.7498000000000002E-2</v>
      </c>
      <c r="D6" s="47">
        <v>2.7725E-2</v>
      </c>
      <c r="E6" s="47">
        <v>2.7969000000000001E-2</v>
      </c>
      <c r="F6" s="47">
        <v>2.8412E-2</v>
      </c>
      <c r="G6" s="47">
        <v>2.8714E-2</v>
      </c>
      <c r="H6" s="49">
        <v>2.895E-2</v>
      </c>
      <c r="I6" s="47">
        <v>2.9692E-2</v>
      </c>
      <c r="J6" s="47">
        <v>3.0169000000000001E-2</v>
      </c>
      <c r="K6" s="47">
        <v>3.0886E-2</v>
      </c>
      <c r="L6" s="47">
        <v>3.1282999999999998E-2</v>
      </c>
      <c r="M6" s="47"/>
      <c r="N6" s="47"/>
    </row>
    <row r="7" spans="1:14">
      <c r="A7" s="45">
        <v>1974</v>
      </c>
      <c r="B7" s="47"/>
      <c r="C7" s="47">
        <v>3.4075000000000001E-2</v>
      </c>
      <c r="D7" s="47">
        <v>3.4845000000000001E-2</v>
      </c>
      <c r="E7" s="47">
        <v>3.5113999999999999E-2</v>
      </c>
      <c r="F7" s="47">
        <v>3.5589999999999997E-2</v>
      </c>
      <c r="G7" s="47">
        <v>3.5869999999999999E-2</v>
      </c>
      <c r="H7" s="49">
        <v>3.6225E-2</v>
      </c>
      <c r="I7" s="47">
        <v>3.6748000000000003E-2</v>
      </c>
      <c r="J7" s="47">
        <v>3.7136000000000002E-2</v>
      </c>
      <c r="K7" s="47">
        <v>3.7557E-2</v>
      </c>
      <c r="L7" s="47">
        <v>3.8302999999999997E-2</v>
      </c>
      <c r="M7" s="47"/>
      <c r="N7" s="47"/>
    </row>
    <row r="8" spans="1:14">
      <c r="A8" s="45">
        <v>1975</v>
      </c>
      <c r="B8" s="47"/>
      <c r="C8" s="47">
        <v>4.0181000000000001E-2</v>
      </c>
      <c r="D8" s="47">
        <v>4.0402E-2</v>
      </c>
      <c r="E8" s="47">
        <v>4.0656999999999999E-2</v>
      </c>
      <c r="F8" s="47">
        <v>4.1001000000000003E-2</v>
      </c>
      <c r="G8" s="47">
        <v>4.1549000000000003E-2</v>
      </c>
      <c r="H8" s="49">
        <v>4.2256000000000002E-2</v>
      </c>
      <c r="I8" s="47">
        <v>4.2594E-2</v>
      </c>
      <c r="J8" s="47">
        <v>4.2962E-2</v>
      </c>
      <c r="K8" s="47">
        <v>4.3275000000000001E-2</v>
      </c>
      <c r="L8" s="47">
        <v>4.3497000000000001E-2</v>
      </c>
      <c r="M8" s="47"/>
      <c r="N8" s="47"/>
    </row>
    <row r="9" spans="1:14">
      <c r="A9" s="45">
        <v>1976</v>
      </c>
      <c r="B9" s="47"/>
      <c r="C9" s="47">
        <v>4.5012000000000003E-2</v>
      </c>
      <c r="D9" s="47">
        <v>4.5853999999999999E-2</v>
      </c>
      <c r="E9" s="47">
        <v>4.6302999999999997E-2</v>
      </c>
      <c r="F9" s="47">
        <v>4.6627000000000002E-2</v>
      </c>
      <c r="G9" s="47">
        <v>4.6954000000000003E-2</v>
      </c>
      <c r="H9" s="49">
        <v>4.7142999999999997E-2</v>
      </c>
      <c r="I9" s="47">
        <v>4.7542000000000001E-2</v>
      </c>
      <c r="J9" s="47">
        <v>4.7995999999999997E-2</v>
      </c>
      <c r="K9" s="47">
        <v>4.9632999999999997E-2</v>
      </c>
      <c r="L9" s="47">
        <v>5.2428000000000002E-2</v>
      </c>
      <c r="M9" s="47"/>
      <c r="N9" s="47"/>
    </row>
    <row r="10" spans="1:14">
      <c r="A10" s="45">
        <v>1977</v>
      </c>
      <c r="B10" s="47"/>
      <c r="C10" s="47">
        <v>5.7960999999999999E-2</v>
      </c>
      <c r="D10" s="47">
        <v>5.9241000000000002E-2</v>
      </c>
      <c r="E10" s="47">
        <v>6.0274000000000001E-2</v>
      </c>
      <c r="F10" s="47">
        <v>6.1185000000000003E-2</v>
      </c>
      <c r="G10" s="47">
        <v>6.1723E-2</v>
      </c>
      <c r="H10" s="49">
        <v>6.2479E-2</v>
      </c>
      <c r="I10" s="47">
        <v>6.3186000000000006E-2</v>
      </c>
      <c r="J10" s="47">
        <v>6.4481999999999998E-2</v>
      </c>
      <c r="K10" s="47">
        <v>6.5626000000000004E-2</v>
      </c>
      <c r="L10" s="47">
        <v>6.6128000000000006E-2</v>
      </c>
      <c r="M10" s="47"/>
      <c r="N10" s="47"/>
    </row>
    <row r="11" spans="1:14">
      <c r="A11" s="45">
        <v>1978</v>
      </c>
      <c r="B11" s="47"/>
      <c r="C11" s="47">
        <v>6.9282999999999997E-2</v>
      </c>
      <c r="D11" s="47">
        <v>7.0277999999999993E-2</v>
      </c>
      <c r="E11" s="47">
        <v>7.1009000000000003E-2</v>
      </c>
      <c r="F11" s="47">
        <v>7.1799000000000002E-2</v>
      </c>
      <c r="G11" s="47">
        <v>7.2501999999999997E-2</v>
      </c>
      <c r="H11" s="49">
        <v>7.3499999999999996E-2</v>
      </c>
      <c r="I11" s="47">
        <v>7.4746000000000007E-2</v>
      </c>
      <c r="J11" s="47">
        <v>7.5491000000000003E-2</v>
      </c>
      <c r="K11" s="47">
        <v>7.6353000000000004E-2</v>
      </c>
      <c r="L11" s="47">
        <v>7.7277999999999999E-2</v>
      </c>
      <c r="M11" s="47"/>
      <c r="N11" s="47"/>
    </row>
    <row r="12" spans="1:14">
      <c r="A12" s="45">
        <v>1979</v>
      </c>
      <c r="B12" s="47"/>
      <c r="C12" s="47">
        <v>8.1531000000000006E-2</v>
      </c>
      <c r="D12" s="47">
        <v>8.2702999999999999E-2</v>
      </c>
      <c r="E12" s="47">
        <v>8.3824999999999997E-2</v>
      </c>
      <c r="F12" s="47">
        <v>8.4574999999999997E-2</v>
      </c>
      <c r="G12" s="47">
        <v>8.5683999999999996E-2</v>
      </c>
      <c r="H12" s="49">
        <v>8.6634000000000003E-2</v>
      </c>
      <c r="I12" s="47">
        <v>8.7683999999999998E-2</v>
      </c>
      <c r="J12" s="47">
        <v>8.9011000000000007E-2</v>
      </c>
      <c r="K12" s="47">
        <v>9.0102000000000002E-2</v>
      </c>
      <c r="L12" s="47">
        <v>9.1675999999999994E-2</v>
      </c>
      <c r="M12" s="47"/>
      <c r="N12" s="47">
        <f>0.03411*27.7032/100</f>
        <v>9.4495615200000001E-3</v>
      </c>
    </row>
    <row r="13" spans="1:14">
      <c r="A13" s="45">
        <v>1980</v>
      </c>
      <c r="B13" s="103">
        <f t="shared" ref="B13:B25" si="0">+N12</f>
        <v>9.4495615200000001E-3</v>
      </c>
      <c r="C13" s="47">
        <v>9.9106E-2</v>
      </c>
      <c r="D13" s="47">
        <v>1.014E-2</v>
      </c>
      <c r="E13" s="47">
        <v>0.10348</v>
      </c>
      <c r="F13" s="47">
        <v>0.10528999999999999</v>
      </c>
      <c r="G13" s="47">
        <v>0.10700999999999999</v>
      </c>
      <c r="H13" s="49">
        <v>0.10913</v>
      </c>
      <c r="I13" s="47">
        <v>0.11218</v>
      </c>
      <c r="J13" s="47">
        <v>0.1145</v>
      </c>
      <c r="K13" s="47">
        <v>0.11577</v>
      </c>
      <c r="L13" s="47">
        <v>0.11753</v>
      </c>
      <c r="M13" s="47">
        <f>0.04242*27.7032/100</f>
        <v>1.175169744E-2</v>
      </c>
      <c r="N13" s="47">
        <f>0.4429*27.7032/100</f>
        <v>0.12269747280000001</v>
      </c>
    </row>
    <row r="14" spans="1:14">
      <c r="A14" s="45">
        <v>1981</v>
      </c>
      <c r="B14" s="103">
        <f t="shared" si="0"/>
        <v>0.12269747280000001</v>
      </c>
      <c r="C14" s="47">
        <v>0.12665999999999999</v>
      </c>
      <c r="D14" s="47">
        <v>0.12977</v>
      </c>
      <c r="E14" s="47">
        <v>0.13253999999999999</v>
      </c>
      <c r="F14" s="47">
        <v>0.13553000000000001</v>
      </c>
      <c r="G14" s="47">
        <v>0.13758000000000001</v>
      </c>
      <c r="H14" s="49">
        <v>0.13951</v>
      </c>
      <c r="I14" s="47">
        <v>0.14196</v>
      </c>
      <c r="J14" s="47">
        <v>0.14488999999999999</v>
      </c>
      <c r="K14" s="47">
        <v>0.14757999999999999</v>
      </c>
      <c r="L14" s="47">
        <v>0.15085999999999999</v>
      </c>
      <c r="M14" s="47">
        <f>0.555*27.7032/100</f>
        <v>0.15375276000000002</v>
      </c>
      <c r="N14" s="47">
        <f>0.57*27.7032/100</f>
        <v>0.15790823999999998</v>
      </c>
    </row>
    <row r="15" spans="1:14">
      <c r="A15" s="45">
        <v>1982</v>
      </c>
      <c r="B15" s="103">
        <f t="shared" si="0"/>
        <v>0.15790823999999998</v>
      </c>
      <c r="C15" s="47">
        <v>0.16575000000000001</v>
      </c>
      <c r="D15" s="47">
        <v>0.17226</v>
      </c>
      <c r="E15" s="47">
        <v>0.17854999999999999</v>
      </c>
      <c r="F15" s="47">
        <v>0.18823000000000001</v>
      </c>
      <c r="G15" s="47">
        <v>0.19880999999999999</v>
      </c>
      <c r="H15" s="49">
        <v>0.20838000000000001</v>
      </c>
      <c r="I15" s="47">
        <v>0.21912000000000001</v>
      </c>
      <c r="J15" s="47">
        <v>0.24371000000000001</v>
      </c>
      <c r="K15" s="47">
        <v>0.25672</v>
      </c>
      <c r="L15" s="47">
        <v>0.27002999999999999</v>
      </c>
      <c r="M15" s="47">
        <f>1.024*27.7032/100</f>
        <v>0.28368076800000003</v>
      </c>
      <c r="N15" s="47">
        <f>1.1334*27.7032/100</f>
        <v>0.31398806879999996</v>
      </c>
    </row>
    <row r="16" spans="1:14">
      <c r="A16" s="45">
        <v>1983</v>
      </c>
      <c r="B16" s="103">
        <f t="shared" si="0"/>
        <v>0.31398806879999996</v>
      </c>
      <c r="C16" s="47">
        <v>0.34814000000000001</v>
      </c>
      <c r="D16" s="47">
        <v>0.36681999999999998</v>
      </c>
      <c r="E16" s="47">
        <v>0.38457999999999998</v>
      </c>
      <c r="F16" s="47">
        <v>0.40893000000000002</v>
      </c>
      <c r="G16" s="47">
        <v>0.42665999999999998</v>
      </c>
      <c r="H16" s="49">
        <v>0.44281999999999999</v>
      </c>
      <c r="I16" s="47">
        <v>0.46471000000000001</v>
      </c>
      <c r="J16" s="47">
        <v>0.48275000000000001</v>
      </c>
      <c r="K16" s="47">
        <v>0.49761</v>
      </c>
      <c r="L16" s="47">
        <v>0.51412000000000002</v>
      </c>
      <c r="M16" s="47">
        <f>1.9648*27.7032/100</f>
        <v>0.54431247360000001</v>
      </c>
      <c r="N16" s="47">
        <f>2.0488*27.7032/100</f>
        <v>0.5675831616</v>
      </c>
    </row>
    <row r="17" spans="1:15">
      <c r="A17" s="45">
        <v>1984</v>
      </c>
      <c r="B17" s="103">
        <f t="shared" si="0"/>
        <v>0.5675831616</v>
      </c>
      <c r="C17" s="47">
        <v>0.60365999999999997</v>
      </c>
      <c r="D17" s="47">
        <v>0.63551999999999997</v>
      </c>
      <c r="E17" s="47">
        <v>0.66268000000000005</v>
      </c>
      <c r="F17" s="47">
        <v>0.69135000000000002</v>
      </c>
      <c r="G17" s="47">
        <v>0.71426999999999996</v>
      </c>
      <c r="H17" s="49">
        <v>0.74012</v>
      </c>
      <c r="I17" s="47">
        <v>0.76437999999999995</v>
      </c>
      <c r="J17" s="47">
        <v>0.78610999999999998</v>
      </c>
      <c r="K17" s="47">
        <v>0.80952999999999997</v>
      </c>
      <c r="L17" s="47">
        <v>0.83781000000000005</v>
      </c>
      <c r="M17" s="47">
        <f>3.128*27.7032/100</f>
        <v>0.86655609600000005</v>
      </c>
      <c r="N17" s="47">
        <f>3.2609*27.7032/100</f>
        <v>0.90337364879999993</v>
      </c>
    </row>
    <row r="18" spans="1:15">
      <c r="A18" s="45">
        <v>1985</v>
      </c>
      <c r="B18" s="103">
        <f t="shared" si="0"/>
        <v>0.90337364879999993</v>
      </c>
      <c r="C18" s="47">
        <v>0.97038000000000002</v>
      </c>
      <c r="D18" s="47">
        <v>1.0106999999999999</v>
      </c>
      <c r="E18" s="47">
        <v>1.0499000000000001</v>
      </c>
      <c r="F18" s="47">
        <v>1.0822000000000001</v>
      </c>
      <c r="G18" s="47">
        <v>1.1077999999999999</v>
      </c>
      <c r="H18" s="49">
        <v>1.1355</v>
      </c>
      <c r="I18" s="47">
        <v>1.1751</v>
      </c>
      <c r="J18" s="47">
        <v>1.2264999999999999</v>
      </c>
      <c r="K18" s="47">
        <v>1.2754000000000001</v>
      </c>
      <c r="L18" s="47">
        <v>1.3239000000000001</v>
      </c>
      <c r="M18" s="47">
        <f>4.9993*27.7032/100</f>
        <v>1.3849660775999999</v>
      </c>
      <c r="N18" s="47">
        <f>5.3397*27.7032/100</f>
        <v>1.4792677703999999</v>
      </c>
    </row>
    <row r="19" spans="1:15">
      <c r="A19" s="45">
        <v>1986</v>
      </c>
      <c r="B19" s="103">
        <f t="shared" si="0"/>
        <v>1.4792677703999999</v>
      </c>
      <c r="C19" s="47">
        <v>1.61</v>
      </c>
      <c r="D19" s="47">
        <v>1.6816</v>
      </c>
      <c r="E19" s="47">
        <v>1.7598</v>
      </c>
      <c r="F19" s="47">
        <v>1.8516999999999999</v>
      </c>
      <c r="G19" s="47">
        <v>1.9545999999999999</v>
      </c>
      <c r="H19" s="49">
        <v>2.08</v>
      </c>
      <c r="I19" s="47">
        <v>2.1838000000000002</v>
      </c>
      <c r="J19" s="47">
        <v>2.3578999999999999</v>
      </c>
      <c r="K19" s="47">
        <v>2.4994000000000001</v>
      </c>
      <c r="L19" s="47">
        <v>2.6421999999999999</v>
      </c>
      <c r="M19" s="47">
        <f>10.1823*27.7032/100</f>
        <v>2.8208229336000001</v>
      </c>
      <c r="N19" s="47">
        <f>10.9862*27.7032/100</f>
        <v>3.0435289583999996</v>
      </c>
    </row>
    <row r="20" spans="1:15">
      <c r="A20" s="45">
        <v>1987</v>
      </c>
      <c r="B20" s="103">
        <f t="shared" si="0"/>
        <v>3.0435289583999996</v>
      </c>
      <c r="C20" s="47">
        <v>3.29</v>
      </c>
      <c r="D20" s="47">
        <v>3.5274000000000001</v>
      </c>
      <c r="E20" s="47">
        <v>3.7605</v>
      </c>
      <c r="F20" s="47">
        <v>4.0895000000000001</v>
      </c>
      <c r="G20" s="47">
        <v>4.3978000000000002</v>
      </c>
      <c r="H20" s="49">
        <v>4.7160000000000002</v>
      </c>
      <c r="I20" s="47">
        <v>5.0979999999999999</v>
      </c>
      <c r="J20" s="47">
        <v>5.5145999999999997</v>
      </c>
      <c r="K20" s="47">
        <v>5.8779000000000003</v>
      </c>
      <c r="L20" s="47">
        <v>6.3677999999999999</v>
      </c>
      <c r="M20" s="47">
        <f>24.8087*27.7032/100</f>
        <v>6.8728037784000007</v>
      </c>
      <c r="N20" s="47">
        <f>28.4729*27.7032/100</f>
        <v>7.8879044328000001</v>
      </c>
    </row>
    <row r="21" spans="1:15">
      <c r="A21" s="45">
        <v>1988</v>
      </c>
      <c r="B21" s="103">
        <f t="shared" si="0"/>
        <v>7.8879044328000001</v>
      </c>
      <c r="C21" s="47">
        <v>9.1075999999999997</v>
      </c>
      <c r="D21" s="47">
        <v>9.8673000000000002</v>
      </c>
      <c r="E21" s="47">
        <v>10.372999999999999</v>
      </c>
      <c r="F21" s="47">
        <v>10.692</v>
      </c>
      <c r="G21" s="47">
        <v>10.898999999999999</v>
      </c>
      <c r="H21" s="49">
        <v>11.121</v>
      </c>
      <c r="I21" s="47">
        <v>11.307</v>
      </c>
      <c r="J21" s="47">
        <v>11.411</v>
      </c>
      <c r="K21" s="47">
        <v>11.476000000000001</v>
      </c>
      <c r="L21" s="47">
        <v>11.563000000000001</v>
      </c>
      <c r="M21" s="47">
        <f>42.2989*27.7032/100</f>
        <v>11.7181488648</v>
      </c>
      <c r="N21" s="47">
        <f>43.1814*27.7032/100</f>
        <v>11.9626296048</v>
      </c>
    </row>
    <row r="22" spans="1:15">
      <c r="A22" s="45">
        <v>1989</v>
      </c>
      <c r="B22" s="103">
        <f t="shared" si="0"/>
        <v>11.9626296048</v>
      </c>
      <c r="C22" s="47">
        <v>12.256</v>
      </c>
      <c r="D22" s="47">
        <v>12.422000000000001</v>
      </c>
      <c r="E22" s="47">
        <v>12.555999999999999</v>
      </c>
      <c r="F22" s="47">
        <v>12.744</v>
      </c>
      <c r="G22" s="47">
        <v>12.92</v>
      </c>
      <c r="H22" s="49">
        <v>13.077</v>
      </c>
      <c r="I22" s="47">
        <v>13.207000000000001</v>
      </c>
      <c r="J22" s="47">
        <v>13.333</v>
      </c>
      <c r="K22" s="47">
        <v>13.461</v>
      </c>
      <c r="L22" s="47">
        <v>13.66</v>
      </c>
      <c r="M22" s="47">
        <f>49.9996*27.7032/100</f>
        <v>13.8514891872</v>
      </c>
      <c r="N22" s="47">
        <f>51.687*27.7032/100</f>
        <v>14.318952983999997</v>
      </c>
    </row>
    <row r="23" spans="1:15">
      <c r="A23" s="45">
        <v>1990</v>
      </c>
      <c r="B23" s="103">
        <f t="shared" si="0"/>
        <v>14.318952983999997</v>
      </c>
      <c r="C23" s="47">
        <v>15.01</v>
      </c>
      <c r="D23" s="47">
        <v>15.35</v>
      </c>
      <c r="E23" s="47">
        <v>15.621</v>
      </c>
      <c r="F23" s="47">
        <v>15.858000000000001</v>
      </c>
      <c r="G23" s="47">
        <v>16.135000000000002</v>
      </c>
      <c r="H23" s="49">
        <v>16.489999999999998</v>
      </c>
      <c r="I23" s="47">
        <v>16.791</v>
      </c>
      <c r="J23" s="47">
        <v>17.077000000000002</v>
      </c>
      <c r="K23" s="47">
        <v>17.321000000000002</v>
      </c>
      <c r="L23" s="47">
        <v>17.57</v>
      </c>
      <c r="M23" s="47">
        <f>65.1049*27.7032/100</f>
        <v>18.036140656799997</v>
      </c>
      <c r="N23" s="47">
        <f>67.1568*27.7032/100</f>
        <v>18.604582617600002</v>
      </c>
    </row>
    <row r="24" spans="1:15">
      <c r="A24" s="45">
        <v>1991</v>
      </c>
      <c r="B24" s="103">
        <f t="shared" si="0"/>
        <v>18.604582617600002</v>
      </c>
      <c r="C24" s="47">
        <v>19.079000000000001</v>
      </c>
      <c r="D24" s="47">
        <v>19.411999999999999</v>
      </c>
      <c r="E24" s="47">
        <v>19.689</v>
      </c>
      <c r="F24" s="47">
        <v>19.895</v>
      </c>
      <c r="G24" s="47">
        <v>20.088999999999999</v>
      </c>
      <c r="H24" s="49">
        <v>20.3</v>
      </c>
      <c r="I24" s="47">
        <v>20.48</v>
      </c>
      <c r="J24" s="47">
        <v>20.622</v>
      </c>
      <c r="K24" s="47">
        <v>20.827999999999999</v>
      </c>
      <c r="L24" s="47">
        <v>21.07</v>
      </c>
      <c r="M24" s="47">
        <f>77.9438*27.7032/100</f>
        <v>21.592926801599997</v>
      </c>
      <c r="N24" s="47">
        <f>79.7786*27.7032/100</f>
        <v>22.101225115199998</v>
      </c>
    </row>
    <row r="25" spans="1:15">
      <c r="A25" s="45">
        <v>1992</v>
      </c>
      <c r="B25" s="103">
        <f t="shared" si="0"/>
        <v>22.101225115199998</v>
      </c>
      <c r="C25" s="47">
        <v>22.503</v>
      </c>
      <c r="D25" s="47">
        <v>22.77</v>
      </c>
      <c r="E25" s="47">
        <v>23.001000000000001</v>
      </c>
      <c r="F25" s="47">
        <v>23.206</v>
      </c>
      <c r="G25" s="47">
        <v>23.359000000000002</v>
      </c>
      <c r="H25" s="49">
        <v>23.516999999999999</v>
      </c>
      <c r="I25" s="47">
        <v>23.666</v>
      </c>
      <c r="J25" s="47">
        <v>23.811</v>
      </c>
      <c r="K25" s="47">
        <v>24.018000000000001</v>
      </c>
      <c r="L25" s="47">
        <v>24.190999999999999</v>
      </c>
      <c r="M25" s="47">
        <v>24.391999999999999</v>
      </c>
      <c r="N25" s="47">
        <v>24.74</v>
      </c>
    </row>
    <row r="26" spans="1:15">
      <c r="A26" s="45">
        <v>1993</v>
      </c>
      <c r="B26" s="103">
        <f>+N25</f>
        <v>24.74</v>
      </c>
      <c r="C26" s="47">
        <v>25.05</v>
      </c>
      <c r="D26" s="47">
        <v>25.254999999999999</v>
      </c>
      <c r="E26" s="47">
        <v>25.402000000000001</v>
      </c>
      <c r="F26" s="47">
        <v>25.547999999999998</v>
      </c>
      <c r="G26" s="47">
        <v>25.693999999999999</v>
      </c>
      <c r="H26" s="49">
        <v>25.838999999999999</v>
      </c>
      <c r="I26" s="47">
        <v>25.963000000000001</v>
      </c>
      <c r="J26" s="47">
        <v>26.102</v>
      </c>
      <c r="K26" s="47">
        <v>26.295000000000002</v>
      </c>
      <c r="L26" s="47">
        <v>26.402999999999999</v>
      </c>
      <c r="M26" s="47">
        <v>26.518999999999998</v>
      </c>
      <c r="N26" s="47">
        <v>26.721</v>
      </c>
    </row>
    <row r="27" spans="1:15">
      <c r="A27" s="45">
        <v>1994</v>
      </c>
      <c r="B27" s="103">
        <f t="shared" ref="B27:B35" si="1">+N26</f>
        <v>26.721</v>
      </c>
      <c r="C27" s="47">
        <v>26.928000000000001</v>
      </c>
      <c r="D27" s="47">
        <v>27.067</v>
      </c>
      <c r="E27" s="47">
        <v>27.206</v>
      </c>
      <c r="F27" s="47">
        <v>27.338999999999999</v>
      </c>
      <c r="G27" s="47">
        <v>27.471</v>
      </c>
      <c r="H27" s="49">
        <v>27.609000000000002</v>
      </c>
      <c r="I27" s="47">
        <v>27.731000000000002</v>
      </c>
      <c r="J27" s="47">
        <v>27.861000000000001</v>
      </c>
      <c r="K27" s="47">
        <v>28.059000000000001</v>
      </c>
      <c r="L27" s="47">
        <v>28.206</v>
      </c>
      <c r="M27" s="47">
        <v>28.356999999999999</v>
      </c>
      <c r="N27" s="47">
        <v>28.606000000000002</v>
      </c>
    </row>
    <row r="28" spans="1:15">
      <c r="A28" s="50">
        <v>1995</v>
      </c>
      <c r="B28" s="103">
        <f t="shared" si="1"/>
        <v>28.606000000000002</v>
      </c>
      <c r="C28" s="51">
        <v>29.681999999999999</v>
      </c>
      <c r="D28" s="51">
        <v>30.94</v>
      </c>
      <c r="E28" s="51">
        <v>32.764000000000003</v>
      </c>
      <c r="F28" s="51">
        <v>35.375</v>
      </c>
      <c r="G28" s="51">
        <v>36.853000000000002</v>
      </c>
      <c r="H28" s="52">
        <v>38.023000000000003</v>
      </c>
      <c r="I28" s="51">
        <v>37.798000000000002</v>
      </c>
      <c r="J28" s="51">
        <v>39.442</v>
      </c>
      <c r="K28" s="51">
        <v>40.258000000000003</v>
      </c>
      <c r="L28" s="51">
        <v>41.085999999999999</v>
      </c>
      <c r="M28" s="51">
        <v>42.098999999999997</v>
      </c>
      <c r="N28" s="51">
        <v>43.470999999999997</v>
      </c>
    </row>
    <row r="29" spans="1:15">
      <c r="A29" s="45">
        <v>1996</v>
      </c>
      <c r="B29" s="103">
        <f t="shared" si="1"/>
        <v>43.470999999999997</v>
      </c>
      <c r="C29" s="47">
        <v>45.033000000000001</v>
      </c>
      <c r="D29" s="47">
        <v>46.084000000000003</v>
      </c>
      <c r="E29" s="47">
        <v>47.098999999999997</v>
      </c>
      <c r="F29" s="47">
        <v>48.438000000000002</v>
      </c>
      <c r="G29" s="47">
        <v>49.320999999999998</v>
      </c>
      <c r="H29" s="49">
        <v>50.124000000000002</v>
      </c>
      <c r="I29" s="47">
        <v>50.835999999999999</v>
      </c>
      <c r="J29" s="47">
        <v>51.512</v>
      </c>
      <c r="K29" s="47">
        <v>52.335999999999999</v>
      </c>
      <c r="L29" s="47">
        <v>52.988999999999997</v>
      </c>
      <c r="M29" s="47">
        <v>53.792000000000002</v>
      </c>
      <c r="N29" s="47">
        <v>55.514000000000003</v>
      </c>
    </row>
    <row r="30" spans="1:15">
      <c r="A30" s="45">
        <v>1997</v>
      </c>
      <c r="B30" s="103">
        <f t="shared" si="1"/>
        <v>55.514000000000003</v>
      </c>
      <c r="C30" s="47">
        <v>56.942</v>
      </c>
      <c r="D30" s="47">
        <v>57.898000000000003</v>
      </c>
      <c r="E30" s="47">
        <v>58.619</v>
      </c>
      <c r="F30" s="47">
        <v>59.252000000000002</v>
      </c>
      <c r="G30" s="47">
        <v>59.792999999999999</v>
      </c>
      <c r="H30" s="49">
        <v>60.323999999999998</v>
      </c>
      <c r="I30" s="47">
        <v>60.848999999999997</v>
      </c>
      <c r="J30" s="47">
        <v>61.39</v>
      </c>
      <c r="K30" s="47">
        <v>62.155000000000001</v>
      </c>
      <c r="L30" s="47">
        <v>62.652000000000001</v>
      </c>
      <c r="M30" s="47">
        <v>63.351999999999997</v>
      </c>
      <c r="N30" s="47">
        <v>64.239999999999995</v>
      </c>
      <c r="O30" s="53"/>
    </row>
    <row r="31" spans="1:15">
      <c r="A31" s="45">
        <v>1998</v>
      </c>
      <c r="B31" s="103">
        <f t="shared" si="1"/>
        <v>64.239999999999995</v>
      </c>
      <c r="C31" s="47">
        <v>65.638000000000005</v>
      </c>
      <c r="D31" s="47">
        <v>66.787000000000006</v>
      </c>
      <c r="E31" s="47">
        <v>67.569000000000003</v>
      </c>
      <c r="F31" s="47">
        <v>68.200999999999993</v>
      </c>
      <c r="G31" s="47">
        <v>68.745000000000005</v>
      </c>
      <c r="H31" s="49">
        <v>69.557000000000002</v>
      </c>
      <c r="I31" s="47">
        <v>70.227999999999994</v>
      </c>
      <c r="J31" s="47">
        <v>70.903000000000006</v>
      </c>
      <c r="K31" s="47">
        <v>72.052999999999997</v>
      </c>
      <c r="L31" s="47">
        <v>73.084999999999994</v>
      </c>
      <c r="M31" s="47">
        <v>74.38</v>
      </c>
      <c r="N31" s="47">
        <v>76.194000000000003</v>
      </c>
    </row>
    <row r="32" spans="1:15">
      <c r="A32">
        <v>1999</v>
      </c>
      <c r="B32" s="103">
        <f t="shared" si="1"/>
        <v>76.194000000000003</v>
      </c>
      <c r="C32" s="47">
        <v>78.119</v>
      </c>
      <c r="D32" s="47">
        <v>79.168999999999997</v>
      </c>
      <c r="E32" s="47">
        <v>79.903999999999996</v>
      </c>
      <c r="F32" s="47">
        <v>80.637</v>
      </c>
      <c r="G32" s="47">
        <v>81.122</v>
      </c>
      <c r="H32" s="49">
        <v>81.655000000000001</v>
      </c>
      <c r="I32" s="47">
        <v>82.194999999999993</v>
      </c>
      <c r="J32" s="47">
        <v>82.658000000000001</v>
      </c>
      <c r="K32" s="47">
        <v>83.456000000000003</v>
      </c>
      <c r="L32" s="47">
        <v>83.984999999999999</v>
      </c>
      <c r="M32" s="47">
        <v>84.731999999999999</v>
      </c>
      <c r="N32" s="47">
        <v>85.581000000000003</v>
      </c>
    </row>
    <row r="33" spans="1:17">
      <c r="A33">
        <v>2000</v>
      </c>
      <c r="B33" s="103">
        <f t="shared" si="1"/>
        <v>85.581000000000003</v>
      </c>
      <c r="C33" s="47">
        <v>86.73</v>
      </c>
      <c r="D33" s="47">
        <v>87.498999999999995</v>
      </c>
      <c r="E33" s="47">
        <v>87.983999999999995</v>
      </c>
      <c r="F33" s="47">
        <v>88.484999999999999</v>
      </c>
      <c r="G33" s="47">
        <v>88.816000000000003</v>
      </c>
      <c r="H33" s="49">
        <v>89.341999999999999</v>
      </c>
      <c r="I33" s="47">
        <v>89.69</v>
      </c>
      <c r="J33" s="47">
        <v>90.183000000000007</v>
      </c>
      <c r="K33" s="47">
        <v>90.841999999999999</v>
      </c>
      <c r="L33" s="47">
        <v>91.466999999999999</v>
      </c>
      <c r="M33" s="47">
        <v>92.248999999999995</v>
      </c>
      <c r="N33" s="47">
        <v>93.248000000000005</v>
      </c>
    </row>
    <row r="34" spans="1:17">
      <c r="A34">
        <v>2001</v>
      </c>
      <c r="B34" s="103">
        <f t="shared" si="1"/>
        <v>93.248000000000005</v>
      </c>
      <c r="C34" s="47">
        <v>93.765000000000001</v>
      </c>
      <c r="D34" s="47">
        <v>93.703000000000003</v>
      </c>
      <c r="E34" s="47">
        <v>94.296999999999997</v>
      </c>
      <c r="F34" s="47">
        <v>94.772000000000006</v>
      </c>
      <c r="G34" s="47">
        <v>94.99</v>
      </c>
      <c r="H34" s="49">
        <v>95.215000000000003</v>
      </c>
      <c r="I34" s="47">
        <v>94.966999999999999</v>
      </c>
      <c r="J34" s="47">
        <v>95.53</v>
      </c>
      <c r="K34" s="47">
        <v>96.418999999999997</v>
      </c>
      <c r="L34" s="47">
        <v>96.855000000000004</v>
      </c>
      <c r="M34" s="47">
        <v>97.22</v>
      </c>
      <c r="N34" s="47">
        <v>97.353999999999999</v>
      </c>
    </row>
    <row r="35" spans="1:17">
      <c r="A35">
        <v>2002</v>
      </c>
      <c r="B35" s="103">
        <f t="shared" si="1"/>
        <v>97.353999999999999</v>
      </c>
      <c r="C35" s="47">
        <v>98.253</v>
      </c>
      <c r="D35" s="47">
        <v>98.19</v>
      </c>
      <c r="E35" s="47">
        <v>98.691999999999993</v>
      </c>
      <c r="F35" s="47">
        <v>99.230999999999995</v>
      </c>
      <c r="G35" s="47">
        <v>99.432000000000002</v>
      </c>
      <c r="H35" s="49">
        <v>99.917000000000002</v>
      </c>
      <c r="I35" s="47">
        <v>100.20399999999999</v>
      </c>
      <c r="J35" s="47">
        <v>100.58499999999999</v>
      </c>
      <c r="K35" s="47">
        <v>101.19</v>
      </c>
      <c r="L35" s="47">
        <v>101.636</v>
      </c>
      <c r="M35" s="47">
        <v>102.458</v>
      </c>
      <c r="N35" s="47">
        <v>102.904</v>
      </c>
    </row>
    <row r="36" spans="1:17">
      <c r="A36">
        <v>2003</v>
      </c>
      <c r="B36" s="103">
        <f>+N35</f>
        <v>102.904</v>
      </c>
      <c r="C36" s="45">
        <v>103.32</v>
      </c>
      <c r="D36" s="45">
        <v>103.607</v>
      </c>
      <c r="E36" s="45">
        <v>104.261</v>
      </c>
      <c r="F36" s="45">
        <v>104.43899999999999</v>
      </c>
      <c r="G36" s="45">
        <v>104.102</v>
      </c>
      <c r="H36" s="46">
        <v>104.188</v>
      </c>
      <c r="I36" s="45">
        <v>104.339</v>
      </c>
      <c r="J36" s="45">
        <v>104.652</v>
      </c>
      <c r="K36" s="45">
        <v>105.27500000000001</v>
      </c>
      <c r="L36" s="45">
        <v>105.661</v>
      </c>
      <c r="M36" s="45">
        <v>106.538</v>
      </c>
      <c r="N36" s="45">
        <v>106.996</v>
      </c>
      <c r="O36">
        <f>TRUNC(N36/N35,4)</f>
        <v>1.0397000000000001</v>
      </c>
      <c r="P36" s="54">
        <f t="shared" ref="P36:P46" si="2">+O36-1</f>
        <v>3.9700000000000069E-2</v>
      </c>
    </row>
    <row r="37" spans="1:17" s="55" customFormat="1">
      <c r="A37" s="55">
        <v>2004</v>
      </c>
      <c r="B37" s="104">
        <v>73.783729734575999</v>
      </c>
      <c r="C37" s="56">
        <v>74.2423093102</v>
      </c>
      <c r="D37" s="56">
        <v>74.686407425541006</v>
      </c>
      <c r="E37" s="56">
        <v>74.939488183818</v>
      </c>
      <c r="F37" s="56">
        <v>75.052581492694003</v>
      </c>
      <c r="G37" s="56">
        <v>74.864322509016006</v>
      </c>
      <c r="H37" s="49">
        <v>74.984311751359996</v>
      </c>
      <c r="I37" s="56">
        <v>75.180845855198996</v>
      </c>
      <c r="J37" s="56">
        <v>75.644942177597997</v>
      </c>
      <c r="K37" s="56">
        <v>76.270403343148999</v>
      </c>
      <c r="L37" s="56">
        <v>76.798631846800006</v>
      </c>
      <c r="M37" s="56">
        <v>77.453745526263006</v>
      </c>
      <c r="N37" s="56">
        <v>77.613731182722006</v>
      </c>
      <c r="O37" s="55">
        <f t="shared" ref="O37:O42" si="3">TRUNC(N37/N36,4)</f>
        <v>0.72529999999999994</v>
      </c>
      <c r="P37" s="57">
        <f t="shared" si="2"/>
        <v>-0.27470000000000006</v>
      </c>
      <c r="Q37" s="55" t="s">
        <v>48</v>
      </c>
    </row>
    <row r="38" spans="1:17">
      <c r="A38">
        <v>2005</v>
      </c>
      <c r="B38" s="103">
        <v>77.613731182722006</v>
      </c>
      <c r="C38" s="47">
        <v>77.616489556109002</v>
      </c>
      <c r="D38" s="47">
        <v>77.875087061160002</v>
      </c>
      <c r="E38" s="47">
        <v>78.226090074683</v>
      </c>
      <c r="F38" s="47">
        <v>78.504685786791995</v>
      </c>
      <c r="G38" s="47">
        <v>78.307462089606005</v>
      </c>
      <c r="H38" s="49">
        <v>78.232296414803997</v>
      </c>
      <c r="I38" s="47">
        <v>78.538475860784999</v>
      </c>
      <c r="J38" s="47">
        <v>78.632260555949998</v>
      </c>
      <c r="K38" s="47">
        <v>78.947404715439006</v>
      </c>
      <c r="L38" s="47">
        <v>79.141180445890996</v>
      </c>
      <c r="M38" s="47">
        <v>79.710784550350994</v>
      </c>
      <c r="N38" s="54">
        <v>80.200395826581001</v>
      </c>
      <c r="O38">
        <f t="shared" si="3"/>
        <v>1.0333000000000001</v>
      </c>
      <c r="P38" s="54">
        <f t="shared" si="2"/>
        <v>3.3300000000000107E-2</v>
      </c>
    </row>
    <row r="39" spans="1:17">
      <c r="A39">
        <v>2006</v>
      </c>
      <c r="B39" s="103">
        <v>80.200395826581001</v>
      </c>
      <c r="C39" s="47">
        <v>80.670698489100999</v>
      </c>
      <c r="D39" s="47">
        <v>80.794135698179005</v>
      </c>
      <c r="E39" s="47">
        <v>80.895505920158996</v>
      </c>
      <c r="F39" s="47">
        <v>81.014115975809005</v>
      </c>
      <c r="G39" s="47">
        <v>80.653458655430995</v>
      </c>
      <c r="H39" s="49">
        <v>80.723107583458003</v>
      </c>
      <c r="I39" s="47">
        <v>80.944467047781998</v>
      </c>
      <c r="J39" s="47">
        <v>81.357533462516997</v>
      </c>
      <c r="K39" s="47">
        <v>82.178839138559994</v>
      </c>
      <c r="L39" s="47">
        <v>82.538117272245003</v>
      </c>
      <c r="M39" s="47">
        <v>82.971181894037002</v>
      </c>
      <c r="N39" s="47">
        <v>83.451138863411998</v>
      </c>
      <c r="O39">
        <f t="shared" si="3"/>
        <v>1.0405</v>
      </c>
      <c r="P39" s="54">
        <f t="shared" si="2"/>
        <v>4.049999999999998E-2</v>
      </c>
    </row>
    <row r="40" spans="1:17">
      <c r="A40">
        <v>2007</v>
      </c>
      <c r="B40" s="103">
        <v>83.451138863411998</v>
      </c>
      <c r="C40" s="47">
        <v>83.882134705164006</v>
      </c>
      <c r="D40" s="47">
        <v>84.116596443077995</v>
      </c>
      <c r="E40" s="47">
        <v>84.298649086634001</v>
      </c>
      <c r="F40" s="47">
        <v>84.248308772317003</v>
      </c>
      <c r="G40" s="47">
        <v>83.837311137621995</v>
      </c>
      <c r="H40" s="49">
        <v>83.937991766254996</v>
      </c>
      <c r="I40" s="47">
        <v>84.294511526552995</v>
      </c>
      <c r="J40" s="47">
        <v>84.637929013261001</v>
      </c>
      <c r="K40" s="47">
        <v>85.295111472765001</v>
      </c>
      <c r="L40" s="47">
        <v>85.627495465924</v>
      </c>
      <c r="M40" s="47">
        <v>86.231579237724006</v>
      </c>
      <c r="N40" s="47">
        <v>86.588098998020996</v>
      </c>
      <c r="O40">
        <f>TRUNC(N40/N39,4)</f>
        <v>1.0375000000000001</v>
      </c>
      <c r="P40" s="54">
        <f t="shared" si="2"/>
        <v>3.7500000000000089E-2</v>
      </c>
      <c r="Q40" s="45"/>
    </row>
    <row r="41" spans="1:17">
      <c r="A41">
        <v>2008</v>
      </c>
      <c r="B41" s="103">
        <v>86.588098998020996</v>
      </c>
      <c r="C41" s="47">
        <v>86.989442325859997</v>
      </c>
      <c r="D41" s="47">
        <v>87.248039830912006</v>
      </c>
      <c r="E41" s="47">
        <v>87.880396929930001</v>
      </c>
      <c r="F41" s="47">
        <v>88.080379000503001</v>
      </c>
      <c r="G41" s="47">
        <v>87.985215118645002</v>
      </c>
      <c r="H41" s="49">
        <v>88.349320405756998</v>
      </c>
      <c r="I41" s="47">
        <v>88.841690055374002</v>
      </c>
      <c r="J41" s="47">
        <v>89.354747505396006</v>
      </c>
      <c r="K41" s="47">
        <v>89.963658430622999</v>
      </c>
      <c r="L41" s="47">
        <v>90.576706915931993</v>
      </c>
      <c r="M41" s="56">
        <v>91.606269782709006</v>
      </c>
      <c r="N41" s="56">
        <v>92.240695661768001</v>
      </c>
      <c r="O41">
        <f t="shared" si="3"/>
        <v>1.0651999999999999</v>
      </c>
      <c r="P41" s="54">
        <f t="shared" si="2"/>
        <v>6.5199999999999925E-2</v>
      </c>
      <c r="Q41" s="47"/>
    </row>
    <row r="42" spans="1:17">
      <c r="A42">
        <v>2009</v>
      </c>
      <c r="B42" s="103">
        <v>92.240695661768001</v>
      </c>
      <c r="C42" s="47">
        <v>92.454469599277004</v>
      </c>
      <c r="D42" s="47">
        <v>92.658589229930996</v>
      </c>
      <c r="E42" s="47">
        <v>93.19164488701</v>
      </c>
      <c r="F42" s="47">
        <v>93.517822540048002</v>
      </c>
      <c r="G42" s="47">
        <v>93.245433168060998</v>
      </c>
      <c r="H42" s="49">
        <v>93.417141911415001</v>
      </c>
      <c r="I42" s="47">
        <v>93.671601856384996</v>
      </c>
      <c r="J42" s="47">
        <v>93.895719694096002</v>
      </c>
      <c r="K42" s="47">
        <v>94.366711949963005</v>
      </c>
      <c r="L42" s="47">
        <v>94.652203595540001</v>
      </c>
      <c r="M42" s="56">
        <v>95.143194058464005</v>
      </c>
      <c r="N42" s="56">
        <v>95.536951859487999</v>
      </c>
      <c r="O42">
        <f t="shared" si="3"/>
        <v>1.0357000000000001</v>
      </c>
      <c r="P42" s="54">
        <f t="shared" si="2"/>
        <v>3.5700000000000065E-2</v>
      </c>
      <c r="Q42" s="47"/>
    </row>
    <row r="43" spans="1:17" s="58" customFormat="1">
      <c r="A43" s="58">
        <v>2010</v>
      </c>
      <c r="B43" s="103">
        <f>+N42</f>
        <v>95.536951859487999</v>
      </c>
      <c r="C43" s="58">
        <v>96.575479439774</v>
      </c>
      <c r="D43" s="58">
        <v>97.134050050685005</v>
      </c>
      <c r="E43" s="58">
        <v>97.823643397488993</v>
      </c>
      <c r="F43" s="58">
        <v>97.511947204733005</v>
      </c>
      <c r="G43" s="58">
        <v>96.897519532732005</v>
      </c>
      <c r="H43" s="60">
        <v>96.867177425471994</v>
      </c>
      <c r="I43" s="58">
        <v>97.077503396246996</v>
      </c>
      <c r="J43" s="58">
        <v>97.347134394847004</v>
      </c>
      <c r="K43" s="58">
        <v>97.857433470000004</v>
      </c>
      <c r="L43" s="58">
        <v>98.461517243282003</v>
      </c>
      <c r="M43" s="145">
        <v>99.250412032024997</v>
      </c>
      <c r="N43" s="145">
        <v>99.742092088296005</v>
      </c>
      <c r="O43" s="59">
        <f>TRUNC(N43/N42,4)</f>
        <v>1.044</v>
      </c>
      <c r="P43" s="59">
        <f t="shared" si="2"/>
        <v>4.4000000000000039E-2</v>
      </c>
      <c r="Q43" s="47"/>
    </row>
    <row r="44" spans="1:17">
      <c r="A44">
        <v>2011</v>
      </c>
      <c r="B44" s="103">
        <f>+N42</f>
        <v>95.536951859487999</v>
      </c>
      <c r="C44">
        <v>100.22799999999999</v>
      </c>
      <c r="D44">
        <v>100.604</v>
      </c>
      <c r="E44">
        <v>100.797</v>
      </c>
      <c r="F44">
        <v>100.789</v>
      </c>
      <c r="G44" s="61">
        <v>100.04600000000001</v>
      </c>
      <c r="H44" s="62">
        <v>100.041</v>
      </c>
      <c r="I44">
        <v>100.521</v>
      </c>
      <c r="J44">
        <v>100.68</v>
      </c>
      <c r="K44">
        <v>100.92700000000001</v>
      </c>
      <c r="L44">
        <v>101.608</v>
      </c>
      <c r="M44" s="55">
        <v>102.70699999999999</v>
      </c>
      <c r="N44" s="55">
        <v>103.551</v>
      </c>
      <c r="O44" s="54">
        <f>TRUNC(N44/N42,4)</f>
        <v>1.0838000000000001</v>
      </c>
      <c r="P44" s="63">
        <f t="shared" si="2"/>
        <v>8.3800000000000097E-2</v>
      </c>
      <c r="Q44" s="47"/>
    </row>
    <row r="45" spans="1:17">
      <c r="A45">
        <v>2012</v>
      </c>
      <c r="B45" s="103">
        <f>+N44</f>
        <v>103.551</v>
      </c>
      <c r="C45">
        <v>104.28400000000001</v>
      </c>
      <c r="D45">
        <v>104.496</v>
      </c>
      <c r="E45">
        <v>104.556</v>
      </c>
      <c r="F45">
        <v>104.22799999999999</v>
      </c>
      <c r="G45">
        <v>103.899</v>
      </c>
      <c r="H45" s="62">
        <v>104.378</v>
      </c>
      <c r="I45">
        <v>104.964</v>
      </c>
      <c r="J45">
        <v>105.279</v>
      </c>
      <c r="K45">
        <v>105.74299999999999</v>
      </c>
      <c r="L45">
        <v>106.27800000000001</v>
      </c>
      <c r="M45" s="146">
        <v>107</v>
      </c>
      <c r="N45" s="146">
        <v>107.246</v>
      </c>
      <c r="O45" s="54">
        <f>TRUNC(N45/N44,4)</f>
        <v>1.0356000000000001</v>
      </c>
      <c r="P45" s="63">
        <f t="shared" si="2"/>
        <v>3.5600000000000076E-2</v>
      </c>
      <c r="Q45" s="47"/>
    </row>
    <row r="46" spans="1:17">
      <c r="A46">
        <v>2013</v>
      </c>
      <c r="B46" s="105">
        <f>+N45</f>
        <v>107.246</v>
      </c>
      <c r="C46" s="65">
        <v>107.678</v>
      </c>
      <c r="D46" s="64">
        <v>108.208</v>
      </c>
      <c r="E46" s="64">
        <v>109.002</v>
      </c>
      <c r="F46" s="65">
        <v>109.074</v>
      </c>
      <c r="G46" s="64">
        <v>108.711</v>
      </c>
      <c r="H46" s="66">
        <v>108.645</v>
      </c>
      <c r="I46" s="64">
        <v>108.60899999999999</v>
      </c>
      <c r="J46" s="64">
        <v>108.91800000000001</v>
      </c>
      <c r="K46" s="64">
        <v>109.328</v>
      </c>
      <c r="L46" s="64">
        <v>109.848</v>
      </c>
      <c r="M46" s="147">
        <v>110.872</v>
      </c>
      <c r="N46" s="147">
        <v>111.508</v>
      </c>
      <c r="O46" s="54">
        <f>TRUNC(J46/N45,4)</f>
        <v>1.0155000000000001</v>
      </c>
      <c r="P46" s="63">
        <f t="shared" si="2"/>
        <v>1.5500000000000069E-2</v>
      </c>
      <c r="Q46" s="47"/>
    </row>
    <row r="47" spans="1:17">
      <c r="A47">
        <v>2014</v>
      </c>
      <c r="B47" s="105">
        <f>+N46</f>
        <v>111.508</v>
      </c>
      <c r="C47">
        <v>112.505</v>
      </c>
      <c r="D47" s="61">
        <v>112.79</v>
      </c>
      <c r="E47">
        <v>113.099</v>
      </c>
      <c r="F47" s="61">
        <v>112.88800000000001</v>
      </c>
      <c r="G47">
        <v>112.527</v>
      </c>
      <c r="H47" s="62">
        <v>112.72199999999999</v>
      </c>
      <c r="I47">
        <v>113.032</v>
      </c>
      <c r="J47">
        <v>113.438</v>
      </c>
      <c r="K47">
        <v>113.93899999999999</v>
      </c>
      <c r="L47">
        <v>114.569</v>
      </c>
      <c r="M47">
        <v>115.43899999999999</v>
      </c>
      <c r="N47">
        <v>116.059</v>
      </c>
      <c r="O47" s="47"/>
      <c r="P47" s="47"/>
      <c r="Q47" s="47"/>
    </row>
    <row r="48" spans="1:17">
      <c r="A48">
        <v>2015</v>
      </c>
      <c r="B48" s="105">
        <f>+N47</f>
        <v>116.059</v>
      </c>
      <c r="C48">
        <v>116.059</v>
      </c>
      <c r="D48">
        <v>116.17400000000001</v>
      </c>
      <c r="E48">
        <v>116.64700000000001</v>
      </c>
      <c r="F48">
        <v>116.345</v>
      </c>
      <c r="G48" s="64">
        <v>115.764</v>
      </c>
      <c r="H48" s="62">
        <v>115.958</v>
      </c>
      <c r="I48">
        <v>116.128</v>
      </c>
      <c r="J48">
        <v>116.373</v>
      </c>
      <c r="K48">
        <v>116.809</v>
      </c>
      <c r="L48">
        <v>117.41</v>
      </c>
      <c r="M48">
        <v>118.051</v>
      </c>
      <c r="N48">
        <v>118.532</v>
      </c>
      <c r="O48" s="47"/>
      <c r="P48" s="47"/>
      <c r="Q48" s="47"/>
    </row>
    <row r="49" spans="1:17">
      <c r="A49">
        <v>2016</v>
      </c>
      <c r="B49">
        <v>118.532</v>
      </c>
      <c r="C49">
        <v>118.98399999999999</v>
      </c>
      <c r="D49">
        <v>119.505</v>
      </c>
      <c r="E49">
        <v>119.681</v>
      </c>
      <c r="F49">
        <v>119.30200000000001</v>
      </c>
      <c r="O49" s="47"/>
      <c r="P49" s="47"/>
      <c r="Q49" s="47"/>
    </row>
    <row r="50" spans="1:17">
      <c r="O50" s="47"/>
      <c r="P50" s="47"/>
      <c r="Q50" s="47"/>
    </row>
    <row r="51" spans="1:17">
      <c r="O51" s="47"/>
      <c r="P51" s="47"/>
      <c r="Q51" s="47"/>
    </row>
    <row r="52" spans="1:17">
      <c r="O52" s="47"/>
      <c r="P52" s="47"/>
      <c r="Q52" s="47"/>
    </row>
    <row r="53" spans="1:17">
      <c r="O53" s="47"/>
      <c r="P53" s="47"/>
      <c r="Q53" s="47"/>
    </row>
    <row r="54" spans="1:17">
      <c r="O54" s="47"/>
      <c r="P54" s="47"/>
      <c r="Q54" s="47"/>
    </row>
    <row r="65" spans="13:16">
      <c r="M65" t="s">
        <v>47</v>
      </c>
    </row>
    <row r="66" spans="13:16">
      <c r="M66" t="s">
        <v>47</v>
      </c>
    </row>
    <row r="67" spans="13:16">
      <c r="M67" t="s">
        <v>47</v>
      </c>
    </row>
    <row r="68" spans="13:16">
      <c r="M68" t="s">
        <v>47</v>
      </c>
    </row>
    <row r="69" spans="13:16">
      <c r="M69" t="s">
        <v>47</v>
      </c>
    </row>
    <row r="70" spans="13:16">
      <c r="M70" t="s">
        <v>47</v>
      </c>
    </row>
    <row r="71" spans="13:16">
      <c r="M71" t="s">
        <v>47</v>
      </c>
    </row>
    <row r="72" spans="13:16">
      <c r="M72" t="s">
        <v>47</v>
      </c>
    </row>
    <row r="73" spans="13:16">
      <c r="M73" t="s">
        <v>47</v>
      </c>
    </row>
    <row r="74" spans="13:16">
      <c r="M74" t="s">
        <v>47</v>
      </c>
    </row>
    <row r="75" spans="13:16">
      <c r="M75" t="s">
        <v>47</v>
      </c>
      <c r="P75" t="s">
        <v>47</v>
      </c>
    </row>
    <row r="348" spans="5:5">
      <c r="E348" s="67">
        <f>[1]BalGen!D17+[1]BalGen!D18</f>
        <v>3457562.95</v>
      </c>
    </row>
  </sheetData>
  <phoneticPr fontId="0" type="noConversion"/>
  <pageMargins left="0.29652777777777778" right="0.26458333333333334" top="0.31388888888888888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29652777777777778" right="0.26458333333333334" top="0.31388888888888888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Hoja1</vt:lpstr>
      <vt:lpstr>calculo</vt:lpstr>
      <vt:lpstr>INDICES</vt:lpstr>
      <vt:lpstr>Hoja3</vt:lpstr>
      <vt:lpstr>calculo!Área_de_impresión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qm</dc:creator>
  <cp:lastModifiedBy>cqqcontabilidad</cp:lastModifiedBy>
  <cp:lastPrinted>2015-02-01T00:59:20Z</cp:lastPrinted>
  <dcterms:created xsi:type="dcterms:W3CDTF">2014-04-01T16:50:44Z</dcterms:created>
  <dcterms:modified xsi:type="dcterms:W3CDTF">2016-05-23T17:46:33Z</dcterms:modified>
</cp:coreProperties>
</file>