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320" windowHeight="7935" activeTab="6"/>
  </bookViews>
  <sheets>
    <sheet name="FACTURACIÓN" sheetId="1" r:id="rId1"/>
    <sheet name="C&amp;A" sheetId="3" r:id="rId2"/>
    <sheet name="SINDICATO" sheetId="4" r:id="rId3"/>
    <sheet name="C&amp;A (2)" sheetId="5" r:id="rId4"/>
    <sheet name="SINDICATO (2)" sheetId="6" r:id="rId5"/>
    <sheet name="INFONAVIT" sheetId="2" r:id="rId6"/>
    <sheet name="POLIZA" sheetId="7" r:id="rId7"/>
  </sheets>
  <definedNames>
    <definedName name="_xlnm.Print_Area" localSheetId="1">'C&amp;A'!$A$1:$I$17</definedName>
    <definedName name="_xlnm.Print_Area" localSheetId="2">SINDICATO!$A$1:$N$16</definedName>
  </definedNames>
  <calcPr calcId="124519"/>
</workbook>
</file>

<file path=xl/calcChain.xml><?xml version="1.0" encoding="utf-8"?>
<calcChain xmlns="http://schemas.openxmlformats.org/spreadsheetml/2006/main">
  <c r="B14" i="7"/>
  <c r="B15" s="1"/>
  <c r="T14" i="4"/>
  <c r="T13"/>
  <c r="T12"/>
  <c r="T11"/>
  <c r="T10"/>
  <c r="E10"/>
  <c r="C10"/>
  <c r="N14" i="3"/>
  <c r="N13"/>
  <c r="N12"/>
  <c r="N11"/>
  <c r="N10"/>
  <c r="B16" i="7" l="1"/>
  <c r="B18" s="1"/>
  <c r="AF16" i="1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N14"/>
  <c r="N13"/>
  <c r="N12"/>
  <c r="N11"/>
  <c r="N10"/>
  <c r="V12"/>
  <c r="V14"/>
  <c r="M10"/>
  <c r="N16"/>
  <c r="C11" i="4"/>
  <c r="C16" s="1"/>
  <c r="C12"/>
  <c r="C13"/>
  <c r="C14"/>
  <c r="V11" i="1"/>
  <c r="V13"/>
  <c r="AJ10"/>
  <c r="AI11"/>
  <c r="AI12"/>
  <c r="AI13"/>
  <c r="AI14"/>
  <c r="AI10"/>
  <c r="O11"/>
  <c r="O12"/>
  <c r="O13"/>
  <c r="O14"/>
  <c r="O10"/>
  <c r="L16" i="4"/>
  <c r="K11"/>
  <c r="K12"/>
  <c r="K13"/>
  <c r="K16" s="1"/>
  <c r="K14"/>
  <c r="K10"/>
  <c r="O16" i="1"/>
  <c r="Q10"/>
  <c r="K11"/>
  <c r="K12"/>
  <c r="K13"/>
  <c r="K14"/>
  <c r="K10"/>
  <c r="I11"/>
  <c r="J11"/>
  <c r="I12"/>
  <c r="J12"/>
  <c r="J10"/>
  <c r="I10"/>
  <c r="H11"/>
  <c r="H12"/>
  <c r="H13"/>
  <c r="H14"/>
  <c r="H10"/>
  <c r="G16"/>
  <c r="D16"/>
  <c r="E16"/>
  <c r="F11"/>
  <c r="F12"/>
  <c r="F13"/>
  <c r="F14"/>
  <c r="F10"/>
  <c r="E14"/>
  <c r="E13"/>
  <c r="E12"/>
  <c r="E11"/>
  <c r="E10"/>
  <c r="C14"/>
  <c r="C13"/>
  <c r="C12"/>
  <c r="C11"/>
  <c r="C10"/>
  <c r="BA103"/>
  <c r="BB103" s="1"/>
  <c r="BB102"/>
  <c r="BA102"/>
  <c r="BB99"/>
  <c r="BA99"/>
  <c r="BC93"/>
  <c r="BC92"/>
  <c r="BC91"/>
  <c r="BC90"/>
  <c r="BC89"/>
  <c r="BC88"/>
  <c r="BC87"/>
  <c r="BC86"/>
  <c r="BC85"/>
  <c r="BC84"/>
  <c r="BC83"/>
  <c r="BC82"/>
  <c r="BC80"/>
  <c r="BC79"/>
  <c r="BC78"/>
  <c r="BC77"/>
  <c r="BC76"/>
  <c r="BC75"/>
  <c r="BC74"/>
  <c r="BC73"/>
  <c r="BC72"/>
  <c r="BC70"/>
  <c r="BC69"/>
  <c r="BC68"/>
  <c r="BC67"/>
  <c r="BC66"/>
  <c r="BC65"/>
  <c r="BC64"/>
  <c r="BC63"/>
  <c r="BC62"/>
  <c r="BC61"/>
  <c r="BC60"/>
  <c r="BC59"/>
  <c r="BC58"/>
  <c r="BC57"/>
  <c r="BC56"/>
  <c r="BC55"/>
  <c r="BC54"/>
  <c r="BC53"/>
  <c r="BC51"/>
  <c r="BC50"/>
  <c r="BC49"/>
  <c r="BC47"/>
  <c r="BC46"/>
  <c r="BC45"/>
  <c r="BC44"/>
  <c r="BC43"/>
  <c r="BC42"/>
  <c r="BC41"/>
  <c r="BC40"/>
  <c r="BC39"/>
  <c r="BC38"/>
  <c r="BC37"/>
  <c r="BC36"/>
  <c r="BC35"/>
  <c r="BC34"/>
  <c r="BC33"/>
  <c r="BC32"/>
  <c r="BC31"/>
  <c r="BC30"/>
  <c r="BC29"/>
  <c r="BC28"/>
  <c r="BC27"/>
  <c r="BC26"/>
  <c r="BC25"/>
  <c r="BC24"/>
  <c r="BC23"/>
  <c r="BC22"/>
  <c r="BC21"/>
  <c r="AJ20"/>
  <c r="AU20" s="1"/>
  <c r="AJ19"/>
  <c r="AU19" s="1"/>
  <c r="AY14"/>
  <c r="AE14"/>
  <c r="AY13"/>
  <c r="AJ13"/>
  <c r="AE13"/>
  <c r="AY12"/>
  <c r="AE12"/>
  <c r="AJ12" s="1"/>
  <c r="AY11"/>
  <c r="AE11"/>
  <c r="AJ11" s="1"/>
  <c r="AU11" s="1"/>
  <c r="AY10"/>
  <c r="AE10"/>
  <c r="K16" i="6"/>
  <c r="D16"/>
  <c r="B5"/>
  <c r="I16" i="5"/>
  <c r="H16"/>
  <c r="G16"/>
  <c r="F16"/>
  <c r="E16"/>
  <c r="D16"/>
  <c r="C16"/>
  <c r="B5"/>
  <c r="V10" i="1" l="1"/>
  <c r="AJ14"/>
  <c r="F16"/>
  <c r="AE16"/>
  <c r="BC102"/>
  <c r="AX14"/>
  <c r="AV14"/>
  <c r="L14" s="1"/>
  <c r="AO14"/>
  <c r="J14" s="1"/>
  <c r="AN14"/>
  <c r="I14" s="1"/>
  <c r="AW19"/>
  <c r="AX19"/>
  <c r="AZ19" s="1"/>
  <c r="AV19"/>
  <c r="AX12"/>
  <c r="AV12"/>
  <c r="L12" s="1"/>
  <c r="M12" s="1"/>
  <c r="AU12"/>
  <c r="AW20"/>
  <c r="AX20"/>
  <c r="AZ20" s="1"/>
  <c r="AV20"/>
  <c r="BC20" s="1"/>
  <c r="AV11"/>
  <c r="AX11"/>
  <c r="AO13"/>
  <c r="J13" s="1"/>
  <c r="AV13"/>
  <c r="L13" s="1"/>
  <c r="AX13"/>
  <c r="BC103"/>
  <c r="AN13"/>
  <c r="I13" s="1"/>
  <c r="M13" s="1"/>
  <c r="B5" i="4"/>
  <c r="B5" i="3"/>
  <c r="D16" i="4"/>
  <c r="F11" i="6"/>
  <c r="F12"/>
  <c r="F13"/>
  <c r="F14"/>
  <c r="F10"/>
  <c r="I11"/>
  <c r="I12"/>
  <c r="I13"/>
  <c r="I14"/>
  <c r="I10"/>
  <c r="H11"/>
  <c r="H12"/>
  <c r="H10"/>
  <c r="G11"/>
  <c r="G12"/>
  <c r="G10"/>
  <c r="AZ11" i="1" l="1"/>
  <c r="P11"/>
  <c r="AZ14"/>
  <c r="P14"/>
  <c r="AZ13"/>
  <c r="P13"/>
  <c r="AW11"/>
  <c r="BC11" s="1"/>
  <c r="L11"/>
  <c r="M11" s="1"/>
  <c r="AZ12"/>
  <c r="P12"/>
  <c r="M14"/>
  <c r="F16" i="6"/>
  <c r="G12" i="4"/>
  <c r="I16" i="6"/>
  <c r="I12" i="4"/>
  <c r="H11"/>
  <c r="AU13" i="1"/>
  <c r="AW13" s="1"/>
  <c r="BC13" s="1"/>
  <c r="AW12"/>
  <c r="BC12" s="1"/>
  <c r="AU14"/>
  <c r="AW14" s="1"/>
  <c r="BC14" s="1"/>
  <c r="I14" i="4"/>
  <c r="F10"/>
  <c r="I10"/>
  <c r="F13"/>
  <c r="F11"/>
  <c r="H10"/>
  <c r="F14"/>
  <c r="I13"/>
  <c r="H12"/>
  <c r="F12"/>
  <c r="I11"/>
  <c r="G11"/>
  <c r="G10"/>
  <c r="AZ21" i="1"/>
  <c r="AX10"/>
  <c r="AV10"/>
  <c r="AU10"/>
  <c r="Q11"/>
  <c r="Q12"/>
  <c r="Q13"/>
  <c r="R13" s="1"/>
  <c r="S13" s="1"/>
  <c r="T13" s="1"/>
  <c r="Q14"/>
  <c r="D16" i="3"/>
  <c r="E16"/>
  <c r="F16"/>
  <c r="G16"/>
  <c r="H16"/>
  <c r="I16"/>
  <c r="C16"/>
  <c r="R14" i="1" l="1"/>
  <c r="S14" s="1"/>
  <c r="T14" s="1"/>
  <c r="R12"/>
  <c r="S12" s="1"/>
  <c r="T12" s="1"/>
  <c r="P10"/>
  <c r="AV18"/>
  <c r="L10"/>
  <c r="R11"/>
  <c r="S11" s="1"/>
  <c r="T11" s="1"/>
  <c r="Q16"/>
  <c r="AZ10"/>
  <c r="I16" i="4"/>
  <c r="F16"/>
  <c r="AW10" i="1"/>
  <c r="AZ22"/>
  <c r="AZ23" s="1"/>
  <c r="AZ25" s="1"/>
  <c r="H16"/>
  <c r="K16"/>
  <c r="M16" l="1"/>
  <c r="P16"/>
  <c r="R10"/>
  <c r="C16"/>
  <c r="G14" i="6"/>
  <c r="G14" i="4"/>
  <c r="J14" i="6"/>
  <c r="J14" i="4"/>
  <c r="J13" i="6"/>
  <c r="J13" i="4"/>
  <c r="J10" i="6"/>
  <c r="J10" i="4"/>
  <c r="M10" s="1"/>
  <c r="N10" s="1"/>
  <c r="H14" i="6"/>
  <c r="H14" i="4"/>
  <c r="J16" i="1"/>
  <c r="BC10"/>
  <c r="I16"/>
  <c r="M14" i="4" l="1"/>
  <c r="BC99" i="1"/>
  <c r="S10"/>
  <c r="T10" s="1"/>
  <c r="T16" s="1"/>
  <c r="R16"/>
  <c r="C10" i="6"/>
  <c r="G13"/>
  <c r="G13" i="4"/>
  <c r="J11" i="6"/>
  <c r="L11" s="1"/>
  <c r="J11" i="4"/>
  <c r="M11" s="1"/>
  <c r="J12" i="6"/>
  <c r="L12" s="1"/>
  <c r="J12" i="4"/>
  <c r="M12" s="1"/>
  <c r="E14"/>
  <c r="N14" s="1"/>
  <c r="U14" i="1" s="1"/>
  <c r="C14" i="6"/>
  <c r="E14" s="1"/>
  <c r="H13"/>
  <c r="H16" s="1"/>
  <c r="H13" i="4"/>
  <c r="H16" s="1"/>
  <c r="J16" i="6"/>
  <c r="L10"/>
  <c r="L14"/>
  <c r="M13" i="4" l="1"/>
  <c r="S16" i="1"/>
  <c r="C11" i="6"/>
  <c r="E11" s="1"/>
  <c r="M11" s="1"/>
  <c r="G16" i="4"/>
  <c r="C12" i="6"/>
  <c r="E12" s="1"/>
  <c r="M12" s="1"/>
  <c r="E12" i="4"/>
  <c r="G16" i="6"/>
  <c r="L13"/>
  <c r="L16" s="1"/>
  <c r="E10"/>
  <c r="M14"/>
  <c r="M16" i="4"/>
  <c r="E11"/>
  <c r="J16"/>
  <c r="L16" i="1"/>
  <c r="N11" i="4" l="1"/>
  <c r="E16"/>
  <c r="U11" i="1"/>
  <c r="U10"/>
  <c r="N12" i="4"/>
  <c r="U12" i="1" s="1"/>
  <c r="M10" i="6"/>
  <c r="C13"/>
  <c r="E13" s="1"/>
  <c r="M13" s="1"/>
  <c r="E13" i="4"/>
  <c r="N13" s="1"/>
  <c r="U13" i="1" s="1"/>
  <c r="N16" i="4" l="1"/>
  <c r="N18" s="1"/>
  <c r="C16" i="6"/>
  <c r="M16"/>
  <c r="E16"/>
  <c r="U16" i="1" l="1"/>
</calcChain>
</file>

<file path=xl/comments1.xml><?xml version="1.0" encoding="utf-8"?>
<comments xmlns="http://schemas.openxmlformats.org/spreadsheetml/2006/main">
  <authors>
    <author>contabilidad qm</author>
  </authors>
  <commentList>
    <comment ref="AL13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FALTA 4 SEMANAS A DESCONTAR</t>
        </r>
      </text>
    </comment>
  </commentList>
</comments>
</file>

<file path=xl/sharedStrings.xml><?xml version="1.0" encoding="utf-8"?>
<sst xmlns="http://schemas.openxmlformats.org/spreadsheetml/2006/main" count="408" uniqueCount="135">
  <si>
    <t>CONTPAQ i</t>
  </si>
  <si>
    <t xml:space="preserve">      NÓMINAS</t>
  </si>
  <si>
    <t>Lista de Raya (forma tabular)</t>
  </si>
  <si>
    <t>Código</t>
  </si>
  <si>
    <t>Empleado</t>
  </si>
  <si>
    <t>*TOTAL* *PERCEPCIONES*</t>
  </si>
  <si>
    <t>Total Gral.</t>
  </si>
  <si>
    <t xml:space="preserve"> </t>
  </si>
  <si>
    <t>IVA</t>
  </si>
  <si>
    <t>TOTAL PERCEPCIONES</t>
  </si>
  <si>
    <t>SUELDO BASE</t>
  </si>
  <si>
    <t>COMISIONES</t>
  </si>
  <si>
    <t>Comision 10%</t>
  </si>
  <si>
    <t>2% S/N</t>
  </si>
  <si>
    <t>SUBTOTAL</t>
  </si>
  <si>
    <t>TOTOAL</t>
  </si>
  <si>
    <t>SUBSIDO ENTREGADO</t>
  </si>
  <si>
    <t>SGV</t>
  </si>
  <si>
    <t>Reyes Garcia Aaron</t>
  </si>
  <si>
    <t>Rodriguez Sanchez Luis Enrique</t>
  </si>
  <si>
    <t>DESCUENTOS ESPECIALES</t>
  </si>
  <si>
    <t>Aguilar Santiago Vilma</t>
  </si>
  <si>
    <t>Carstensen Gonzalez Karla Maria</t>
  </si>
  <si>
    <t>Franco Morales Saul</t>
  </si>
  <si>
    <t>AS16</t>
  </si>
  <si>
    <t>CG06</t>
  </si>
  <si>
    <t>FM27</t>
  </si>
  <si>
    <t>RG08</t>
  </si>
  <si>
    <t>RS10</t>
  </si>
  <si>
    <t>S10-01/2016</t>
  </si>
  <si>
    <t xml:space="preserve">         An</t>
  </si>
  <si>
    <t>Clave</t>
  </si>
  <si>
    <t xml:space="preserve"> Nombre</t>
  </si>
  <si>
    <t>nfonavit  p</t>
  </si>
  <si>
    <t>-----------</t>
  </si>
  <si>
    <t>----------------------</t>
  </si>
  <si>
    <t>DG03</t>
  </si>
  <si>
    <t xml:space="preserve"> DIAZ LIZARRAGA ARMAN</t>
  </si>
  <si>
    <t xml:space="preserve"> REYES GARCIA AARON</t>
  </si>
  <si>
    <t xml:space="preserve"> AGUILAR SANTIAGO VIL</t>
  </si>
  <si>
    <t xml:space="preserve"> CARSTENSEN GONZALEZ</t>
  </si>
  <si>
    <t xml:space="preserve"> FRANCO MORALES SAUL</t>
  </si>
  <si>
    <t>07 CONSULTORES &amp; ASESORES INTEGRALES SC</t>
  </si>
  <si>
    <t>Reg Pat IMSS: 00000000000,E2375841103</t>
  </si>
  <si>
    <t xml:space="preserve">RFC: C&amp;A -050406-NL0 </t>
  </si>
  <si>
    <t>Sueldo</t>
  </si>
  <si>
    <t>Séptimo día</t>
  </si>
  <si>
    <t>Subsidio al Empleo (sp)</t>
  </si>
  <si>
    <t>Ajuste al neto</t>
  </si>
  <si>
    <t>*TOTAL* *DEDUCCIONES*</t>
  </si>
  <si>
    <t>*NETO*</t>
  </si>
  <si>
    <t xml:space="preserve">    Reg. Pat. IMSS:  E2375841103</t>
  </si>
  <si>
    <t xml:space="preserve">  =============</t>
  </si>
  <si>
    <t>Apoyo Sindicato Apoyo 23 c.c.</t>
  </si>
  <si>
    <t>Apoyo Extra</t>
  </si>
  <si>
    <t>07 SINDICATO ASO RALLY</t>
  </si>
  <si>
    <t>Consultores &amp; Asesores Integrales S.C.</t>
  </si>
  <si>
    <t xml:space="preserve">Servicios Prestados a : RALLY CHAMPION SA </t>
  </si>
  <si>
    <t>Area</t>
  </si>
  <si>
    <t>Nombre</t>
  </si>
  <si>
    <t>Suc</t>
  </si>
  <si>
    <t>Puesto</t>
  </si>
  <si>
    <t>FIJO / VARIABLE</t>
  </si>
  <si>
    <t>sub   S/N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</si>
  <si>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</si>
  <si>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</si>
  <si>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</si>
  <si>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</si>
  <si>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</si>
  <si>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</si>
  <si>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</si>
  <si>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</si>
  <si>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</si>
  <si>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</si>
  <si>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</si>
  <si>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</si>
  <si>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</si>
  <si>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</si>
  <si>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</si>
  <si>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</si>
  <si>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CONSULTORES</t>
  </si>
  <si>
    <t>SINDICATO</t>
  </si>
  <si>
    <t>COMISION</t>
  </si>
  <si>
    <t>Descuentos Especiales</t>
  </si>
  <si>
    <t>AHORRO CTM</t>
  </si>
  <si>
    <t>FONDO DE AHORRO</t>
  </si>
  <si>
    <t>CUOTA SINDICAL</t>
  </si>
  <si>
    <t>PRESTAMO CTM</t>
  </si>
  <si>
    <t>ADMINISTRACION</t>
  </si>
  <si>
    <t>AGUILAR SANTIAGO VILMA</t>
  </si>
  <si>
    <t>GERENTE GENERAL</t>
  </si>
  <si>
    <t>VENTAS</t>
  </si>
  <si>
    <t>CARSTENSEN GONZALEZ KARLA MARIA</t>
  </si>
  <si>
    <t>ASESOR DE VENTAS</t>
  </si>
  <si>
    <t>FRANCO MORALES SAUL</t>
  </si>
  <si>
    <t>SERVICIO</t>
  </si>
  <si>
    <t>REYES GARCIA AARON</t>
  </si>
  <si>
    <t>MECANICO</t>
  </si>
  <si>
    <t>RODRIGUEZ SANCHEZ  LUIS ENRIQUE</t>
  </si>
  <si>
    <t>TOTAL NOMINA</t>
  </si>
  <si>
    <t>INCAPACIDAD</t>
  </si>
  <si>
    <t>NETO A RECIBIR</t>
  </si>
  <si>
    <t>DEVOLUCIÓN CH.</t>
  </si>
  <si>
    <t>Periodo Semana 8</t>
  </si>
  <si>
    <t>17 FEBRERO AL 23 FEBRERO 2016</t>
  </si>
  <si>
    <t>DISPERCION</t>
  </si>
  <si>
    <t>DIFERENCIA</t>
  </si>
  <si>
    <t>2762522837</t>
  </si>
  <si>
    <t>1447237162</t>
  </si>
  <si>
    <t>2995812941</t>
  </si>
  <si>
    <t>2864161734</t>
  </si>
  <si>
    <t>1433154327</t>
  </si>
  <si>
    <t>TOTAL DEDUCCIONES</t>
  </si>
  <si>
    <t>FACTURA</t>
  </si>
  <si>
    <t>Periodo 9 al 9 Semanal del 24/02/2016 al 01/03/2016</t>
  </si>
  <si>
    <t>Reg Pat IMSS: E2375841103</t>
  </si>
  <si>
    <t>0AS16</t>
  </si>
  <si>
    <t>0CG06</t>
  </si>
  <si>
    <t>0FM27</t>
  </si>
  <si>
    <t>0RG08</t>
  </si>
  <si>
    <t>0RS10</t>
  </si>
  <si>
    <t>RALLY CHAMPION</t>
  </si>
  <si>
    <t>DESGLOSE DE NOMINA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</si>
  <si>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</si>
  <si>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</si>
  <si>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</si>
  <si>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</si>
  <si>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</si>
  <si>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</si>
  <si>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</si>
  <si>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</si>
  <si>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</si>
  <si>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683-001-001</t>
  </si>
  <si>
    <t>PERIODO SEMANA 9</t>
  </si>
  <si>
    <t>24/02/2016 al 01/03/2016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</si>
</sst>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_ ;[Red]\-0.00\ "/>
    <numFmt numFmtId="166" formatCode="_(* #,##0.00_);_(* \(#,##0.0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b/>
      <sz val="10"/>
      <name val="Arial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u/>
      <sz val="10"/>
      <color indexed="12"/>
      <name val="Arial"/>
    </font>
    <font>
      <u/>
      <sz val="10"/>
      <color indexed="36"/>
      <name val="Arial"/>
    </font>
    <font>
      <sz val="8"/>
      <name val="Arial"/>
    </font>
    <font>
      <sz val="10"/>
      <color indexed="8"/>
      <name val="Arial"/>
      <family val="2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6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2" fontId="35" fillId="0" borderId="0">
      <alignment horizontal="center"/>
    </xf>
    <xf numFmtId="0" fontId="37" fillId="0" borderId="0"/>
    <xf numFmtId="166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2" fillId="0" borderId="0"/>
    <xf numFmtId="2" fontId="35" fillId="0" borderId="0">
      <alignment horizontal="center"/>
    </xf>
    <xf numFmtId="0" fontId="36" fillId="0" borderId="0"/>
    <xf numFmtId="2" fontId="35" fillId="0" borderId="0">
      <alignment horizontal="center"/>
    </xf>
    <xf numFmtId="0" fontId="32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2" fontId="35" fillId="0" borderId="0">
      <alignment horizontal="center"/>
    </xf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2" fontId="35" fillId="0" borderId="0">
      <alignment horizontal="center"/>
    </xf>
    <xf numFmtId="2" fontId="35" fillId="0" borderId="0">
      <alignment horizontal="center"/>
    </xf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2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2" fontId="35" fillId="0" borderId="0">
      <alignment horizontal="center"/>
    </xf>
    <xf numFmtId="2" fontId="35" fillId="0" borderId="0">
      <alignment horizontal="center"/>
    </xf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49" fontId="2" fillId="0" borderId="0" xfId="0" applyNumberFormat="1" applyFont="1" applyAlignment="1">
      <alignment horizontal="centerContinuous"/>
    </xf>
    <xf numFmtId="0" fontId="4" fillId="0" borderId="0" xfId="0" applyFont="1" applyAlignment="1"/>
    <xf numFmtId="0" fontId="3" fillId="0" borderId="0" xfId="0" applyFont="1"/>
    <xf numFmtId="49" fontId="5" fillId="0" borderId="0" xfId="0" applyNumberFormat="1" applyFont="1" applyAlignment="1">
      <alignment horizontal="centerContinuous" vertical="top"/>
    </xf>
    <xf numFmtId="0" fontId="4" fillId="0" borderId="0" xfId="0" applyFont="1" applyAlignment="1">
      <alignment vertical="center"/>
    </xf>
    <xf numFmtId="49" fontId="3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/>
    <xf numFmtId="49" fontId="3" fillId="0" borderId="0" xfId="0" applyNumberFormat="1" applyFont="1" applyFill="1"/>
    <xf numFmtId="0" fontId="3" fillId="0" borderId="0" xfId="0" applyFont="1" applyFill="1"/>
    <xf numFmtId="44" fontId="3" fillId="0" borderId="0" xfId="1" applyFont="1" applyFill="1"/>
    <xf numFmtId="0" fontId="7" fillId="0" borderId="0" xfId="0" applyFont="1" applyFill="1"/>
    <xf numFmtId="49" fontId="8" fillId="0" borderId="0" xfId="0" applyNumberFormat="1" applyFont="1" applyFill="1" applyAlignment="1">
      <alignment horizontal="left"/>
    </xf>
    <xf numFmtId="164" fontId="8" fillId="0" borderId="2" xfId="0" applyNumberFormat="1" applyFont="1" applyFill="1" applyBorder="1"/>
    <xf numFmtId="0" fontId="6" fillId="0" borderId="0" xfId="0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0" xfId="0"/>
    <xf numFmtId="49" fontId="9" fillId="0" borderId="0" xfId="0" applyNumberFormat="1" applyFont="1"/>
    <xf numFmtId="0" fontId="0" fillId="0" borderId="0" xfId="0"/>
    <xf numFmtId="0" fontId="9" fillId="0" borderId="0" xfId="0" applyFont="1"/>
    <xf numFmtId="49" fontId="9" fillId="0" borderId="0" xfId="0" applyNumberFormat="1" applyFont="1"/>
    <xf numFmtId="49" fontId="10" fillId="0" borderId="0" xfId="0" applyNumberFormat="1" applyFont="1" applyAlignment="1">
      <alignment horizontal="centerContinuous"/>
    </xf>
    <xf numFmtId="49" fontId="11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49" fontId="16" fillId="2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49" fontId="18" fillId="0" borderId="0" xfId="0" applyNumberFormat="1" applyFont="1"/>
    <xf numFmtId="164" fontId="9" fillId="0" borderId="0" xfId="0" applyNumberFormat="1" applyFont="1"/>
    <xf numFmtId="164" fontId="19" fillId="0" borderId="0" xfId="0" applyNumberFormat="1" applyFont="1"/>
    <xf numFmtId="49" fontId="9" fillId="0" borderId="0" xfId="0" applyNumberFormat="1" applyFont="1" applyAlignment="1">
      <alignment horizontal="right"/>
    </xf>
    <xf numFmtId="0" fontId="16" fillId="0" borderId="0" xfId="0" applyFont="1"/>
    <xf numFmtId="164" fontId="16" fillId="0" borderId="0" xfId="0" applyNumberFormat="1" applyFont="1"/>
    <xf numFmtId="49" fontId="16" fillId="0" borderId="0" xfId="0" applyNumberFormat="1" applyFont="1" applyAlignment="1">
      <alignment horizontal="left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/>
    <xf numFmtId="0" fontId="15" fillId="0" borderId="0" xfId="0" applyFont="1" applyAlignment="1"/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4" fontId="3" fillId="0" borderId="0" xfId="0" applyNumberFormat="1" applyFont="1" applyFill="1"/>
    <xf numFmtId="0" fontId="4" fillId="0" borderId="0" xfId="0" applyFont="1" applyAlignment="1"/>
    <xf numFmtId="0" fontId="21" fillId="0" borderId="0" xfId="3" applyFont="1" applyFill="1" applyAlignment="1" applyProtection="1">
      <alignment horizontal="left"/>
    </xf>
    <xf numFmtId="0" fontId="21" fillId="0" borderId="0" xfId="3" applyFont="1" applyFill="1" applyAlignment="1" applyProtection="1">
      <alignment horizontal="center"/>
    </xf>
    <xf numFmtId="43" fontId="23" fillId="0" borderId="0" xfId="2" applyFont="1" applyFill="1" applyAlignment="1" applyProtection="1">
      <alignment horizontal="center"/>
    </xf>
    <xf numFmtId="43" fontId="24" fillId="0" borderId="0" xfId="2" applyFont="1" applyFill="1" applyAlignment="1" applyProtection="1">
      <alignment horizontal="center"/>
    </xf>
    <xf numFmtId="0" fontId="25" fillId="0" borderId="0" xfId="3" applyFont="1" applyFill="1" applyAlignment="1" applyProtection="1">
      <alignment horizontal="left"/>
    </xf>
    <xf numFmtId="0" fontId="25" fillId="0" borderId="0" xfId="3" applyFont="1" applyFill="1" applyAlignment="1" applyProtection="1">
      <alignment horizontal="center"/>
    </xf>
    <xf numFmtId="15" fontId="21" fillId="0" borderId="0" xfId="3" applyNumberFormat="1" applyFont="1" applyFill="1" applyAlignment="1" applyProtection="1">
      <alignment horizontal="left"/>
    </xf>
    <xf numFmtId="15" fontId="21" fillId="0" borderId="0" xfId="3" applyNumberFormat="1" applyFont="1" applyFill="1" applyAlignment="1" applyProtection="1">
      <alignment horizontal="center"/>
    </xf>
    <xf numFmtId="0" fontId="24" fillId="0" borderId="0" xfId="0" applyFont="1"/>
    <xf numFmtId="43" fontId="23" fillId="0" borderId="0" xfId="2" applyFont="1"/>
    <xf numFmtId="43" fontId="24" fillId="0" borderId="0" xfId="2" applyFont="1"/>
    <xf numFmtId="43" fontId="23" fillId="0" borderId="0" xfId="2" applyFont="1" applyFill="1"/>
    <xf numFmtId="43" fontId="24" fillId="4" borderId="3" xfId="2" applyFont="1" applyFill="1" applyBorder="1" applyAlignment="1">
      <alignment horizontal="center" wrapText="1"/>
    </xf>
    <xf numFmtId="0" fontId="26" fillId="4" borderId="3" xfId="0" applyFont="1" applyFill="1" applyBorder="1"/>
    <xf numFmtId="0" fontId="0" fillId="0" borderId="3" xfId="0" applyBorder="1"/>
    <xf numFmtId="0" fontId="23" fillId="5" borderId="3" xfId="0" applyFont="1" applyFill="1" applyBorder="1"/>
    <xf numFmtId="4" fontId="0" fillId="0" borderId="3" xfId="0" applyNumberFormat="1" applyBorder="1"/>
    <xf numFmtId="43" fontId="23" fillId="0" borderId="3" xfId="2" applyFont="1" applyBorder="1"/>
    <xf numFmtId="43" fontId="23" fillId="5" borderId="3" xfId="2" applyFont="1" applyFill="1" applyBorder="1"/>
    <xf numFmtId="43" fontId="27" fillId="5" borderId="3" xfId="2" applyFont="1" applyFill="1" applyBorder="1"/>
    <xf numFmtId="43" fontId="24" fillId="6" borderId="3" xfId="2" applyFont="1" applyFill="1" applyBorder="1"/>
    <xf numFmtId="43" fontId="23" fillId="7" borderId="3" xfId="2" applyFont="1" applyFill="1" applyBorder="1"/>
    <xf numFmtId="0" fontId="0" fillId="8" borderId="3" xfId="0" applyFill="1" applyBorder="1"/>
    <xf numFmtId="43" fontId="23" fillId="8" borderId="3" xfId="2" applyFont="1" applyFill="1" applyBorder="1" applyAlignment="1">
      <alignment horizontal="center"/>
    </xf>
    <xf numFmtId="0" fontId="23" fillId="0" borderId="3" xfId="0" applyFont="1" applyBorder="1"/>
    <xf numFmtId="43" fontId="23" fillId="0" borderId="3" xfId="2" applyFont="1" applyFill="1" applyBorder="1" applyAlignment="1">
      <alignment horizontal="center"/>
    </xf>
    <xf numFmtId="43" fontId="23" fillId="9" borderId="3" xfId="2" applyFont="1" applyFill="1" applyBorder="1" applyAlignment="1">
      <alignment horizontal="center"/>
    </xf>
    <xf numFmtId="43" fontId="22" fillId="0" borderId="3" xfId="2" applyFont="1" applyBorder="1"/>
    <xf numFmtId="2" fontId="0" fillId="8" borderId="3" xfId="0" applyNumberFormat="1" applyFill="1" applyBorder="1"/>
    <xf numFmtId="2" fontId="0" fillId="0" borderId="3" xfId="0" applyNumberFormat="1" applyBorder="1"/>
    <xf numFmtId="0" fontId="24" fillId="0" borderId="3" xfId="0" applyFont="1" applyFill="1" applyBorder="1"/>
    <xf numFmtId="0" fontId="23" fillId="0" borderId="4" xfId="0" applyFont="1" applyFill="1" applyBorder="1"/>
    <xf numFmtId="43" fontId="23" fillId="0" borderId="4" xfId="2" applyFont="1" applyFill="1" applyBorder="1"/>
    <xf numFmtId="43" fontId="24" fillId="0" borderId="3" xfId="2" applyFont="1" applyFill="1" applyBorder="1"/>
    <xf numFmtId="43" fontId="24" fillId="0" borderId="4" xfId="2" applyFont="1" applyFill="1" applyBorder="1"/>
    <xf numFmtId="0" fontId="23" fillId="0" borderId="0" xfId="0" applyFont="1"/>
    <xf numFmtId="0" fontId="24" fillId="0" borderId="5" xfId="0" applyFont="1" applyBorder="1"/>
    <xf numFmtId="43" fontId="24" fillId="0" borderId="5" xfId="2" applyFont="1" applyBorder="1"/>
    <xf numFmtId="43" fontId="23" fillId="0" borderId="3" xfId="2" applyFont="1" applyFill="1" applyBorder="1"/>
    <xf numFmtId="43" fontId="23" fillId="11" borderId="3" xfId="2" applyFont="1" applyFill="1" applyBorder="1" applyAlignment="1">
      <alignment horizontal="center"/>
    </xf>
    <xf numFmtId="43" fontId="3" fillId="0" borderId="0" xfId="0" applyNumberFormat="1" applyFont="1" applyFill="1"/>
    <xf numFmtId="164" fontId="8" fillId="12" borderId="2" xfId="0" applyNumberFormat="1" applyFont="1" applyFill="1" applyBorder="1"/>
    <xf numFmtId="0" fontId="4" fillId="0" borderId="0" xfId="0" applyFont="1" applyProtection="1"/>
    <xf numFmtId="0" fontId="28" fillId="0" borderId="0" xfId="0" applyFont="1"/>
    <xf numFmtId="43" fontId="28" fillId="3" borderId="3" xfId="2" applyFont="1" applyFill="1" applyBorder="1" applyAlignment="1">
      <alignment horizontal="center" vertical="center" wrapText="1"/>
    </xf>
    <xf numFmtId="0" fontId="4" fillId="0" borderId="0" xfId="0" applyFont="1" applyFill="1"/>
    <xf numFmtId="43" fontId="4" fillId="0" borderId="0" xfId="0" applyNumberFormat="1" applyFont="1" applyFill="1"/>
    <xf numFmtId="0" fontId="4" fillId="13" borderId="0" xfId="0" applyFont="1" applyFill="1"/>
    <xf numFmtId="0" fontId="29" fillId="0" borderId="0" xfId="0" applyFont="1"/>
    <xf numFmtId="43" fontId="4" fillId="13" borderId="0" xfId="0" applyNumberFormat="1" applyFont="1" applyFill="1"/>
    <xf numFmtId="43" fontId="28" fillId="0" borderId="5" xfId="2" applyFont="1" applyBorder="1"/>
    <xf numFmtId="43" fontId="28" fillId="0" borderId="0" xfId="2" applyFont="1"/>
    <xf numFmtId="43" fontId="28" fillId="6" borderId="3" xfId="2" applyFont="1" applyFill="1" applyBorder="1"/>
    <xf numFmtId="0" fontId="4" fillId="0" borderId="0" xfId="0" applyFont="1"/>
    <xf numFmtId="44" fontId="6" fillId="0" borderId="0" xfId="0" applyNumberFormat="1" applyFont="1" applyFill="1"/>
    <xf numFmtId="0" fontId="0" fillId="0" borderId="0" xfId="0" applyAlignment="1"/>
    <xf numFmtId="0" fontId="9" fillId="0" borderId="0" xfId="0" applyFont="1" applyAlignment="1"/>
    <xf numFmtId="43" fontId="24" fillId="3" borderId="3" xfId="2" applyFont="1" applyFill="1" applyBorder="1" applyAlignment="1">
      <alignment horizontal="center" wrapText="1"/>
    </xf>
    <xf numFmtId="0" fontId="4" fillId="0" borderId="0" xfId="0" applyFont="1" applyAlignment="1"/>
    <xf numFmtId="49" fontId="9" fillId="0" borderId="0" xfId="4" applyNumberFormat="1" applyFont="1"/>
    <xf numFmtId="0" fontId="9" fillId="0" borderId="0" xfId="4" applyFont="1"/>
    <xf numFmtId="0" fontId="26" fillId="0" borderId="0" xfId="0" applyFont="1" applyFill="1"/>
    <xf numFmtId="0" fontId="12" fillId="0" borderId="0" xfId="0" applyFont="1" applyAlignment="1"/>
    <xf numFmtId="0" fontId="6" fillId="14" borderId="12" xfId="0" applyFont="1" applyFill="1" applyBorder="1" applyAlignment="1">
      <alignment horizontal="center" vertical="center" wrapText="1"/>
    </xf>
    <xf numFmtId="164" fontId="8" fillId="14" borderId="2" xfId="0" applyNumberFormat="1" applyFont="1" applyFill="1" applyBorder="1"/>
    <xf numFmtId="164" fontId="3" fillId="0" borderId="0" xfId="0" applyNumberFormat="1" applyFont="1" applyFill="1"/>
    <xf numFmtId="0" fontId="0" fillId="0" borderId="0" xfId="0"/>
    <xf numFmtId="0" fontId="32" fillId="0" borderId="0" xfId="18"/>
    <xf numFmtId="49" fontId="9" fillId="0" borderId="0" xfId="15" applyNumberFormat="1" applyFont="1"/>
    <xf numFmtId="164" fontId="9" fillId="0" borderId="0" xfId="0" applyNumberFormat="1" applyFont="1"/>
    <xf numFmtId="164" fontId="19" fillId="0" borderId="0" xfId="0" applyNumberFormat="1" applyFont="1"/>
    <xf numFmtId="0" fontId="32" fillId="0" borderId="0" xfId="22"/>
    <xf numFmtId="49" fontId="9" fillId="0" borderId="0" xfId="15" applyNumberFormat="1" applyFont="1"/>
    <xf numFmtId="0" fontId="15" fillId="0" borderId="0" xfId="0" applyFont="1" applyAlignment="1">
      <alignment horizontal="center"/>
    </xf>
    <xf numFmtId="0" fontId="0" fillId="0" borderId="0" xfId="0" applyAlignment="1"/>
    <xf numFmtId="0" fontId="6" fillId="1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4" fillId="10" borderId="6" xfId="0" applyFont="1" applyFill="1" applyBorder="1" applyAlignment="1">
      <alignment horizontal="center"/>
    </xf>
    <xf numFmtId="43" fontId="24" fillId="3" borderId="3" xfId="2" applyFont="1" applyFill="1" applyBorder="1" applyAlignment="1">
      <alignment horizontal="center" wrapText="1"/>
    </xf>
    <xf numFmtId="3" fontId="24" fillId="3" borderId="3" xfId="0" applyNumberFormat="1" applyFont="1" applyFill="1" applyBorder="1"/>
    <xf numFmtId="0" fontId="3" fillId="14" borderId="11" xfId="0" applyFont="1" applyFill="1" applyBorder="1" applyAlignment="1">
      <alignment horizontal="center"/>
    </xf>
    <xf numFmtId="43" fontId="28" fillId="3" borderId="8" xfId="2" applyFont="1" applyFill="1" applyBorder="1" applyAlignment="1">
      <alignment horizontal="center" wrapText="1"/>
    </xf>
    <xf numFmtId="43" fontId="28" fillId="3" borderId="9" xfId="2" applyFont="1" applyFill="1" applyBorder="1" applyAlignment="1">
      <alignment horizontal="center" wrapText="1"/>
    </xf>
    <xf numFmtId="0" fontId="28" fillId="10" borderId="1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/>
    <xf numFmtId="0" fontId="39" fillId="0" borderId="13" xfId="0" applyFont="1" applyBorder="1"/>
    <xf numFmtId="0" fontId="38" fillId="0" borderId="13" xfId="0" applyFont="1" applyBorder="1"/>
    <xf numFmtId="0" fontId="0" fillId="0" borderId="13" xfId="0" applyFont="1" applyBorder="1"/>
    <xf numFmtId="0" fontId="0" fillId="0" borderId="13" xfId="0" applyBorder="1"/>
    <xf numFmtId="14" fontId="39" fillId="0" borderId="13" xfId="0" applyNumberFormat="1" applyFont="1" applyBorder="1"/>
    <xf numFmtId="43" fontId="1" fillId="0" borderId="13" xfId="63" applyFont="1" applyBorder="1"/>
    <xf numFmtId="43" fontId="1" fillId="0" borderId="14" xfId="63" applyFont="1" applyBorder="1"/>
    <xf numFmtId="43" fontId="1" fillId="0" borderId="15" xfId="63" applyFont="1" applyBorder="1"/>
    <xf numFmtId="43" fontId="1" fillId="0" borderId="16" xfId="63" applyFont="1" applyBorder="1"/>
    <xf numFmtId="43" fontId="1" fillId="0" borderId="17" xfId="63" applyFont="1" applyBorder="1"/>
    <xf numFmtId="43" fontId="38" fillId="0" borderId="16" xfId="63" applyFont="1" applyBorder="1"/>
  </cellXfs>
  <cellStyles count="64">
    <cellStyle name="Excel Built-in Normal" xfId="8"/>
    <cellStyle name="Followed Hyperlink" xfId="5"/>
    <cellStyle name="Hyperlink" xfId="6"/>
    <cellStyle name="Millares" xfId="2" builtinId="3"/>
    <cellStyle name="Millares 2" xfId="63"/>
    <cellStyle name="Millares 2 2" xfId="9"/>
    <cellStyle name="Moneda" xfId="1" builtinId="4"/>
    <cellStyle name="Normal" xfId="0" builtinId="0"/>
    <cellStyle name="Normal 10" xfId="39"/>
    <cellStyle name="Normal 11" xfId="34"/>
    <cellStyle name="Normal 2 2" xfId="7"/>
    <cellStyle name="Normal 2 2 2" xfId="10"/>
    <cellStyle name="Normal 2 2 2 2" xfId="35"/>
    <cellStyle name="Normal 2 2 2 2 2" xfId="38"/>
    <cellStyle name="Normal 2 2 2 3" xfId="47"/>
    <cellStyle name="Normal 2 2 2 4" xfId="52"/>
    <cellStyle name="Normal 2 2 2 5" xfId="48"/>
    <cellStyle name="Normal 2 2 3" xfId="20"/>
    <cellStyle name="Normal 2 2 4" xfId="17"/>
    <cellStyle name="Normal 2 2 5" xfId="28"/>
    <cellStyle name="Normal 2 2 5 2" xfId="36"/>
    <cellStyle name="Normal 2 2 6" xfId="55"/>
    <cellStyle name="Normal 2 2 7" xfId="54"/>
    <cellStyle name="Normal 2 3" xfId="11"/>
    <cellStyle name="Normal 2 4" xfId="19"/>
    <cellStyle name="Normal 2 5" xfId="21"/>
    <cellStyle name="Normal 2 6" xfId="27"/>
    <cellStyle name="Normal 3" xfId="12"/>
    <cellStyle name="Normal 4" xfId="4"/>
    <cellStyle name="Normal 4 2" xfId="13"/>
    <cellStyle name="Normal 4 2 2" xfId="16"/>
    <cellStyle name="Normal 4 2 2 2" xfId="40"/>
    <cellStyle name="Normal 4 2 2 2 2" xfId="42"/>
    <cellStyle name="Normal 4 2 2 3" xfId="51"/>
    <cellStyle name="Normal 4 2 2 4" xfId="58"/>
    <cellStyle name="Normal 4 2 2 5" xfId="61"/>
    <cellStyle name="Normal 4 2 3" xfId="24"/>
    <cellStyle name="Normal 4 2 4" xfId="26"/>
    <cellStyle name="Normal 4 2 5" xfId="30"/>
    <cellStyle name="Normal 4 2 5 2" xfId="49"/>
    <cellStyle name="Normal 4 2 6" xfId="33"/>
    <cellStyle name="Normal 4 2 7" xfId="53"/>
    <cellStyle name="Normal 4 3" xfId="23"/>
    <cellStyle name="Normal 4 3 2" xfId="32"/>
    <cellStyle name="Normal 4 3 2 2" xfId="44"/>
    <cellStyle name="Normal 4 3 3" xfId="56"/>
    <cellStyle name="Normal 4 3 4" xfId="59"/>
    <cellStyle name="Normal 4 3 5" xfId="62"/>
    <cellStyle name="Normal 4 4" xfId="25"/>
    <cellStyle name="Normal 4 5" xfId="29"/>
    <cellStyle name="Normal 4 5 2" xfId="37"/>
    <cellStyle name="Normal 4 6" xfId="57"/>
    <cellStyle name="Normal 4 7" xfId="46"/>
    <cellStyle name="Normal 5" xfId="14"/>
    <cellStyle name="Normal 6" xfId="15"/>
    <cellStyle name="Normal 6 2" xfId="41"/>
    <cellStyle name="Normal 6 3" xfId="50"/>
    <cellStyle name="Normal 6 4" xfId="45"/>
    <cellStyle name="Normal 6 5" xfId="60"/>
    <cellStyle name="Normal 7 2" xfId="31"/>
    <cellStyle name="Normal 8" xfId="18"/>
    <cellStyle name="Normal 8 2" xfId="43"/>
    <cellStyle name="Normal 9" xfId="22"/>
    <cellStyle name="Normal_Hoja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03"/>
  <sheetViews>
    <sheetView workbookViewId="0">
      <pane xSplit="2" ySplit="9" topLeftCell="N10" activePane="bottomRight" state="frozen"/>
      <selection pane="topRight" activeCell="C1" sqref="C1"/>
      <selection pane="bottomLeft" activeCell="A13" sqref="A13"/>
      <selection pane="bottomRight" activeCell="R13" sqref="R13:R14"/>
    </sheetView>
  </sheetViews>
  <sheetFormatPr baseColWidth="10" defaultRowHeight="15.75"/>
  <cols>
    <col min="1" max="1" width="12.28515625" style="6" customWidth="1"/>
    <col min="2" max="2" width="30.7109375" style="3" customWidth="1"/>
    <col min="3" max="3" width="13" style="3" bestFit="1" customWidth="1"/>
    <col min="4" max="4" width="11.140625" style="3" customWidth="1"/>
    <col min="5" max="5" width="11" style="3" customWidth="1"/>
    <col min="6" max="6" width="13" style="3" customWidth="1"/>
    <col min="7" max="7" width="9" style="3" customWidth="1"/>
    <col min="8" max="8" width="13" style="3" customWidth="1"/>
    <col min="9" max="9" width="10.7109375" style="3" customWidth="1"/>
    <col min="10" max="10" width="9.7109375" style="3" customWidth="1"/>
    <col min="11" max="11" width="10.85546875" style="3" customWidth="1"/>
    <col min="12" max="12" width="10.140625" style="3" customWidth="1"/>
    <col min="13" max="13" width="13" style="3" customWidth="1"/>
    <col min="14" max="14" width="11.28515625" style="3" bestFit="1" customWidth="1"/>
    <col min="15" max="15" width="13.5703125" style="3" customWidth="1"/>
    <col min="16" max="20" width="13" style="3" bestFit="1" customWidth="1"/>
    <col min="21" max="21" width="7.7109375" style="3" bestFit="1" customWidth="1"/>
    <col min="22" max="22" width="6" style="3" bestFit="1" customWidth="1"/>
    <col min="23" max="23" width="28.7109375" style="85" customWidth="1"/>
    <col min="24" max="24" width="39.140625" style="85" customWidth="1"/>
    <col min="25" max="25" width="8.85546875" style="85" customWidth="1"/>
    <col min="26" max="26" width="31.5703125" style="85" customWidth="1"/>
    <col min="27" max="27" width="13" style="85" customWidth="1"/>
    <col min="28" max="28" width="11.7109375" style="85" customWidth="1"/>
    <col min="29" max="29" width="17.140625" style="85" customWidth="1"/>
    <col min="30" max="30" width="11.7109375" style="85" customWidth="1"/>
    <col min="31" max="32" width="13.85546875" style="59" customWidth="1"/>
    <col min="33" max="35" width="13.5703125" style="59" customWidth="1"/>
    <col min="36" max="36" width="17" style="60" customWidth="1"/>
    <col min="37" max="38" width="13.5703125" style="59" customWidth="1"/>
    <col min="39" max="39" width="13.5703125" style="61" customWidth="1"/>
    <col min="40" max="40" width="19.28515625" style="61" customWidth="1"/>
    <col min="41" max="41" width="16.85546875" style="61" customWidth="1"/>
    <col min="42" max="42" width="16.140625" style="61" customWidth="1"/>
    <col min="43" max="46" width="13.5703125" style="59" customWidth="1"/>
    <col min="47" max="47" width="16.7109375" style="60" customWidth="1"/>
    <col min="48" max="48" width="16.7109375" style="59" customWidth="1"/>
    <col min="49" max="49" width="15.42578125" style="60" customWidth="1"/>
    <col min="50" max="51" width="13.5703125" style="59" customWidth="1"/>
    <col min="52" max="52" width="15.42578125" style="60" customWidth="1"/>
    <col min="53" max="54" width="22.5703125" style="103" customWidth="1"/>
    <col min="55" max="55" width="18" style="103" customWidth="1"/>
    <col min="56" max="16384" width="11.42578125" style="3"/>
  </cols>
  <sheetData>
    <row r="1" spans="1:57" ht="18" customHeight="1">
      <c r="A1" s="1" t="s">
        <v>0</v>
      </c>
      <c r="B1" s="126" t="s">
        <v>7</v>
      </c>
      <c r="C1" s="127"/>
      <c r="D1" s="2"/>
      <c r="E1" s="2"/>
      <c r="F1" s="108"/>
      <c r="G1" s="2"/>
      <c r="H1" s="18"/>
      <c r="I1" s="49"/>
      <c r="J1" s="49"/>
      <c r="K1" s="49"/>
      <c r="L1" s="49"/>
      <c r="M1" s="108"/>
    </row>
    <row r="2" spans="1:57" ht="24.95" customHeight="1">
      <c r="A2" s="4" t="s">
        <v>1</v>
      </c>
      <c r="B2" s="40" t="s">
        <v>42</v>
      </c>
      <c r="C2" s="40"/>
      <c r="D2" s="5"/>
      <c r="E2" s="5"/>
      <c r="F2" s="5"/>
      <c r="G2" s="5"/>
      <c r="H2" s="5"/>
      <c r="I2" s="5"/>
      <c r="J2" s="5"/>
      <c r="K2" s="5"/>
      <c r="L2" s="5"/>
      <c r="M2" s="5"/>
    </row>
    <row r="3" spans="1:57">
      <c r="B3" s="42" t="s">
        <v>2</v>
      </c>
      <c r="C3" s="42"/>
      <c r="D3" s="2"/>
      <c r="E3" s="2"/>
      <c r="F3" s="108"/>
      <c r="G3" s="2"/>
      <c r="H3" s="18"/>
      <c r="I3" s="49"/>
      <c r="J3" s="49"/>
      <c r="K3" s="49"/>
      <c r="L3" s="49"/>
      <c r="M3" s="108"/>
    </row>
    <row r="4" spans="1:57">
      <c r="B4" s="123" t="s">
        <v>114</v>
      </c>
      <c r="C4" s="124"/>
      <c r="D4" s="124"/>
      <c r="E4" s="124"/>
      <c r="F4" s="124"/>
      <c r="G4" s="124"/>
      <c r="H4" s="18"/>
      <c r="I4" s="49"/>
      <c r="J4" s="49"/>
      <c r="K4" s="49"/>
      <c r="L4" s="49"/>
      <c r="M4" s="108"/>
      <c r="W4" s="50" t="s">
        <v>56</v>
      </c>
      <c r="X4" s="50"/>
      <c r="Y4" s="50"/>
      <c r="Z4" s="51"/>
      <c r="AA4" s="51"/>
      <c r="AB4" s="51"/>
      <c r="AC4" s="51"/>
      <c r="AD4" s="51"/>
      <c r="AE4" s="52"/>
      <c r="AF4" s="52"/>
      <c r="AG4" s="52"/>
      <c r="AH4" s="52"/>
      <c r="AI4" s="52"/>
      <c r="AJ4" s="53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3"/>
      <c r="AV4" s="52"/>
      <c r="AW4" s="53"/>
      <c r="AX4" s="52"/>
      <c r="AY4" s="52"/>
      <c r="AZ4" s="53"/>
      <c r="BA4" s="92"/>
      <c r="BB4" s="92"/>
      <c r="BC4" s="92"/>
    </row>
    <row r="5" spans="1:57">
      <c r="B5" s="27" t="s">
        <v>115</v>
      </c>
      <c r="C5" s="27"/>
      <c r="W5" s="54" t="s">
        <v>57</v>
      </c>
      <c r="X5" s="54"/>
      <c r="Y5" s="54"/>
      <c r="Z5" s="55"/>
      <c r="AA5" s="55"/>
      <c r="AB5" s="55"/>
      <c r="AC5" s="55"/>
      <c r="AD5" s="55"/>
      <c r="AE5" s="52"/>
      <c r="AF5" s="52"/>
      <c r="AG5" s="52"/>
      <c r="AH5" s="52"/>
      <c r="AI5" s="52"/>
      <c r="AJ5" s="53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3"/>
      <c r="AV5" s="52"/>
      <c r="AW5" s="53"/>
      <c r="AX5" s="52"/>
      <c r="AY5" s="52"/>
      <c r="AZ5" s="53"/>
      <c r="BA5" s="92"/>
      <c r="BB5" s="92"/>
      <c r="BC5" s="92"/>
    </row>
    <row r="6" spans="1:57">
      <c r="B6" s="27" t="s">
        <v>44</v>
      </c>
      <c r="C6" s="27"/>
      <c r="W6" s="56" t="s">
        <v>103</v>
      </c>
      <c r="X6" s="56"/>
      <c r="Y6" s="56"/>
      <c r="Z6" s="57"/>
      <c r="AA6" s="57"/>
      <c r="AB6" s="57"/>
      <c r="AC6" s="57"/>
      <c r="AD6" s="57"/>
      <c r="AE6" s="52"/>
      <c r="AF6" s="52"/>
      <c r="AG6" s="52"/>
      <c r="AH6" s="52"/>
      <c r="AI6" s="52"/>
      <c r="AJ6" s="53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3"/>
      <c r="AV6" s="52"/>
      <c r="AW6" s="53"/>
      <c r="AX6" s="52"/>
      <c r="AY6" s="52"/>
      <c r="AZ6" s="53"/>
      <c r="BA6" s="92"/>
      <c r="BB6" s="92"/>
      <c r="BC6" s="92"/>
    </row>
    <row r="7" spans="1:57">
      <c r="C7" s="3" t="s">
        <v>10</v>
      </c>
      <c r="O7" s="131" t="s">
        <v>113</v>
      </c>
      <c r="P7" s="131"/>
      <c r="Q7" s="131"/>
      <c r="R7" s="131"/>
      <c r="S7" s="131"/>
      <c r="T7" s="131"/>
      <c r="W7" s="58" t="s">
        <v>104</v>
      </c>
      <c r="X7" s="58"/>
      <c r="Y7" s="58"/>
      <c r="Z7" s="58"/>
      <c r="AA7" s="58"/>
      <c r="AB7" s="58"/>
      <c r="AC7" s="58"/>
      <c r="AD7" s="58"/>
      <c r="BA7" s="93"/>
      <c r="BB7" s="93"/>
      <c r="BC7" s="93"/>
    </row>
    <row r="8" spans="1:57" s="17" customFormat="1" ht="23.25" customHeight="1" thickBot="1">
      <c r="A8" s="16" t="s">
        <v>3</v>
      </c>
      <c r="B8" s="7" t="s">
        <v>4</v>
      </c>
      <c r="C8" s="7" t="s">
        <v>9</v>
      </c>
      <c r="D8" s="7" t="s">
        <v>16</v>
      </c>
      <c r="E8" s="7" t="s">
        <v>11</v>
      </c>
      <c r="F8" s="7" t="s">
        <v>9</v>
      </c>
      <c r="G8" s="7" t="s">
        <v>17</v>
      </c>
      <c r="H8" s="7" t="s">
        <v>20</v>
      </c>
      <c r="I8" s="7" t="s">
        <v>85</v>
      </c>
      <c r="J8" s="7" t="s">
        <v>86</v>
      </c>
      <c r="K8" s="7" t="s">
        <v>72</v>
      </c>
      <c r="L8" s="7" t="s">
        <v>75</v>
      </c>
      <c r="M8" s="7" t="s">
        <v>112</v>
      </c>
      <c r="N8" s="7" t="s">
        <v>101</v>
      </c>
      <c r="O8" s="113" t="s">
        <v>9</v>
      </c>
      <c r="P8" s="113" t="s">
        <v>12</v>
      </c>
      <c r="Q8" s="113" t="s">
        <v>13</v>
      </c>
      <c r="R8" s="113" t="s">
        <v>14</v>
      </c>
      <c r="S8" s="113" t="s">
        <v>8</v>
      </c>
      <c r="T8" s="113" t="s">
        <v>15</v>
      </c>
      <c r="W8" s="130" t="s">
        <v>58</v>
      </c>
      <c r="X8" s="130" t="s">
        <v>59</v>
      </c>
      <c r="Y8" s="130" t="s">
        <v>60</v>
      </c>
      <c r="Z8" s="130" t="s">
        <v>61</v>
      </c>
      <c r="AA8" s="129" t="s">
        <v>62</v>
      </c>
      <c r="AB8" s="129" t="s">
        <v>63</v>
      </c>
      <c r="AC8" s="107"/>
      <c r="AD8" s="107"/>
      <c r="AE8" s="129" t="s">
        <v>64</v>
      </c>
      <c r="AF8" s="107"/>
      <c r="AG8" s="129" t="s">
        <v>65</v>
      </c>
      <c r="AH8" s="129" t="s">
        <v>66</v>
      </c>
      <c r="AI8" s="129" t="s">
        <v>67</v>
      </c>
      <c r="AJ8" s="129" t="s">
        <v>68</v>
      </c>
      <c r="AK8" s="129" t="s">
        <v>69</v>
      </c>
      <c r="AL8" s="107"/>
      <c r="AM8" s="62"/>
      <c r="AN8" s="62"/>
      <c r="AO8" s="62"/>
      <c r="AP8" s="62"/>
      <c r="AQ8" s="129" t="s">
        <v>70</v>
      </c>
      <c r="AR8" s="129" t="s">
        <v>71</v>
      </c>
      <c r="AS8" s="129" t="s">
        <v>72</v>
      </c>
      <c r="AT8" s="129" t="s">
        <v>73</v>
      </c>
      <c r="AU8" s="129" t="s">
        <v>74</v>
      </c>
      <c r="AV8" s="129" t="s">
        <v>75</v>
      </c>
      <c r="AW8" s="129" t="s">
        <v>76</v>
      </c>
      <c r="AX8" s="129" t="s">
        <v>77</v>
      </c>
      <c r="AY8" s="129" t="s">
        <v>78</v>
      </c>
      <c r="AZ8" s="129" t="s">
        <v>79</v>
      </c>
      <c r="BA8" s="132" t="s">
        <v>105</v>
      </c>
      <c r="BB8" s="133"/>
      <c r="BC8" s="134" t="s">
        <v>106</v>
      </c>
      <c r="BD8" s="3"/>
      <c r="BE8" s="3"/>
    </row>
    <row r="9" spans="1:57" ht="32.25" thickTop="1">
      <c r="A9" s="8"/>
      <c r="W9" s="130"/>
      <c r="X9" s="130"/>
      <c r="Y9" s="130"/>
      <c r="Z9" s="130"/>
      <c r="AA9" s="129"/>
      <c r="AB9" s="129"/>
      <c r="AC9" s="107" t="s">
        <v>80</v>
      </c>
      <c r="AD9" s="107" t="s">
        <v>81</v>
      </c>
      <c r="AE9" s="129"/>
      <c r="AF9" s="107" t="s">
        <v>82</v>
      </c>
      <c r="AG9" s="129"/>
      <c r="AH9" s="129"/>
      <c r="AI9" s="129"/>
      <c r="AJ9" s="129"/>
      <c r="AK9" s="129"/>
      <c r="AL9" s="107" t="s">
        <v>83</v>
      </c>
      <c r="AM9" s="63" t="s">
        <v>84</v>
      </c>
      <c r="AN9" s="63" t="s">
        <v>85</v>
      </c>
      <c r="AO9" s="63" t="s">
        <v>86</v>
      </c>
      <c r="AP9" s="63" t="s">
        <v>87</v>
      </c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94" t="s">
        <v>80</v>
      </c>
      <c r="BB9" s="94" t="s">
        <v>81</v>
      </c>
      <c r="BC9" s="134"/>
    </row>
    <row r="10" spans="1:57" s="10" customFormat="1">
      <c r="A10" s="20" t="s">
        <v>24</v>
      </c>
      <c r="B10" s="10" t="s">
        <v>21</v>
      </c>
      <c r="C10" s="11">
        <f>+AE10</f>
        <v>2333.33</v>
      </c>
      <c r="D10" s="11">
        <v>0</v>
      </c>
      <c r="E10" s="11">
        <f>+AF10</f>
        <v>11315.44</v>
      </c>
      <c r="F10" s="11">
        <f>SUM(C10:E10)</f>
        <v>13648.77</v>
      </c>
      <c r="G10">
        <v>45.13</v>
      </c>
      <c r="H10" s="11">
        <f>+AL10</f>
        <v>0</v>
      </c>
      <c r="I10" s="11">
        <f>+AN10</f>
        <v>0</v>
      </c>
      <c r="J10" s="11">
        <f>+AO10</f>
        <v>0</v>
      </c>
      <c r="K10" s="11">
        <f>+AS10</f>
        <v>0</v>
      </c>
      <c r="L10" s="11">
        <f>+AV10</f>
        <v>1360.3640000000003</v>
      </c>
      <c r="M10" s="11">
        <f>SUM(G10:L10)</f>
        <v>1405.4940000000004</v>
      </c>
      <c r="N10" s="11">
        <f>+F10-M10</f>
        <v>12243.276</v>
      </c>
      <c r="O10" s="11">
        <f>+F10-H10-G10</f>
        <v>13603.640000000001</v>
      </c>
      <c r="P10" s="11">
        <f>+AX10</f>
        <v>0</v>
      </c>
      <c r="Q10" s="11">
        <f>+'C&amp;A'!E10*0.02</f>
        <v>10.2256</v>
      </c>
      <c r="R10" s="11">
        <f>+C10+E10-H10+P10+Q10</f>
        <v>13658.9956</v>
      </c>
      <c r="S10" s="11">
        <f>+R10*0.16</f>
        <v>2185.439296</v>
      </c>
      <c r="T10" s="11">
        <f>+R10+S10</f>
        <v>15844.434896000001</v>
      </c>
      <c r="U10" s="48">
        <f>+N10-'C&amp;A'!I10-SINDICATO!N10</f>
        <v>-0.12000000000080036</v>
      </c>
      <c r="V10" s="90">
        <f>+N10-AW10</f>
        <v>0</v>
      </c>
      <c r="W10" s="64" t="s">
        <v>88</v>
      </c>
      <c r="X10" s="64" t="s">
        <v>89</v>
      </c>
      <c r="Y10" s="64" t="s">
        <v>24</v>
      </c>
      <c r="Z10" s="64" t="s">
        <v>90</v>
      </c>
      <c r="AA10" s="65"/>
      <c r="AB10" s="65"/>
      <c r="AC10" s="66">
        <v>2333.33</v>
      </c>
      <c r="AD10" s="66"/>
      <c r="AE10" s="67">
        <f>+AC10+AD10</f>
        <v>2333.33</v>
      </c>
      <c r="AF10" s="67">
        <v>11315.44</v>
      </c>
      <c r="AG10" s="68"/>
      <c r="AH10" s="68"/>
      <c r="AI10" s="69">
        <f>G10</f>
        <v>45.13</v>
      </c>
      <c r="AJ10" s="70">
        <f>SUM(AE10:AH10)-AI10</f>
        <v>13603.640000000001</v>
      </c>
      <c r="AK10" s="71"/>
      <c r="AL10" s="72"/>
      <c r="AM10" s="72">
        <v>0</v>
      </c>
      <c r="AN10" s="72"/>
      <c r="AO10" s="72"/>
      <c r="AP10" s="72"/>
      <c r="AQ10" s="73"/>
      <c r="AR10" s="73"/>
      <c r="AS10" s="64"/>
      <c r="AT10" s="74"/>
      <c r="AU10" s="70">
        <f t="shared" ref="AU10:AU14" si="0">+AJ10-SUM(AK10:AT10)</f>
        <v>13603.640000000001</v>
      </c>
      <c r="AV10" s="75">
        <f t="shared" ref="AV10:AV14" si="1">IF(AJ10&gt;4500,AJ10*0.1,0)</f>
        <v>1360.3640000000003</v>
      </c>
      <c r="AW10" s="70">
        <f t="shared" ref="AW10:AW14" si="2">+AU10-AV10</f>
        <v>12243.276000000002</v>
      </c>
      <c r="AX10" s="76">
        <f t="shared" ref="AX10:AX14" si="3">IF(AJ10&lt;4500,AJ10*0.1,0)</f>
        <v>0</v>
      </c>
      <c r="AY10" s="75">
        <f t="shared" ref="AY10:AY14" si="4">AC10*0.02</f>
        <v>46.666600000000003</v>
      </c>
      <c r="AZ10" s="70">
        <f t="shared" ref="AZ10:AZ14" si="5">+AJ10+AX10+AY10</f>
        <v>13650.306600000002</v>
      </c>
      <c r="BA10" s="95">
        <v>577.4</v>
      </c>
      <c r="BB10" s="95">
        <v>1755.93</v>
      </c>
      <c r="BC10" s="96">
        <f>+BA10+BB10-AW10</f>
        <v>-9909.9460000000017</v>
      </c>
      <c r="BD10" s="3"/>
      <c r="BE10" s="3"/>
    </row>
    <row r="11" spans="1:57" s="10" customFormat="1">
      <c r="A11" s="20" t="s">
        <v>25</v>
      </c>
      <c r="B11" s="10" t="s">
        <v>22</v>
      </c>
      <c r="C11" s="11">
        <f>+AE11</f>
        <v>1400</v>
      </c>
      <c r="D11" s="11">
        <v>0</v>
      </c>
      <c r="E11" s="11">
        <f>+AF11</f>
        <v>1967.25</v>
      </c>
      <c r="F11" s="11">
        <f t="shared" ref="F11:F14" si="6">SUM(C11:E11)</f>
        <v>3367.25</v>
      </c>
      <c r="G11" s="11">
        <v>0</v>
      </c>
      <c r="H11" s="11">
        <f t="shared" ref="H11:H14" si="7">+AL11</f>
        <v>0</v>
      </c>
      <c r="I11" s="11">
        <f t="shared" ref="I11:I14" si="8">+AN11</f>
        <v>0</v>
      </c>
      <c r="J11" s="11">
        <f t="shared" ref="J11:J14" si="9">+AO11</f>
        <v>0</v>
      </c>
      <c r="K11" s="11">
        <f t="shared" ref="K11:K14" si="10">+AS11</f>
        <v>0</v>
      </c>
      <c r="L11" s="11">
        <f t="shared" ref="L11:L14" si="11">+AV11</f>
        <v>0</v>
      </c>
      <c r="M11" s="11">
        <f t="shared" ref="M11:M14" si="12">SUM(G11:L11)</f>
        <v>0</v>
      </c>
      <c r="N11" s="11">
        <f>+F11-M11</f>
        <v>3367.25</v>
      </c>
      <c r="O11" s="11">
        <f t="shared" ref="O11:O14" si="13">+F11-H11-G11</f>
        <v>3367.25</v>
      </c>
      <c r="P11" s="11">
        <f t="shared" ref="P11:P14" si="14">+AX11</f>
        <v>336.72500000000002</v>
      </c>
      <c r="Q11" s="11">
        <f>+'C&amp;A'!E11*0.02</f>
        <v>10.2256</v>
      </c>
      <c r="R11" s="11">
        <f t="shared" ref="R11:R14" si="15">+C11+E11-H11+P11+Q11</f>
        <v>3714.2006000000001</v>
      </c>
      <c r="S11" s="11">
        <f t="shared" ref="S11:S14" si="16">+R11*0.16</f>
        <v>594.27209600000003</v>
      </c>
      <c r="T11" s="11">
        <f t="shared" ref="T11:T14" si="17">+R11+S11</f>
        <v>4308.4726959999998</v>
      </c>
      <c r="U11" s="48">
        <f>+N11-'C&amp;A'!I11-SINDICATO!N11</f>
        <v>5.0000000000181899E-2</v>
      </c>
      <c r="V11" s="90">
        <f t="shared" ref="V11:V14" si="18">+N11-AW11</f>
        <v>0</v>
      </c>
      <c r="W11" s="64" t="s">
        <v>91</v>
      </c>
      <c r="X11" s="64" t="s">
        <v>92</v>
      </c>
      <c r="Y11" s="64" t="s">
        <v>25</v>
      </c>
      <c r="Z11" s="64" t="s">
        <v>93</v>
      </c>
      <c r="AA11" s="65"/>
      <c r="AB11" s="65"/>
      <c r="AC11" s="66">
        <v>1400</v>
      </c>
      <c r="AD11" s="65"/>
      <c r="AE11" s="67">
        <f>+AC11+AD11</f>
        <v>1400</v>
      </c>
      <c r="AF11" s="67">
        <v>1967.25</v>
      </c>
      <c r="AG11" s="68"/>
      <c r="AH11" s="68"/>
      <c r="AI11" s="69">
        <f t="shared" ref="AI11:AI14" si="19">G11</f>
        <v>0</v>
      </c>
      <c r="AJ11" s="70">
        <f t="shared" ref="AJ11:AJ14" si="20">SUM(AE11:AH11)-AI11</f>
        <v>3367.25</v>
      </c>
      <c r="AK11" s="71"/>
      <c r="AL11" s="72"/>
      <c r="AM11" s="72">
        <v>0</v>
      </c>
      <c r="AN11" s="72"/>
      <c r="AO11" s="72"/>
      <c r="AP11" s="72"/>
      <c r="AQ11" s="73"/>
      <c r="AR11" s="73"/>
      <c r="AS11" s="64"/>
      <c r="AT11" s="74"/>
      <c r="AU11" s="70">
        <f t="shared" si="0"/>
        <v>3367.25</v>
      </c>
      <c r="AV11" s="75">
        <f t="shared" si="1"/>
        <v>0</v>
      </c>
      <c r="AW11" s="70">
        <f t="shared" si="2"/>
        <v>3367.25</v>
      </c>
      <c r="AX11" s="76">
        <f t="shared" si="3"/>
        <v>336.72500000000002</v>
      </c>
      <c r="AY11" s="75">
        <f t="shared" si="4"/>
        <v>28</v>
      </c>
      <c r="AZ11" s="70">
        <f t="shared" si="5"/>
        <v>3731.9749999999999</v>
      </c>
      <c r="BA11" s="95">
        <v>577.4</v>
      </c>
      <c r="BB11" s="95">
        <v>822.6</v>
      </c>
      <c r="BC11" s="96">
        <f t="shared" ref="BC11:BC14" si="21">+BA11+BB11-AW11</f>
        <v>-1967.25</v>
      </c>
      <c r="BD11" s="17"/>
      <c r="BE11" s="17"/>
    </row>
    <row r="12" spans="1:57" s="10" customFormat="1">
      <c r="A12" s="20" t="s">
        <v>26</v>
      </c>
      <c r="B12" s="10" t="s">
        <v>23</v>
      </c>
      <c r="C12" s="11">
        <f>+AE12</f>
        <v>1400</v>
      </c>
      <c r="D12" s="11">
        <v>0</v>
      </c>
      <c r="E12" s="11">
        <f>+AF12</f>
        <v>3530.68</v>
      </c>
      <c r="F12" s="11">
        <f t="shared" si="6"/>
        <v>4930.68</v>
      </c>
      <c r="G12">
        <v>45.13</v>
      </c>
      <c r="H12" s="11">
        <f t="shared" si="7"/>
        <v>58.91</v>
      </c>
      <c r="I12" s="11">
        <f t="shared" si="8"/>
        <v>0</v>
      </c>
      <c r="J12" s="11">
        <f t="shared" si="9"/>
        <v>0</v>
      </c>
      <c r="K12" s="11">
        <f t="shared" si="10"/>
        <v>0</v>
      </c>
      <c r="L12" s="11">
        <f t="shared" si="11"/>
        <v>488.55500000000006</v>
      </c>
      <c r="M12" s="11">
        <f t="shared" si="12"/>
        <v>592.59500000000003</v>
      </c>
      <c r="N12" s="11">
        <f>+F12-M12</f>
        <v>4338.085</v>
      </c>
      <c r="O12" s="11">
        <f t="shared" si="13"/>
        <v>4826.6400000000003</v>
      </c>
      <c r="P12" s="11">
        <f t="shared" si="14"/>
        <v>0</v>
      </c>
      <c r="Q12" s="11">
        <f>+'C&amp;A'!E12*0.02</f>
        <v>10.2256</v>
      </c>
      <c r="R12" s="11">
        <f t="shared" si="15"/>
        <v>4881.9956000000002</v>
      </c>
      <c r="S12" s="11">
        <f t="shared" si="16"/>
        <v>781.11929600000008</v>
      </c>
      <c r="T12" s="11">
        <f t="shared" si="17"/>
        <v>5663.114896</v>
      </c>
      <c r="U12" s="48">
        <f>+N12-'C&amp;A'!I12-SINDICATO!N12</f>
        <v>-0.12000000000080036</v>
      </c>
      <c r="V12" s="90">
        <f t="shared" si="18"/>
        <v>0</v>
      </c>
      <c r="W12" s="64" t="s">
        <v>91</v>
      </c>
      <c r="X12" s="64" t="s">
        <v>94</v>
      </c>
      <c r="Y12" s="64" t="s">
        <v>26</v>
      </c>
      <c r="Z12" s="64" t="s">
        <v>93</v>
      </c>
      <c r="AA12" s="65"/>
      <c r="AB12" s="65"/>
      <c r="AC12" s="77">
        <v>1400</v>
      </c>
      <c r="AD12" s="65"/>
      <c r="AE12" s="67">
        <f>+AC12+AD12</f>
        <v>1400</v>
      </c>
      <c r="AF12" s="67">
        <v>3530.68</v>
      </c>
      <c r="AG12" s="68"/>
      <c r="AH12" s="68"/>
      <c r="AI12" s="69">
        <f t="shared" si="19"/>
        <v>45.13</v>
      </c>
      <c r="AJ12" s="70">
        <f t="shared" si="20"/>
        <v>4885.55</v>
      </c>
      <c r="AK12" s="71"/>
      <c r="AL12" s="72">
        <v>58.91</v>
      </c>
      <c r="AM12" s="72">
        <v>0</v>
      </c>
      <c r="AN12" s="72"/>
      <c r="AO12" s="72"/>
      <c r="AP12" s="72"/>
      <c r="AQ12" s="73"/>
      <c r="AR12" s="73"/>
      <c r="AS12" s="64"/>
      <c r="AT12" s="74"/>
      <c r="AU12" s="70">
        <f t="shared" si="0"/>
        <v>4826.6400000000003</v>
      </c>
      <c r="AV12" s="75">
        <f t="shared" si="1"/>
        <v>488.55500000000006</v>
      </c>
      <c r="AW12" s="70">
        <f t="shared" si="2"/>
        <v>4338.085</v>
      </c>
      <c r="AX12" s="76">
        <f t="shared" si="3"/>
        <v>0</v>
      </c>
      <c r="AY12" s="75">
        <f t="shared" si="4"/>
        <v>28</v>
      </c>
      <c r="AZ12" s="70">
        <f t="shared" si="5"/>
        <v>4913.55</v>
      </c>
      <c r="BA12" s="95">
        <v>577.4</v>
      </c>
      <c r="BB12" s="95">
        <v>763.69</v>
      </c>
      <c r="BC12" s="96">
        <f t="shared" si="21"/>
        <v>-2996.9949999999999</v>
      </c>
      <c r="BD12" s="3"/>
      <c r="BE12" s="3"/>
    </row>
    <row r="13" spans="1:57" s="10" customFormat="1">
      <c r="A13" s="20" t="s">
        <v>27</v>
      </c>
      <c r="B13" s="10" t="s">
        <v>18</v>
      </c>
      <c r="C13" s="11">
        <f>+AE13</f>
        <v>590.45000000000005</v>
      </c>
      <c r="D13" s="11">
        <v>0</v>
      </c>
      <c r="E13" s="11">
        <f>+AF13</f>
        <v>4003.43</v>
      </c>
      <c r="F13" s="11">
        <f t="shared" si="6"/>
        <v>4593.88</v>
      </c>
      <c r="G13">
        <v>45.13</v>
      </c>
      <c r="H13" s="11">
        <f t="shared" si="7"/>
        <v>341.33</v>
      </c>
      <c r="I13" s="11">
        <f t="shared" si="8"/>
        <v>222.88875000000002</v>
      </c>
      <c r="J13" s="11">
        <f t="shared" si="9"/>
        <v>4.5487500000000001</v>
      </c>
      <c r="K13" s="11">
        <f t="shared" si="10"/>
        <v>296.2</v>
      </c>
      <c r="L13" s="11">
        <f t="shared" si="11"/>
        <v>454.875</v>
      </c>
      <c r="M13" s="11">
        <f t="shared" si="12"/>
        <v>1364.9725000000001</v>
      </c>
      <c r="N13" s="11">
        <f>+F13-M13</f>
        <v>3228.9075000000003</v>
      </c>
      <c r="O13" s="11">
        <f t="shared" si="13"/>
        <v>4207.42</v>
      </c>
      <c r="P13" s="11">
        <f t="shared" si="14"/>
        <v>0</v>
      </c>
      <c r="Q13" s="11">
        <f>+'C&amp;A'!E13*0.02</f>
        <v>10.2256</v>
      </c>
      <c r="R13" s="11">
        <f t="shared" si="15"/>
        <v>4262.7755999999999</v>
      </c>
      <c r="S13" s="11">
        <f t="shared" si="16"/>
        <v>682.04409599999997</v>
      </c>
      <c r="T13" s="11">
        <f t="shared" si="17"/>
        <v>4944.8196959999996</v>
      </c>
      <c r="U13" s="48">
        <f>+N13-'C&amp;A'!I13-SINDICATO!N13</f>
        <v>-9.9999999999909051E-2</v>
      </c>
      <c r="V13" s="90">
        <f t="shared" si="18"/>
        <v>0</v>
      </c>
      <c r="W13" s="64" t="s">
        <v>95</v>
      </c>
      <c r="X13" s="64" t="s">
        <v>96</v>
      </c>
      <c r="Y13" s="64" t="s">
        <v>27</v>
      </c>
      <c r="Z13" s="64" t="s">
        <v>97</v>
      </c>
      <c r="AA13" s="65"/>
      <c r="AB13" s="65"/>
      <c r="AC13" s="64">
        <v>590.45000000000005</v>
      </c>
      <c r="AD13" s="65"/>
      <c r="AE13" s="67">
        <f>+AC13+AD13</f>
        <v>590.45000000000005</v>
      </c>
      <c r="AF13" s="67">
        <v>4003.43</v>
      </c>
      <c r="AG13" s="68"/>
      <c r="AH13" s="68"/>
      <c r="AI13" s="69">
        <f t="shared" si="19"/>
        <v>45.13</v>
      </c>
      <c r="AJ13" s="70">
        <f t="shared" si="20"/>
        <v>4548.75</v>
      </c>
      <c r="AK13" s="71"/>
      <c r="AL13" s="78">
        <v>341.33</v>
      </c>
      <c r="AM13" s="72">
        <v>0</v>
      </c>
      <c r="AN13" s="78">
        <f>+AJ13*4.9%</f>
        <v>222.88875000000002</v>
      </c>
      <c r="AO13" s="78">
        <f>+AJ13*0.1%</f>
        <v>4.5487500000000001</v>
      </c>
      <c r="AP13" s="72"/>
      <c r="AQ13" s="73"/>
      <c r="AR13" s="73"/>
      <c r="AS13" s="79">
        <v>296.2</v>
      </c>
      <c r="AT13" s="74"/>
      <c r="AU13" s="70">
        <f t="shared" si="0"/>
        <v>3683.7825000000003</v>
      </c>
      <c r="AV13" s="75">
        <f t="shared" si="1"/>
        <v>454.875</v>
      </c>
      <c r="AW13" s="70">
        <f t="shared" si="2"/>
        <v>3228.9075000000003</v>
      </c>
      <c r="AX13" s="76">
        <f t="shared" si="3"/>
        <v>0</v>
      </c>
      <c r="AY13" s="75">
        <f t="shared" si="4"/>
        <v>11.809000000000001</v>
      </c>
      <c r="AZ13" s="70">
        <f t="shared" si="5"/>
        <v>4560.5590000000002</v>
      </c>
      <c r="BA13" s="95">
        <v>577.4</v>
      </c>
      <c r="BB13" s="95">
        <v>2952.54</v>
      </c>
      <c r="BC13" s="96">
        <f t="shared" si="21"/>
        <v>301.0324999999998</v>
      </c>
    </row>
    <row r="14" spans="1:57" s="10" customFormat="1">
      <c r="A14" s="20" t="s">
        <v>28</v>
      </c>
      <c r="B14" s="10" t="s">
        <v>19</v>
      </c>
      <c r="C14" s="11">
        <f>+AE14</f>
        <v>511.28</v>
      </c>
      <c r="D14" s="11"/>
      <c r="E14" s="11">
        <f>+AF14</f>
        <v>1016.4</v>
      </c>
      <c r="F14" s="11">
        <f t="shared" si="6"/>
        <v>1527.6799999999998</v>
      </c>
      <c r="G14" s="11">
        <v>0</v>
      </c>
      <c r="H14" s="11">
        <f t="shared" si="7"/>
        <v>0</v>
      </c>
      <c r="I14" s="11">
        <f t="shared" si="8"/>
        <v>74.856319999999997</v>
      </c>
      <c r="J14" s="11">
        <f t="shared" si="9"/>
        <v>1.5276799999999999</v>
      </c>
      <c r="K14" s="11">
        <f t="shared" si="10"/>
        <v>0</v>
      </c>
      <c r="L14" s="11">
        <f t="shared" si="11"/>
        <v>0</v>
      </c>
      <c r="M14" s="11">
        <f t="shared" si="12"/>
        <v>76.384</v>
      </c>
      <c r="N14" s="11">
        <f>+F14-M14</f>
        <v>1451.2959999999998</v>
      </c>
      <c r="O14" s="11">
        <f t="shared" si="13"/>
        <v>1527.6799999999998</v>
      </c>
      <c r="P14" s="11">
        <f t="shared" si="14"/>
        <v>152.768</v>
      </c>
      <c r="Q14" s="11">
        <f>+'C&amp;A'!E14*0.02</f>
        <v>10.2256</v>
      </c>
      <c r="R14" s="11">
        <f t="shared" si="15"/>
        <v>1690.6735999999999</v>
      </c>
      <c r="S14" s="11">
        <f t="shared" si="16"/>
        <v>270.50777599999998</v>
      </c>
      <c r="T14" s="11">
        <f t="shared" si="17"/>
        <v>1961.1813759999998</v>
      </c>
      <c r="U14" s="48">
        <f>+N14-'C&amp;A'!I14-SINDICATO!N14</f>
        <v>-0.11000000000001364</v>
      </c>
      <c r="V14" s="90">
        <f t="shared" si="18"/>
        <v>0</v>
      </c>
      <c r="W14" s="64" t="s">
        <v>95</v>
      </c>
      <c r="X14" s="64" t="s">
        <v>98</v>
      </c>
      <c r="Y14" s="64" t="s">
        <v>28</v>
      </c>
      <c r="Z14" s="64" t="s">
        <v>97</v>
      </c>
      <c r="AA14" s="74"/>
      <c r="AB14" s="74"/>
      <c r="AC14" s="66">
        <v>511.28</v>
      </c>
      <c r="AD14" s="66"/>
      <c r="AE14" s="67">
        <f t="shared" ref="AE14" si="22">+AC14+AD14</f>
        <v>511.28</v>
      </c>
      <c r="AF14" s="67">
        <v>1016.4</v>
      </c>
      <c r="AG14" s="67"/>
      <c r="AH14" s="67"/>
      <c r="AI14" s="69">
        <f t="shared" si="19"/>
        <v>0</v>
      </c>
      <c r="AJ14" s="70">
        <f t="shared" si="20"/>
        <v>1527.6799999999998</v>
      </c>
      <c r="AK14" s="71"/>
      <c r="AL14" s="78"/>
      <c r="AM14" s="72">
        <v>0</v>
      </c>
      <c r="AN14" s="78">
        <f>+AJ14*4.9%</f>
        <v>74.856319999999997</v>
      </c>
      <c r="AO14" s="78">
        <f>+AJ14*0.1%</f>
        <v>1.5276799999999999</v>
      </c>
      <c r="AP14" s="72"/>
      <c r="AQ14" s="73"/>
      <c r="AR14" s="73"/>
      <c r="AS14" s="64"/>
      <c r="AT14" s="74"/>
      <c r="AU14" s="70">
        <f t="shared" si="0"/>
        <v>1451.2959999999998</v>
      </c>
      <c r="AV14" s="75">
        <f t="shared" si="1"/>
        <v>0</v>
      </c>
      <c r="AW14" s="70">
        <f t="shared" si="2"/>
        <v>1451.2959999999998</v>
      </c>
      <c r="AX14" s="76">
        <f t="shared" si="3"/>
        <v>152.768</v>
      </c>
      <c r="AY14" s="75">
        <f t="shared" si="4"/>
        <v>10.2256</v>
      </c>
      <c r="AZ14" s="70">
        <f t="shared" si="5"/>
        <v>1690.6735999999999</v>
      </c>
      <c r="BA14" s="95">
        <v>577.4</v>
      </c>
      <c r="BB14" s="95">
        <v>1629.14</v>
      </c>
      <c r="BC14" s="96">
        <f t="shared" si="21"/>
        <v>755.24400000000014</v>
      </c>
    </row>
    <row r="15" spans="1:57" s="10" customFormat="1">
      <c r="A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W15" s="80"/>
      <c r="X15" s="81"/>
      <c r="Y15" s="81"/>
      <c r="Z15" s="81"/>
      <c r="AA15" s="81"/>
      <c r="AB15" s="81"/>
      <c r="AC15" s="81"/>
      <c r="AD15" s="81"/>
      <c r="AE15" s="82"/>
      <c r="AF15" s="82"/>
      <c r="AG15" s="82"/>
      <c r="AH15" s="82"/>
      <c r="AI15" s="82"/>
      <c r="AJ15" s="83"/>
      <c r="AK15" s="82"/>
      <c r="AL15" s="82"/>
      <c r="AM15" s="82"/>
      <c r="AN15" s="82"/>
      <c r="AO15" s="82"/>
      <c r="AP15" s="82"/>
      <c r="AQ15" s="75"/>
      <c r="AR15" s="75"/>
      <c r="AS15" s="75"/>
      <c r="AT15" s="75"/>
      <c r="AU15" s="84"/>
      <c r="AV15" s="75"/>
      <c r="AW15" s="83"/>
      <c r="AX15" s="75"/>
      <c r="AY15" s="75"/>
      <c r="AZ15" s="83"/>
      <c r="BA15" s="95"/>
      <c r="BB15" s="95"/>
      <c r="BC15" s="96"/>
    </row>
    <row r="16" spans="1:57" s="10" customFormat="1" ht="16.5" thickBot="1">
      <c r="A16" s="13" t="s">
        <v>6</v>
      </c>
      <c r="B16" s="12" t="s">
        <v>7</v>
      </c>
      <c r="C16" s="14">
        <f>SUM(C10:C15)</f>
        <v>6235.0599999999995</v>
      </c>
      <c r="D16" s="14">
        <f t="shared" ref="D16:G16" si="23">SUM(D10:D15)</f>
        <v>0</v>
      </c>
      <c r="E16" s="14">
        <f t="shared" si="23"/>
        <v>21833.200000000001</v>
      </c>
      <c r="F16" s="14">
        <f t="shared" si="23"/>
        <v>28068.260000000002</v>
      </c>
      <c r="G16" s="14">
        <f t="shared" si="23"/>
        <v>135.39000000000001</v>
      </c>
      <c r="H16" s="14">
        <f>SUM(H10:H15)</f>
        <v>400.24</v>
      </c>
      <c r="I16" s="91">
        <f t="shared" ref="I16:M16" si="24">SUM(I10:I15)</f>
        <v>297.74507</v>
      </c>
      <c r="J16" s="91">
        <f t="shared" si="24"/>
        <v>6.0764300000000002</v>
      </c>
      <c r="K16" s="91">
        <f t="shared" si="24"/>
        <v>296.2</v>
      </c>
      <c r="L16" s="14">
        <f t="shared" si="24"/>
        <v>2303.7940000000003</v>
      </c>
      <c r="M16" s="14">
        <f t="shared" si="24"/>
        <v>3439.4455000000007</v>
      </c>
      <c r="N16" s="14">
        <f>SUM(N10:N15)</f>
        <v>24628.8145</v>
      </c>
      <c r="O16" s="114">
        <f>SUM(O10:O15)</f>
        <v>27532.629999999997</v>
      </c>
      <c r="P16" s="114">
        <f>SUM(P10:P15)</f>
        <v>489.49300000000005</v>
      </c>
      <c r="Q16" s="114">
        <f t="shared" ref="Q16:S16" si="25">SUM(Q10:Q15)</f>
        <v>51.128</v>
      </c>
      <c r="R16" s="114">
        <f t="shared" si="25"/>
        <v>28208.641</v>
      </c>
      <c r="S16" s="114">
        <f t="shared" si="25"/>
        <v>4513.38256</v>
      </c>
      <c r="T16" s="114">
        <f>SUM(T10:T15)</f>
        <v>32722.023559999998</v>
      </c>
      <c r="U16" s="48">
        <f>SUM(U10:U14)</f>
        <v>-0.4000000000013415</v>
      </c>
      <c r="V16" s="90"/>
      <c r="W16" s="85"/>
      <c r="X16" s="86" t="s">
        <v>99</v>
      </c>
      <c r="Y16" s="86"/>
      <c r="Z16" s="86"/>
      <c r="AA16" s="86"/>
      <c r="AB16" s="86"/>
      <c r="AC16" s="86"/>
      <c r="AD16" s="86"/>
      <c r="AE16" s="87">
        <f t="shared" ref="AE16:BC16" si="26">SUM(AE10:AE14)</f>
        <v>6235.0599999999995</v>
      </c>
      <c r="AF16" s="87">
        <f t="shared" si="26"/>
        <v>21833.200000000001</v>
      </c>
      <c r="AG16" s="87">
        <f t="shared" si="26"/>
        <v>0</v>
      </c>
      <c r="AH16" s="87">
        <f t="shared" si="26"/>
        <v>0</v>
      </c>
      <c r="AI16" s="87">
        <f t="shared" si="26"/>
        <v>135.39000000000001</v>
      </c>
      <c r="AJ16" s="87">
        <f t="shared" si="26"/>
        <v>27932.87</v>
      </c>
      <c r="AK16" s="87">
        <f t="shared" si="26"/>
        <v>0</v>
      </c>
      <c r="AL16" s="87">
        <f t="shared" si="26"/>
        <v>400.24</v>
      </c>
      <c r="AM16" s="87">
        <f t="shared" si="26"/>
        <v>0</v>
      </c>
      <c r="AN16" s="87">
        <f t="shared" si="26"/>
        <v>297.74507</v>
      </c>
      <c r="AO16" s="87">
        <f t="shared" si="26"/>
        <v>6.0764300000000002</v>
      </c>
      <c r="AP16" s="87">
        <f t="shared" si="26"/>
        <v>0</v>
      </c>
      <c r="AQ16" s="87">
        <f t="shared" si="26"/>
        <v>0</v>
      </c>
      <c r="AR16" s="87">
        <f t="shared" si="26"/>
        <v>0</v>
      </c>
      <c r="AS16" s="87">
        <f t="shared" si="26"/>
        <v>296.2</v>
      </c>
      <c r="AT16" s="87">
        <f t="shared" si="26"/>
        <v>0</v>
      </c>
      <c r="AU16" s="87">
        <f t="shared" si="26"/>
        <v>26932.608499999998</v>
      </c>
      <c r="AV16" s="87">
        <f t="shared" si="26"/>
        <v>2303.7940000000003</v>
      </c>
      <c r="AW16" s="87">
        <f t="shared" si="26"/>
        <v>24628.8145</v>
      </c>
      <c r="AX16" s="87">
        <f t="shared" si="26"/>
        <v>489.49300000000005</v>
      </c>
      <c r="AY16" s="87">
        <f t="shared" si="26"/>
        <v>124.7012</v>
      </c>
      <c r="AZ16" s="87">
        <f t="shared" si="26"/>
        <v>28547.064200000001</v>
      </c>
      <c r="BA16" s="87">
        <f t="shared" si="26"/>
        <v>2887</v>
      </c>
      <c r="BB16" s="87">
        <f t="shared" si="26"/>
        <v>7923.9000000000005</v>
      </c>
      <c r="BC16" s="87">
        <f t="shared" si="26"/>
        <v>-13817.914500000003</v>
      </c>
    </row>
    <row r="17" spans="1:57" s="10" customFormat="1" ht="16.5" thickTop="1">
      <c r="A17" s="9"/>
      <c r="I17" s="125" t="s">
        <v>102</v>
      </c>
      <c r="J17" s="125"/>
      <c r="K17" s="125"/>
      <c r="M17" s="115"/>
      <c r="N17" s="90"/>
      <c r="O17" s="90"/>
      <c r="R17" s="90"/>
      <c r="W17" s="85"/>
      <c r="X17" s="85"/>
      <c r="Y17" s="85"/>
      <c r="Z17" s="85"/>
      <c r="AA17" s="85"/>
      <c r="AB17" s="85"/>
      <c r="AC17" s="85"/>
      <c r="AD17" s="85"/>
      <c r="AE17" s="59"/>
      <c r="AF17" s="59"/>
      <c r="AG17" s="59"/>
      <c r="AH17" s="59"/>
      <c r="AI17" s="59"/>
      <c r="AJ17" s="60"/>
      <c r="AK17" s="59"/>
      <c r="AL17" s="59"/>
      <c r="AM17" s="61"/>
      <c r="AN17" s="61"/>
      <c r="AO17" s="61"/>
      <c r="AP17" s="61"/>
      <c r="AQ17" s="59"/>
      <c r="AR17" s="59"/>
      <c r="AS17" s="59"/>
      <c r="AT17" s="59"/>
      <c r="AU17" s="60"/>
      <c r="AV17" s="59"/>
      <c r="AW17" s="60"/>
      <c r="AX17" s="59"/>
      <c r="AY17" s="59"/>
      <c r="AZ17" s="60"/>
      <c r="BA17" s="95"/>
      <c r="BB17" s="95"/>
      <c r="BC17" s="96"/>
    </row>
    <row r="18" spans="1:57" s="10" customFormat="1">
      <c r="A18" s="9"/>
      <c r="C18" s="10" t="s">
        <v>7</v>
      </c>
      <c r="N18" s="90"/>
      <c r="O18" s="90"/>
      <c r="P18" s="10" t="s">
        <v>7</v>
      </c>
      <c r="Q18" s="10" t="s">
        <v>7</v>
      </c>
      <c r="R18" s="90"/>
      <c r="S18" s="10" t="s">
        <v>7</v>
      </c>
      <c r="T18" s="10" t="s">
        <v>7</v>
      </c>
      <c r="V18" s="90"/>
      <c r="W18" s="128" t="s">
        <v>100</v>
      </c>
      <c r="X18" s="128"/>
      <c r="Y18" s="85"/>
      <c r="Z18" s="85"/>
      <c r="AA18" s="85"/>
      <c r="AB18" s="85"/>
      <c r="AC18" s="85"/>
      <c r="AD18" s="85"/>
      <c r="AE18" s="59"/>
      <c r="AF18" s="59"/>
      <c r="AG18" s="59"/>
      <c r="AH18" s="59"/>
      <c r="AI18" s="59"/>
      <c r="AJ18" s="60"/>
      <c r="AK18" s="59"/>
      <c r="AL18" s="59"/>
      <c r="AM18" s="61"/>
      <c r="AN18" s="61"/>
      <c r="AO18" s="61"/>
      <c r="AP18" s="61"/>
      <c r="AQ18" s="59"/>
      <c r="AR18" s="59"/>
      <c r="AS18" s="59"/>
      <c r="AT18" s="59"/>
      <c r="AU18" s="60"/>
      <c r="AV18" s="59">
        <f>+AV16-AV17</f>
        <v>2303.7940000000003</v>
      </c>
      <c r="AW18" s="60"/>
      <c r="AX18" s="59"/>
      <c r="AY18" s="59"/>
      <c r="AZ18" s="60"/>
      <c r="BA18" s="95"/>
      <c r="BB18" s="95"/>
      <c r="BC18" s="96"/>
    </row>
    <row r="19" spans="1:57" s="10" customFormat="1">
      <c r="A19" s="9" t="s">
        <v>7</v>
      </c>
      <c r="B19" s="10" t="s">
        <v>7</v>
      </c>
      <c r="C19" s="15"/>
      <c r="D19" s="15"/>
      <c r="E19" s="15"/>
      <c r="F19" s="15"/>
      <c r="G19" s="10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W19" s="80"/>
      <c r="X19" s="74"/>
      <c r="Y19" s="65"/>
      <c r="Z19" s="74"/>
      <c r="AA19" s="74"/>
      <c r="AB19" s="74"/>
      <c r="AC19" s="74"/>
      <c r="AD19" s="74"/>
      <c r="AE19" s="67"/>
      <c r="AF19" s="67"/>
      <c r="AG19" s="67"/>
      <c r="AH19" s="67"/>
      <c r="AI19" s="67"/>
      <c r="AJ19" s="70">
        <f>SUM(AE19:AI19)</f>
        <v>0</v>
      </c>
      <c r="AK19" s="71"/>
      <c r="AL19" s="71"/>
      <c r="AM19" s="88"/>
      <c r="AN19" s="88"/>
      <c r="AO19" s="88"/>
      <c r="AP19" s="88"/>
      <c r="AQ19" s="89"/>
      <c r="AR19" s="89"/>
      <c r="AS19" s="89"/>
      <c r="AT19" s="89"/>
      <c r="AU19" s="70">
        <f>+AJ19-AK19</f>
        <v>0</v>
      </c>
      <c r="AV19" s="75">
        <f>+AU19*0.05</f>
        <v>0</v>
      </c>
      <c r="AW19" s="70">
        <f>+AU19-AQ19-AT19</f>
        <v>0</v>
      </c>
      <c r="AX19" s="76">
        <f>IF(AU19&lt;3000,AU19*0.1,0)</f>
        <v>0</v>
      </c>
      <c r="AY19" s="75">
        <v>0</v>
      </c>
      <c r="AZ19" s="70">
        <f>+AU19+AX19+AY19</f>
        <v>0</v>
      </c>
      <c r="BA19" s="95"/>
      <c r="BB19" s="95"/>
      <c r="BC19" s="96"/>
    </row>
    <row r="20" spans="1:57" s="10" customFormat="1">
      <c r="A20" s="9"/>
      <c r="G20" s="104"/>
      <c r="W20" s="80"/>
      <c r="X20" s="65"/>
      <c r="Y20" s="65"/>
      <c r="Z20" s="65"/>
      <c r="AA20" s="65"/>
      <c r="AB20" s="65"/>
      <c r="AC20" s="65"/>
      <c r="AD20" s="65"/>
      <c r="AE20" s="68"/>
      <c r="AF20" s="68"/>
      <c r="AG20" s="68"/>
      <c r="AH20" s="68"/>
      <c r="AI20" s="68"/>
      <c r="AJ20" s="70">
        <f>SUM(AE20:AI20)</f>
        <v>0</v>
      </c>
      <c r="AK20" s="71"/>
      <c r="AL20" s="71"/>
      <c r="AM20" s="88"/>
      <c r="AN20" s="88"/>
      <c r="AO20" s="88"/>
      <c r="AP20" s="88"/>
      <c r="AQ20" s="89"/>
      <c r="AR20" s="89"/>
      <c r="AS20" s="89"/>
      <c r="AT20" s="89"/>
      <c r="AU20" s="70">
        <f>+AJ20-AK20</f>
        <v>0</v>
      </c>
      <c r="AV20" s="75">
        <f>+AU20*0.05</f>
        <v>0</v>
      </c>
      <c r="AW20" s="70">
        <f>+AU20-AQ20-AT20</f>
        <v>0</v>
      </c>
      <c r="AX20" s="76">
        <f>IF(AU20&lt;3000,AU20*0.1,0)</f>
        <v>0</v>
      </c>
      <c r="AY20" s="75">
        <v>0</v>
      </c>
      <c r="AZ20" s="70">
        <f>+AU20+AX20+AY20</f>
        <v>0</v>
      </c>
      <c r="BA20" s="95"/>
      <c r="BB20" s="95"/>
      <c r="BC20" s="96">
        <f t="shared" ref="BC20:BC39" si="27">+BA20+BB20-AV20</f>
        <v>0</v>
      </c>
    </row>
    <row r="21" spans="1:57" s="10" customFormat="1">
      <c r="A21" s="9"/>
      <c r="G21" s="104"/>
      <c r="W21" s="85"/>
      <c r="X21" s="85"/>
      <c r="Y21" s="85"/>
      <c r="Z21" s="85"/>
      <c r="AA21" s="85"/>
      <c r="AB21" s="85"/>
      <c r="AC21" s="85"/>
      <c r="AD21" s="85"/>
      <c r="AE21" s="59"/>
      <c r="AF21" s="59"/>
      <c r="AG21" s="59"/>
      <c r="AH21" s="59"/>
      <c r="AI21" s="59"/>
      <c r="AJ21" s="60"/>
      <c r="AK21" s="59"/>
      <c r="AL21" s="59"/>
      <c r="AM21" s="61"/>
      <c r="AN21" s="61"/>
      <c r="AO21" s="61"/>
      <c r="AP21" s="61"/>
      <c r="AQ21" s="59"/>
      <c r="AR21" s="59"/>
      <c r="AS21" s="59"/>
      <c r="AT21" s="59"/>
      <c r="AU21" s="60"/>
      <c r="AV21" s="59"/>
      <c r="AW21" s="60"/>
      <c r="AX21" s="59"/>
      <c r="AY21" s="59"/>
      <c r="AZ21" s="60">
        <f>SUM(AZ19:AZ20)</f>
        <v>0</v>
      </c>
      <c r="BA21" s="95"/>
      <c r="BB21" s="95"/>
      <c r="BC21" s="96">
        <f t="shared" si="27"/>
        <v>0</v>
      </c>
    </row>
    <row r="22" spans="1:57" s="10" customFormat="1">
      <c r="A22" s="9"/>
      <c r="G22" s="104"/>
      <c r="W22" s="85"/>
      <c r="X22" s="98"/>
      <c r="Y22" s="98"/>
      <c r="Z22" s="85"/>
      <c r="AA22" s="85"/>
      <c r="AB22" s="85"/>
      <c r="AC22" s="85"/>
      <c r="AD22" s="85"/>
      <c r="AE22" s="59"/>
      <c r="AF22" s="59"/>
      <c r="AG22" s="59"/>
      <c r="AH22" s="59"/>
      <c r="AI22" s="59"/>
      <c r="AJ22" s="60"/>
      <c r="AK22" s="59"/>
      <c r="AL22" s="59"/>
      <c r="AM22" s="61"/>
      <c r="AN22" s="61"/>
      <c r="AO22" s="61"/>
      <c r="AP22" s="61"/>
      <c r="AQ22" s="59"/>
      <c r="AR22" s="59"/>
      <c r="AS22" s="59"/>
      <c r="AT22" s="59"/>
      <c r="AU22" s="60"/>
      <c r="AV22" s="59"/>
      <c r="AW22" s="60"/>
      <c r="AX22" s="59"/>
      <c r="AY22" s="59"/>
      <c r="AZ22" s="60">
        <f>+AZ21*0.16</f>
        <v>0</v>
      </c>
      <c r="BA22" s="95"/>
      <c r="BB22" s="95"/>
      <c r="BC22" s="96">
        <f t="shared" si="27"/>
        <v>0</v>
      </c>
    </row>
    <row r="23" spans="1:57" s="10" customFormat="1">
      <c r="A23" s="9"/>
      <c r="G23" s="104"/>
      <c r="W23" s="85"/>
      <c r="X23" s="98"/>
      <c r="Y23" s="98"/>
      <c r="Z23" s="85"/>
      <c r="AA23" s="85"/>
      <c r="AB23" s="85"/>
      <c r="AC23" s="85"/>
      <c r="AD23" s="85"/>
      <c r="AE23" s="59"/>
      <c r="AF23" s="59"/>
      <c r="AG23" s="59"/>
      <c r="AH23" s="59"/>
      <c r="AI23" s="59"/>
      <c r="AJ23" s="60"/>
      <c r="AK23" s="59"/>
      <c r="AL23" s="59"/>
      <c r="AM23" s="61"/>
      <c r="AN23" s="61"/>
      <c r="AO23" s="61"/>
      <c r="AP23" s="61"/>
      <c r="AQ23" s="59"/>
      <c r="AR23" s="59"/>
      <c r="AS23" s="59"/>
      <c r="AT23" s="59"/>
      <c r="AU23" s="60"/>
      <c r="AV23" s="59"/>
      <c r="AW23" s="60"/>
      <c r="AX23" s="59"/>
      <c r="AY23" s="59"/>
      <c r="AZ23" s="60">
        <f>+AZ21+AZ22</f>
        <v>0</v>
      </c>
      <c r="BA23" s="95"/>
      <c r="BB23" s="95"/>
      <c r="BC23" s="96">
        <f t="shared" si="27"/>
        <v>0</v>
      </c>
    </row>
    <row r="24" spans="1:57" s="10" customFormat="1">
      <c r="A24" s="9"/>
      <c r="G24" s="104"/>
      <c r="W24" s="85"/>
      <c r="X24" s="98"/>
      <c r="Y24" s="98"/>
      <c r="Z24" s="85"/>
      <c r="AA24" s="85"/>
      <c r="AB24" s="85"/>
      <c r="AC24" s="85"/>
      <c r="AD24" s="85"/>
      <c r="AE24" s="59"/>
      <c r="AF24" s="59"/>
      <c r="AG24" s="59"/>
      <c r="AH24" s="59"/>
      <c r="AI24" s="59"/>
      <c r="AJ24" s="60"/>
      <c r="AK24" s="59"/>
      <c r="AL24" s="59"/>
      <c r="AM24" s="61"/>
      <c r="AN24" s="61"/>
      <c r="AO24" s="61"/>
      <c r="AP24" s="61"/>
      <c r="AQ24" s="59"/>
      <c r="AR24" s="59"/>
      <c r="AS24" s="59"/>
      <c r="AT24" s="59"/>
      <c r="AU24" s="60"/>
      <c r="AV24" s="59"/>
      <c r="AW24" s="60"/>
      <c r="AX24" s="59"/>
      <c r="AY24" s="59"/>
      <c r="AZ24" s="60"/>
      <c r="BA24" s="95"/>
      <c r="BB24" s="95"/>
      <c r="BC24" s="96">
        <f t="shared" si="27"/>
        <v>0</v>
      </c>
    </row>
    <row r="25" spans="1:57" s="10" customFormat="1">
      <c r="A25" s="9"/>
      <c r="W25" s="85"/>
      <c r="X25" s="98"/>
      <c r="Y25" s="98"/>
      <c r="Z25" s="85"/>
      <c r="AA25" s="85"/>
      <c r="AB25" s="85"/>
      <c r="AC25" s="85"/>
      <c r="AD25" s="85"/>
      <c r="AE25" s="59"/>
      <c r="AF25" s="59"/>
      <c r="AG25" s="59"/>
      <c r="AH25" s="59"/>
      <c r="AI25" s="59"/>
      <c r="AJ25" s="60"/>
      <c r="AK25" s="59"/>
      <c r="AL25" s="59"/>
      <c r="AM25" s="61"/>
      <c r="AN25" s="61"/>
      <c r="AO25" s="61"/>
      <c r="AP25" s="61"/>
      <c r="AQ25" s="59"/>
      <c r="AR25" s="59"/>
      <c r="AS25" s="59"/>
      <c r="AT25" s="59"/>
      <c r="AU25" s="60"/>
      <c r="AV25" s="59"/>
      <c r="AW25" s="60"/>
      <c r="AX25" s="59"/>
      <c r="AY25" s="59"/>
      <c r="AZ25" s="60">
        <f>+AZ18+AZ23</f>
        <v>0</v>
      </c>
      <c r="BA25" s="95"/>
      <c r="BB25" s="95"/>
      <c r="BC25" s="96">
        <f t="shared" si="27"/>
        <v>0</v>
      </c>
    </row>
    <row r="26" spans="1:57" s="10" customFormat="1">
      <c r="A26" s="9"/>
      <c r="W26" s="85"/>
      <c r="X26" s="85"/>
      <c r="Y26" s="85"/>
      <c r="Z26" s="85"/>
      <c r="AA26" s="85"/>
      <c r="AB26" s="85"/>
      <c r="AC26" s="85"/>
      <c r="AD26" s="85"/>
      <c r="AE26" s="59"/>
      <c r="AF26" s="59"/>
      <c r="AG26" s="59"/>
      <c r="AH26" s="59"/>
      <c r="AI26" s="59"/>
      <c r="AJ26" s="60"/>
      <c r="AK26" s="59"/>
      <c r="AL26" s="59"/>
      <c r="AM26" s="61"/>
      <c r="AN26" s="61"/>
      <c r="AO26" s="61"/>
      <c r="AP26" s="61"/>
      <c r="AQ26" s="59"/>
      <c r="AR26" s="59"/>
      <c r="AS26" s="59"/>
      <c r="AT26" s="59"/>
      <c r="AU26" s="60"/>
      <c r="AV26" s="59"/>
      <c r="AW26" s="60"/>
      <c r="AX26" s="59"/>
      <c r="AY26" s="59"/>
      <c r="AZ26" s="60"/>
      <c r="BA26" s="95"/>
      <c r="BB26" s="95"/>
      <c r="BC26" s="96">
        <f t="shared" si="27"/>
        <v>0</v>
      </c>
    </row>
    <row r="27" spans="1:57">
      <c r="BA27" s="95"/>
      <c r="BB27" s="95"/>
      <c r="BC27" s="96">
        <f t="shared" si="27"/>
        <v>0</v>
      </c>
      <c r="BD27" s="10"/>
      <c r="BE27" s="10"/>
    </row>
    <row r="28" spans="1:57">
      <c r="BA28" s="95"/>
      <c r="BB28" s="95"/>
      <c r="BC28" s="96">
        <f t="shared" si="27"/>
        <v>0</v>
      </c>
      <c r="BD28" s="10"/>
      <c r="BE28" s="10"/>
    </row>
    <row r="29" spans="1:57">
      <c r="BA29" s="95"/>
      <c r="BB29" s="95"/>
      <c r="BC29" s="96">
        <f t="shared" si="27"/>
        <v>0</v>
      </c>
      <c r="BD29" s="10"/>
      <c r="BE29" s="10"/>
    </row>
    <row r="30" spans="1:57">
      <c r="BA30" s="95"/>
      <c r="BB30" s="95"/>
      <c r="BC30" s="96">
        <f t="shared" si="27"/>
        <v>0</v>
      </c>
    </row>
    <row r="31" spans="1:57">
      <c r="BA31" s="95"/>
      <c r="BB31" s="95"/>
      <c r="BC31" s="96">
        <f t="shared" si="27"/>
        <v>0</v>
      </c>
    </row>
    <row r="32" spans="1:57">
      <c r="X32" s="59"/>
      <c r="BA32" s="95"/>
      <c r="BB32" s="95"/>
      <c r="BC32" s="96">
        <f t="shared" si="27"/>
        <v>0</v>
      </c>
    </row>
    <row r="33" spans="24:55">
      <c r="X33" s="59"/>
      <c r="BA33" s="95"/>
      <c r="BB33" s="95"/>
      <c r="BC33" s="96">
        <f t="shared" si="27"/>
        <v>0</v>
      </c>
    </row>
    <row r="34" spans="24:55">
      <c r="X34" s="59"/>
      <c r="BA34" s="95"/>
      <c r="BB34" s="95"/>
      <c r="BC34" s="96">
        <f t="shared" si="27"/>
        <v>0</v>
      </c>
    </row>
    <row r="35" spans="24:55">
      <c r="X35" s="59"/>
      <c r="BA35" s="95"/>
      <c r="BB35" s="95"/>
      <c r="BC35" s="96">
        <f t="shared" si="27"/>
        <v>0</v>
      </c>
    </row>
    <row r="36" spans="24:55">
      <c r="X36" s="59"/>
      <c r="BA36" s="95"/>
      <c r="BB36" s="95"/>
      <c r="BC36" s="96">
        <f t="shared" si="27"/>
        <v>0</v>
      </c>
    </row>
    <row r="37" spans="24:55">
      <c r="X37" s="59"/>
      <c r="BA37" s="97"/>
      <c r="BB37" s="97"/>
      <c r="BC37" s="96">
        <f t="shared" si="27"/>
        <v>0</v>
      </c>
    </row>
    <row r="38" spans="24:55">
      <c r="BA38" s="95"/>
      <c r="BB38" s="95"/>
      <c r="BC38" s="96">
        <f t="shared" si="27"/>
        <v>0</v>
      </c>
    </row>
    <row r="39" spans="24:55">
      <c r="BA39" s="95"/>
      <c r="BB39" s="95"/>
      <c r="BC39" s="96">
        <f t="shared" si="27"/>
        <v>0</v>
      </c>
    </row>
    <row r="40" spans="24:55">
      <c r="BA40" s="95"/>
      <c r="BB40" s="95"/>
      <c r="BC40" s="96">
        <f t="shared" ref="BC40:BC47" si="28">+AZ40-BA40-BB40</f>
        <v>0</v>
      </c>
    </row>
    <row r="41" spans="24:55">
      <c r="BA41" s="95"/>
      <c r="BB41" s="95"/>
      <c r="BC41" s="96">
        <f t="shared" si="28"/>
        <v>0</v>
      </c>
    </row>
    <row r="42" spans="24:55">
      <c r="BA42" s="95"/>
      <c r="BB42" s="95"/>
      <c r="BC42" s="96">
        <f t="shared" si="28"/>
        <v>0</v>
      </c>
    </row>
    <row r="43" spans="24:55">
      <c r="BA43" s="95"/>
      <c r="BB43" s="95"/>
      <c r="BC43" s="96">
        <f t="shared" si="28"/>
        <v>0</v>
      </c>
    </row>
    <row r="44" spans="24:55">
      <c r="BA44" s="95"/>
      <c r="BB44" s="95"/>
      <c r="BC44" s="96">
        <f t="shared" si="28"/>
        <v>0</v>
      </c>
    </row>
    <row r="45" spans="24:55">
      <c r="BA45" s="95"/>
      <c r="BB45" s="95"/>
      <c r="BC45" s="96">
        <f t="shared" si="28"/>
        <v>0</v>
      </c>
    </row>
    <row r="46" spans="24:55">
      <c r="BA46" s="95"/>
      <c r="BB46" s="95"/>
      <c r="BC46" s="96">
        <f t="shared" si="28"/>
        <v>0</v>
      </c>
    </row>
    <row r="47" spans="24:55">
      <c r="BA47" s="95"/>
      <c r="BB47" s="95"/>
      <c r="BC47" s="96">
        <f t="shared" si="28"/>
        <v>0</v>
      </c>
    </row>
    <row r="48" spans="24:55">
      <c r="BA48" s="97"/>
      <c r="BB48" s="97"/>
      <c r="BC48" s="99"/>
    </row>
    <row r="49" spans="53:55">
      <c r="BA49" s="95"/>
      <c r="BB49" s="95"/>
      <c r="BC49" s="96">
        <f>+AZ49-BA49-BB49</f>
        <v>0</v>
      </c>
    </row>
    <row r="50" spans="53:55">
      <c r="BA50" s="95"/>
      <c r="BB50" s="95"/>
      <c r="BC50" s="96">
        <f>+AZ50-BA50-BB50</f>
        <v>0</v>
      </c>
    </row>
    <row r="51" spans="53:55">
      <c r="BA51" s="95"/>
      <c r="BB51" s="95"/>
      <c r="BC51" s="96">
        <f>+AZ51-BA51-BB51</f>
        <v>0</v>
      </c>
    </row>
    <row r="52" spans="53:55">
      <c r="BA52" s="97"/>
      <c r="BB52" s="97"/>
      <c r="BC52" s="99"/>
    </row>
    <row r="53" spans="53:55">
      <c r="BA53" s="95"/>
      <c r="BB53" s="95"/>
      <c r="BC53" s="96">
        <f t="shared" ref="BC53:BC70" si="29">+AZ53-BA53-BB53</f>
        <v>0</v>
      </c>
    </row>
    <row r="54" spans="53:55">
      <c r="BA54" s="95"/>
      <c r="BB54" s="95"/>
      <c r="BC54" s="96">
        <f t="shared" si="29"/>
        <v>0</v>
      </c>
    </row>
    <row r="55" spans="53:55">
      <c r="BA55" s="95"/>
      <c r="BB55" s="95"/>
      <c r="BC55" s="96">
        <f t="shared" si="29"/>
        <v>0</v>
      </c>
    </row>
    <row r="56" spans="53:55">
      <c r="BA56" s="95"/>
      <c r="BB56" s="95"/>
      <c r="BC56" s="96">
        <f t="shared" si="29"/>
        <v>0</v>
      </c>
    </row>
    <row r="57" spans="53:55">
      <c r="BA57" s="95"/>
      <c r="BB57" s="95"/>
      <c r="BC57" s="96">
        <f t="shared" si="29"/>
        <v>0</v>
      </c>
    </row>
    <row r="58" spans="53:55">
      <c r="BA58" s="95"/>
      <c r="BB58" s="95"/>
      <c r="BC58" s="96">
        <f t="shared" si="29"/>
        <v>0</v>
      </c>
    </row>
    <row r="59" spans="53:55">
      <c r="BA59" s="95"/>
      <c r="BB59" s="95"/>
      <c r="BC59" s="96">
        <f t="shared" si="29"/>
        <v>0</v>
      </c>
    </row>
    <row r="60" spans="53:55">
      <c r="BA60" s="95"/>
      <c r="BB60" s="95"/>
      <c r="BC60" s="96">
        <f t="shared" si="29"/>
        <v>0</v>
      </c>
    </row>
    <row r="61" spans="53:55">
      <c r="BA61" s="95"/>
      <c r="BB61" s="95"/>
      <c r="BC61" s="96">
        <f t="shared" si="29"/>
        <v>0</v>
      </c>
    </row>
    <row r="62" spans="53:55">
      <c r="BA62" s="95"/>
      <c r="BB62" s="95"/>
      <c r="BC62" s="96">
        <f t="shared" si="29"/>
        <v>0</v>
      </c>
    </row>
    <row r="63" spans="53:55">
      <c r="BA63" s="95"/>
      <c r="BB63" s="95"/>
      <c r="BC63" s="96">
        <f t="shared" si="29"/>
        <v>0</v>
      </c>
    </row>
    <row r="64" spans="53:55">
      <c r="BA64" s="95"/>
      <c r="BB64" s="95"/>
      <c r="BC64" s="96">
        <f t="shared" si="29"/>
        <v>0</v>
      </c>
    </row>
    <row r="65" spans="53:55">
      <c r="BA65" s="95"/>
      <c r="BB65" s="95"/>
      <c r="BC65" s="96">
        <f t="shared" si="29"/>
        <v>0</v>
      </c>
    </row>
    <row r="66" spans="53:55">
      <c r="BA66" s="95"/>
      <c r="BB66" s="95"/>
      <c r="BC66" s="96">
        <f t="shared" si="29"/>
        <v>0</v>
      </c>
    </row>
    <row r="67" spans="53:55">
      <c r="BA67" s="95"/>
      <c r="BB67" s="95"/>
      <c r="BC67" s="96">
        <f t="shared" si="29"/>
        <v>0</v>
      </c>
    </row>
    <row r="68" spans="53:55">
      <c r="BA68" s="95"/>
      <c r="BB68" s="95"/>
      <c r="BC68" s="96">
        <f t="shared" si="29"/>
        <v>0</v>
      </c>
    </row>
    <row r="69" spans="53:55">
      <c r="BA69" s="95"/>
      <c r="BB69" s="95"/>
      <c r="BC69" s="96">
        <f t="shared" si="29"/>
        <v>0</v>
      </c>
    </row>
    <row r="70" spans="53:55">
      <c r="BA70" s="95"/>
      <c r="BB70" s="95"/>
      <c r="BC70" s="96">
        <f t="shared" si="29"/>
        <v>0</v>
      </c>
    </row>
    <row r="71" spans="53:55">
      <c r="BA71" s="97"/>
      <c r="BB71" s="97"/>
      <c r="BC71" s="99"/>
    </row>
    <row r="72" spans="53:55">
      <c r="BA72" s="95"/>
      <c r="BB72" s="95"/>
      <c r="BC72" s="96">
        <f t="shared" ref="BC72:BC80" si="30">+AZ72-BA72-BB72</f>
        <v>0</v>
      </c>
    </row>
    <row r="73" spans="53:55">
      <c r="BA73" s="95"/>
      <c r="BB73" s="95"/>
      <c r="BC73" s="96">
        <f t="shared" si="30"/>
        <v>0</v>
      </c>
    </row>
    <row r="74" spans="53:55">
      <c r="BA74" s="95"/>
      <c r="BB74" s="95"/>
      <c r="BC74" s="96">
        <f t="shared" si="30"/>
        <v>0</v>
      </c>
    </row>
    <row r="75" spans="53:55">
      <c r="BA75" s="95"/>
      <c r="BB75" s="95"/>
      <c r="BC75" s="96">
        <f t="shared" si="30"/>
        <v>0</v>
      </c>
    </row>
    <row r="76" spans="53:55">
      <c r="BA76" s="95"/>
      <c r="BB76" s="95"/>
      <c r="BC76" s="96">
        <f t="shared" si="30"/>
        <v>0</v>
      </c>
    </row>
    <row r="77" spans="53:55">
      <c r="BA77" s="95"/>
      <c r="BB77" s="95"/>
      <c r="BC77" s="96">
        <f t="shared" si="30"/>
        <v>0</v>
      </c>
    </row>
    <row r="78" spans="53:55">
      <c r="BA78" s="95"/>
      <c r="BB78" s="95"/>
      <c r="BC78" s="96">
        <f t="shared" si="30"/>
        <v>0</v>
      </c>
    </row>
    <row r="79" spans="53:55">
      <c r="BA79" s="95"/>
      <c r="BB79" s="95"/>
      <c r="BC79" s="96">
        <f t="shared" si="30"/>
        <v>0</v>
      </c>
    </row>
    <row r="80" spans="53:55">
      <c r="BA80" s="95"/>
      <c r="BB80" s="95"/>
      <c r="BC80" s="96">
        <f t="shared" si="30"/>
        <v>0</v>
      </c>
    </row>
    <row r="81" spans="53:55">
      <c r="BA81" s="97"/>
      <c r="BB81" s="97"/>
      <c r="BC81" s="99"/>
    </row>
    <row r="82" spans="53:55">
      <c r="BA82" s="95"/>
      <c r="BB82" s="95"/>
      <c r="BC82" s="96">
        <f t="shared" ref="BC82:BC93" si="31">+AZ82-BA82-BB82</f>
        <v>0</v>
      </c>
    </row>
    <row r="83" spans="53:55">
      <c r="BA83" s="95"/>
      <c r="BB83" s="95"/>
      <c r="BC83" s="96">
        <f t="shared" si="31"/>
        <v>0</v>
      </c>
    </row>
    <row r="84" spans="53:55">
      <c r="BA84" s="95"/>
      <c r="BB84" s="95"/>
      <c r="BC84" s="96">
        <f t="shared" si="31"/>
        <v>0</v>
      </c>
    </row>
    <row r="85" spans="53:55">
      <c r="BA85" s="95"/>
      <c r="BB85" s="95"/>
      <c r="BC85" s="96">
        <f t="shared" si="31"/>
        <v>0</v>
      </c>
    </row>
    <row r="86" spans="53:55">
      <c r="BA86" s="95"/>
      <c r="BB86" s="95"/>
      <c r="BC86" s="96">
        <f t="shared" si="31"/>
        <v>0</v>
      </c>
    </row>
    <row r="87" spans="53:55">
      <c r="BA87" s="95"/>
      <c r="BB87" s="95"/>
      <c r="BC87" s="96">
        <f t="shared" si="31"/>
        <v>0</v>
      </c>
    </row>
    <row r="88" spans="53:55">
      <c r="BA88" s="95"/>
      <c r="BB88" s="95"/>
      <c r="BC88" s="96">
        <f t="shared" si="31"/>
        <v>0</v>
      </c>
    </row>
    <row r="89" spans="53:55">
      <c r="BA89" s="95"/>
      <c r="BB89" s="95"/>
      <c r="BC89" s="96">
        <f t="shared" si="31"/>
        <v>0</v>
      </c>
    </row>
    <row r="90" spans="53:55">
      <c r="BA90" s="95"/>
      <c r="BB90" s="95"/>
      <c r="BC90" s="96">
        <f t="shared" si="31"/>
        <v>0</v>
      </c>
    </row>
    <row r="91" spans="53:55">
      <c r="BA91" s="95"/>
      <c r="BB91" s="95"/>
      <c r="BC91" s="96">
        <f t="shared" si="31"/>
        <v>0</v>
      </c>
    </row>
    <row r="92" spans="53:55">
      <c r="BA92" s="95"/>
      <c r="BB92" s="95"/>
      <c r="BC92" s="96">
        <f t="shared" si="31"/>
        <v>0</v>
      </c>
    </row>
    <row r="93" spans="53:55">
      <c r="BA93" s="95"/>
      <c r="BB93" s="95"/>
      <c r="BC93" s="96">
        <f t="shared" si="31"/>
        <v>0</v>
      </c>
    </row>
    <row r="94" spans="53:55">
      <c r="BA94" s="95"/>
      <c r="BB94" s="95"/>
      <c r="BC94" s="95"/>
    </row>
    <row r="95" spans="53:55">
      <c r="BA95" s="95"/>
      <c r="BB95" s="95"/>
      <c r="BC95" s="95"/>
    </row>
    <row r="96" spans="53:55">
      <c r="BA96" s="95"/>
      <c r="BB96" s="95"/>
      <c r="BC96" s="95"/>
    </row>
    <row r="97" spans="53:55">
      <c r="BA97" s="95"/>
      <c r="BB97" s="95"/>
      <c r="BC97" s="95"/>
    </row>
    <row r="98" spans="53:55">
      <c r="BA98" s="95"/>
      <c r="BB98" s="95"/>
      <c r="BC98" s="95"/>
    </row>
    <row r="99" spans="53:55" ht="16.5" thickBot="1">
      <c r="BA99" s="100">
        <f t="shared" ref="BA99:BC99" si="32">SUM(BA10:BA98)</f>
        <v>5774</v>
      </c>
      <c r="BB99" s="100">
        <f t="shared" si="32"/>
        <v>15847.800000000001</v>
      </c>
      <c r="BC99" s="100">
        <f t="shared" si="32"/>
        <v>-27635.829000000005</v>
      </c>
    </row>
    <row r="100" spans="53:55" ht="16.5" thickTop="1">
      <c r="BA100" s="101"/>
      <c r="BB100" s="101"/>
      <c r="BC100" s="101"/>
    </row>
    <row r="101" spans="53:55">
      <c r="BA101" s="101"/>
      <c r="BB101" s="101"/>
      <c r="BC101" s="101"/>
    </row>
    <row r="102" spans="53:55">
      <c r="BA102" s="102" t="e">
        <f>+AT102+#REF!+AZ102</f>
        <v>#REF!</v>
      </c>
      <c r="BB102" s="102" t="e">
        <f>+AU102+AZ102+BA102</f>
        <v>#REF!</v>
      </c>
      <c r="BC102" s="102" t="e">
        <f>+AV102+BA102+BB102</f>
        <v>#REF!</v>
      </c>
    </row>
    <row r="103" spans="53:55">
      <c r="BA103" s="102" t="e">
        <f>+AT103+#REF!+AZ103</f>
        <v>#REF!</v>
      </c>
      <c r="BB103" s="102" t="e">
        <f>+AU103+AZ103+BA103</f>
        <v>#REF!</v>
      </c>
      <c r="BC103" s="102" t="e">
        <f>+AV103+BA103+BB103</f>
        <v>#REF!</v>
      </c>
    </row>
  </sheetData>
  <mergeCells count="29">
    <mergeCell ref="AY8:AY9"/>
    <mergeCell ref="AZ8:AZ9"/>
    <mergeCell ref="BA8:BB8"/>
    <mergeCell ref="BC8:BC9"/>
    <mergeCell ref="AX8:AX9"/>
    <mergeCell ref="AU8:AU9"/>
    <mergeCell ref="AV8:AV9"/>
    <mergeCell ref="AW8:AW9"/>
    <mergeCell ref="AJ8:AJ9"/>
    <mergeCell ref="AK8:AK9"/>
    <mergeCell ref="AQ8:AQ9"/>
    <mergeCell ref="AR8:AR9"/>
    <mergeCell ref="AS8:AS9"/>
    <mergeCell ref="B4:G4"/>
    <mergeCell ref="I17:K17"/>
    <mergeCell ref="B1:C1"/>
    <mergeCell ref="W18:X18"/>
    <mergeCell ref="AT8:AT9"/>
    <mergeCell ref="AB8:AB9"/>
    <mergeCell ref="AE8:AE9"/>
    <mergeCell ref="AG8:AG9"/>
    <mergeCell ref="AH8:AH9"/>
    <mergeCell ref="AI8:AI9"/>
    <mergeCell ref="W8:W9"/>
    <mergeCell ref="O7:T7"/>
    <mergeCell ref="X8:X9"/>
    <mergeCell ref="Y8:Y9"/>
    <mergeCell ref="Z8:Z9"/>
    <mergeCell ref="AA8:AA9"/>
  </mergeCells>
  <pageMargins left="0.70866141732283472" right="0.70866141732283472" top="0.74803149606299213" bottom="0.74803149606299213" header="0.31496062992125984" footer="0.31496062992125984"/>
  <pageSetup scale="5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19"/>
  <sheetViews>
    <sheetView workbookViewId="0">
      <pane xSplit="2" ySplit="9" topLeftCell="I10" activePane="bottomRight" state="frozen"/>
      <selection pane="topRight" activeCell="C1" sqref="C1"/>
      <selection pane="bottomLeft" activeCell="A10" sqref="A10"/>
      <selection pane="bottomRight" activeCell="K10" sqref="K10:M14"/>
    </sheetView>
  </sheetViews>
  <sheetFormatPr baseColWidth="10" defaultRowHeight="15"/>
  <cols>
    <col min="1" max="1" width="6.7109375" customWidth="1"/>
    <col min="2" max="2" width="24.42578125" customWidth="1"/>
    <col min="3" max="9" width="13" bestFit="1" customWidth="1"/>
    <col min="12" max="12" width="24.42578125" bestFit="1" customWidth="1"/>
  </cols>
  <sheetData>
    <row r="2" spans="1:18">
      <c r="A2" s="24" t="s">
        <v>0</v>
      </c>
      <c r="B2" s="135" t="s">
        <v>7</v>
      </c>
      <c r="C2" s="136"/>
      <c r="D2" s="136"/>
      <c r="E2" s="21"/>
      <c r="F2" s="21"/>
      <c r="G2" s="21"/>
      <c r="H2" s="21"/>
      <c r="I2" s="21"/>
    </row>
    <row r="3" spans="1:18" ht="18">
      <c r="A3" s="25" t="s">
        <v>1</v>
      </c>
      <c r="B3" s="40" t="s">
        <v>42</v>
      </c>
      <c r="C3" s="41"/>
      <c r="D3" s="41"/>
      <c r="E3" s="21"/>
      <c r="F3" s="21"/>
      <c r="G3" s="21"/>
      <c r="H3" s="21"/>
      <c r="I3" s="21"/>
    </row>
    <row r="4" spans="1:18" ht="15.75">
      <c r="A4" s="21"/>
      <c r="B4" s="42" t="s">
        <v>2</v>
      </c>
      <c r="C4" s="26"/>
      <c r="D4" s="26"/>
      <c r="E4" s="21"/>
      <c r="F4" s="21"/>
      <c r="G4" s="21"/>
      <c r="H4" s="21"/>
      <c r="I4" s="21"/>
    </row>
    <row r="5" spans="1:18">
      <c r="A5" s="21"/>
      <c r="B5" s="43" t="str">
        <f>+FACTURACIÓN!B4</f>
        <v>Periodo 9 al 9 Semanal del 24/02/2016 al 01/03/2016</v>
      </c>
      <c r="C5" s="26"/>
      <c r="D5" s="26"/>
      <c r="E5" s="21"/>
      <c r="F5" s="21"/>
      <c r="G5" s="21"/>
      <c r="H5" s="21"/>
      <c r="I5" s="21"/>
    </row>
    <row r="6" spans="1:18">
      <c r="A6" s="21"/>
      <c r="B6" s="27" t="s">
        <v>43</v>
      </c>
      <c r="C6" s="21"/>
      <c r="D6" s="21"/>
      <c r="E6" s="21"/>
      <c r="F6" s="21"/>
      <c r="G6" s="21"/>
      <c r="H6" s="21"/>
      <c r="I6" s="21"/>
    </row>
    <row r="7" spans="1:18">
      <c r="A7" s="21"/>
      <c r="B7" s="27" t="s">
        <v>44</v>
      </c>
      <c r="C7" s="21"/>
      <c r="D7" s="21"/>
      <c r="E7" s="21"/>
      <c r="F7" s="21"/>
      <c r="G7" s="21"/>
      <c r="H7" s="21"/>
      <c r="I7" s="21"/>
    </row>
    <row r="8" spans="1:18" ht="35.25" thickBot="1">
      <c r="A8" s="29" t="s">
        <v>3</v>
      </c>
      <c r="B8" s="30" t="s">
        <v>4</v>
      </c>
      <c r="C8" s="30" t="s">
        <v>45</v>
      </c>
      <c r="D8" s="30" t="s">
        <v>46</v>
      </c>
      <c r="E8" s="31" t="s">
        <v>5</v>
      </c>
      <c r="F8" s="30" t="s">
        <v>47</v>
      </c>
      <c r="G8" s="30" t="s">
        <v>48</v>
      </c>
      <c r="H8" s="31" t="s">
        <v>49</v>
      </c>
      <c r="I8" s="32" t="s">
        <v>50</v>
      </c>
    </row>
    <row r="9" spans="1:18" ht="15.75" thickTop="1">
      <c r="A9" s="33" t="s">
        <v>51</v>
      </c>
      <c r="B9" s="21"/>
      <c r="C9" s="21"/>
      <c r="D9" s="21"/>
      <c r="E9" s="21"/>
      <c r="F9" s="21"/>
      <c r="G9" s="21"/>
      <c r="H9" s="21"/>
      <c r="I9" s="21"/>
    </row>
    <row r="10" spans="1:18">
      <c r="A10" s="23" t="s">
        <v>24</v>
      </c>
      <c r="B10" s="22" t="s">
        <v>21</v>
      </c>
      <c r="C10" s="34">
        <v>438.24</v>
      </c>
      <c r="D10" s="34">
        <v>73.040000000000006</v>
      </c>
      <c r="E10" s="34">
        <v>511.28</v>
      </c>
      <c r="F10" s="35">
        <v>-66.069999999999993</v>
      </c>
      <c r="G10" s="35">
        <v>-0.05</v>
      </c>
      <c r="H10" s="34">
        <v>-66.12</v>
      </c>
      <c r="I10" s="34">
        <v>577.4</v>
      </c>
      <c r="K10" s="109" t="s">
        <v>24</v>
      </c>
      <c r="L10" s="110" t="s">
        <v>21</v>
      </c>
      <c r="M10" s="3" t="s">
        <v>107</v>
      </c>
      <c r="N10">
        <f>+P10-M10</f>
        <v>0</v>
      </c>
      <c r="O10" s="118" t="s">
        <v>116</v>
      </c>
      <c r="P10" s="117" t="s">
        <v>107</v>
      </c>
      <c r="Q10" s="117">
        <v>577.4</v>
      </c>
      <c r="R10" s="117" t="s">
        <v>21</v>
      </c>
    </row>
    <row r="11" spans="1:18">
      <c r="A11" s="23" t="s">
        <v>25</v>
      </c>
      <c r="B11" s="22" t="s">
        <v>22</v>
      </c>
      <c r="C11" s="34">
        <v>438.24</v>
      </c>
      <c r="D11" s="34">
        <v>73.040000000000006</v>
      </c>
      <c r="E11" s="34">
        <v>511.28</v>
      </c>
      <c r="F11" s="35">
        <v>-66.069999999999993</v>
      </c>
      <c r="G11" s="35">
        <v>-0.05</v>
      </c>
      <c r="H11" s="34">
        <v>-66.12</v>
      </c>
      <c r="I11" s="34">
        <v>577.4</v>
      </c>
      <c r="K11" s="109" t="s">
        <v>25</v>
      </c>
      <c r="L11" s="110" t="s">
        <v>22</v>
      </c>
      <c r="M11" s="3" t="s">
        <v>108</v>
      </c>
      <c r="N11" s="21">
        <f>+P11-M11</f>
        <v>0</v>
      </c>
      <c r="O11" s="118" t="s">
        <v>117</v>
      </c>
      <c r="P11" s="117" t="s">
        <v>108</v>
      </c>
      <c r="Q11" s="117">
        <v>577.4</v>
      </c>
      <c r="R11" s="117" t="s">
        <v>22</v>
      </c>
    </row>
    <row r="12" spans="1:18">
      <c r="A12" s="23" t="s">
        <v>26</v>
      </c>
      <c r="B12" s="22" t="s">
        <v>23</v>
      </c>
      <c r="C12" s="34">
        <v>438.24</v>
      </c>
      <c r="D12" s="34">
        <v>73.040000000000006</v>
      </c>
      <c r="E12" s="34">
        <v>511.28</v>
      </c>
      <c r="F12" s="35">
        <v>-66.069999999999993</v>
      </c>
      <c r="G12" s="35">
        <v>-0.05</v>
      </c>
      <c r="H12" s="34">
        <v>-66.12</v>
      </c>
      <c r="I12" s="34">
        <v>577.4</v>
      </c>
      <c r="K12" s="109" t="s">
        <v>26</v>
      </c>
      <c r="L12" s="110" t="s">
        <v>23</v>
      </c>
      <c r="M12" s="3" t="s">
        <v>109</v>
      </c>
      <c r="N12" s="21">
        <f>+P12-M12</f>
        <v>0</v>
      </c>
      <c r="O12" s="118" t="s">
        <v>118</v>
      </c>
      <c r="P12" s="117" t="s">
        <v>109</v>
      </c>
      <c r="Q12" s="117">
        <v>577.20000000000005</v>
      </c>
      <c r="R12" s="117" t="s">
        <v>23</v>
      </c>
    </row>
    <row r="13" spans="1:18">
      <c r="A13" s="23" t="s">
        <v>27</v>
      </c>
      <c r="B13" s="22" t="s">
        <v>18</v>
      </c>
      <c r="C13" s="34">
        <v>438.24</v>
      </c>
      <c r="D13" s="34">
        <v>73.040000000000006</v>
      </c>
      <c r="E13" s="34">
        <v>511.28</v>
      </c>
      <c r="F13" s="35">
        <v>-66.069999999999993</v>
      </c>
      <c r="G13" s="35">
        <v>-0.05</v>
      </c>
      <c r="H13" s="34">
        <v>-66.12</v>
      </c>
      <c r="I13" s="34">
        <v>577.4</v>
      </c>
      <c r="K13" s="109" t="s">
        <v>27</v>
      </c>
      <c r="L13" s="110" t="s">
        <v>18</v>
      </c>
      <c r="M13" s="3" t="s">
        <v>110</v>
      </c>
      <c r="N13" s="21">
        <f>+P13-M13</f>
        <v>0</v>
      </c>
      <c r="O13" s="118" t="s">
        <v>119</v>
      </c>
      <c r="P13" s="117" t="s">
        <v>110</v>
      </c>
      <c r="Q13" s="117">
        <v>577.20000000000005</v>
      </c>
      <c r="R13" s="117" t="s">
        <v>18</v>
      </c>
    </row>
    <row r="14" spans="1:18">
      <c r="A14" s="23" t="s">
        <v>28</v>
      </c>
      <c r="B14" s="22" t="s">
        <v>19</v>
      </c>
      <c r="C14" s="34">
        <v>438.24</v>
      </c>
      <c r="D14" s="34">
        <v>73.040000000000006</v>
      </c>
      <c r="E14" s="34">
        <v>511.28</v>
      </c>
      <c r="F14" s="35">
        <v>-66.069999999999993</v>
      </c>
      <c r="G14" s="35">
        <v>-0.05</v>
      </c>
      <c r="H14" s="34">
        <v>-66.12</v>
      </c>
      <c r="I14" s="34">
        <v>577.4</v>
      </c>
      <c r="K14" s="109" t="s">
        <v>28</v>
      </c>
      <c r="L14" s="110" t="s">
        <v>19</v>
      </c>
      <c r="M14" s="3" t="s">
        <v>111</v>
      </c>
      <c r="N14" s="21">
        <f>+P14-M14</f>
        <v>0</v>
      </c>
      <c r="O14" s="118" t="s">
        <v>120</v>
      </c>
      <c r="P14" s="117" t="s">
        <v>111</v>
      </c>
      <c r="Q14" s="117">
        <v>577.4</v>
      </c>
      <c r="R14" s="117" t="s">
        <v>19</v>
      </c>
    </row>
    <row r="15" spans="1:18">
      <c r="A15" s="36"/>
      <c r="B15" s="28"/>
      <c r="C15" s="28" t="s">
        <v>52</v>
      </c>
      <c r="D15" s="28" t="s">
        <v>52</v>
      </c>
      <c r="E15" s="28" t="s">
        <v>52</v>
      </c>
      <c r="F15" s="28" t="s">
        <v>52</v>
      </c>
      <c r="G15" s="28" t="s">
        <v>52</v>
      </c>
      <c r="H15" s="28" t="s">
        <v>52</v>
      </c>
      <c r="I15" s="28" t="s">
        <v>52</v>
      </c>
    </row>
    <row r="16" spans="1:18">
      <c r="A16" s="39" t="s">
        <v>6</v>
      </c>
      <c r="B16" s="22" t="s">
        <v>7</v>
      </c>
      <c r="C16" s="38">
        <f>SUM(C10:C15)</f>
        <v>2191.1999999999998</v>
      </c>
      <c r="D16" s="38">
        <f t="shared" ref="D16:I16" si="0">SUM(D10:D15)</f>
        <v>365.20000000000005</v>
      </c>
      <c r="E16" s="38">
        <f t="shared" si="0"/>
        <v>2556.3999999999996</v>
      </c>
      <c r="F16" s="38">
        <f t="shared" si="0"/>
        <v>-330.34999999999997</v>
      </c>
      <c r="G16" s="38">
        <f t="shared" si="0"/>
        <v>-0.25</v>
      </c>
      <c r="H16" s="38">
        <f t="shared" si="0"/>
        <v>-330.6</v>
      </c>
      <c r="I16" s="38">
        <f t="shared" si="0"/>
        <v>2887</v>
      </c>
    </row>
    <row r="18" spans="1:9">
      <c r="A18" s="21"/>
      <c r="B18" s="21"/>
      <c r="C18" s="22" t="s">
        <v>7</v>
      </c>
      <c r="D18" s="22" t="s">
        <v>7</v>
      </c>
      <c r="E18" s="22" t="s">
        <v>7</v>
      </c>
      <c r="F18" s="22" t="s">
        <v>7</v>
      </c>
      <c r="G18" s="22" t="s">
        <v>7</v>
      </c>
      <c r="H18" s="22" t="s">
        <v>7</v>
      </c>
      <c r="I18" s="22" t="s">
        <v>7</v>
      </c>
    </row>
    <row r="19" spans="1:9">
      <c r="A19" s="23" t="s">
        <v>7</v>
      </c>
      <c r="B19" s="22" t="s">
        <v>7</v>
      </c>
      <c r="C19" s="37"/>
      <c r="D19" s="37"/>
      <c r="E19" s="37"/>
      <c r="F19" s="37"/>
      <c r="G19" s="37"/>
      <c r="H19" s="37"/>
      <c r="I19" s="37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W19"/>
  <sheetViews>
    <sheetView workbookViewId="0">
      <selection activeCell="A26" sqref="A26"/>
    </sheetView>
  </sheetViews>
  <sheetFormatPr baseColWidth="10" defaultRowHeight="15"/>
  <cols>
    <col min="1" max="1" width="6.7109375" style="21" customWidth="1"/>
    <col min="2" max="2" width="24.42578125" style="21" customWidth="1"/>
    <col min="3" max="3" width="13" style="21" bestFit="1" customWidth="1"/>
    <col min="4" max="4" width="8.5703125" style="21" customWidth="1"/>
    <col min="5" max="5" width="13" style="21" bestFit="1" customWidth="1"/>
    <col min="6" max="6" width="13" style="21" customWidth="1"/>
    <col min="7" max="7" width="10.28515625" style="21" customWidth="1"/>
    <col min="8" max="8" width="10" style="21" customWidth="1"/>
    <col min="9" max="9" width="10.28515625" style="21" customWidth="1"/>
    <col min="10" max="10" width="10.140625" style="21" customWidth="1"/>
    <col min="11" max="11" width="9.28515625" style="21" customWidth="1"/>
    <col min="12" max="12" width="11.42578125" style="21"/>
    <col min="13" max="13" width="13.42578125" style="21" customWidth="1"/>
    <col min="14" max="16384" width="11.42578125" style="21"/>
  </cols>
  <sheetData>
    <row r="2" spans="1:23">
      <c r="A2" s="24" t="s">
        <v>0</v>
      </c>
      <c r="B2" s="135" t="s">
        <v>7</v>
      </c>
      <c r="C2" s="136"/>
      <c r="D2" s="136"/>
    </row>
    <row r="3" spans="1:23" ht="18">
      <c r="A3" s="25" t="s">
        <v>1</v>
      </c>
      <c r="B3" s="40" t="s">
        <v>55</v>
      </c>
      <c r="C3" s="41"/>
      <c r="D3" s="41"/>
    </row>
    <row r="4" spans="1:23" ht="15.75">
      <c r="B4" s="42" t="s">
        <v>2</v>
      </c>
      <c r="C4" s="26"/>
      <c r="D4" s="26"/>
    </row>
    <row r="5" spans="1:23">
      <c r="B5" s="123" t="str">
        <f>+FACTURACIÓN!B4</f>
        <v>Periodo 9 al 9 Semanal del 24/02/2016 al 01/03/2016</v>
      </c>
      <c r="C5" s="124"/>
      <c r="D5" s="124"/>
      <c r="E5" s="124"/>
      <c r="F5" s="124"/>
    </row>
    <row r="6" spans="1:23">
      <c r="B6" s="27"/>
    </row>
    <row r="7" spans="1:23">
      <c r="B7" s="27"/>
    </row>
    <row r="8" spans="1:23" ht="34.5" thickBot="1">
      <c r="A8" s="29" t="s">
        <v>3</v>
      </c>
      <c r="B8" s="30" t="s">
        <v>4</v>
      </c>
      <c r="C8" s="44" t="s">
        <v>53</v>
      </c>
      <c r="D8" s="44" t="s">
        <v>54</v>
      </c>
      <c r="E8" s="45" t="s">
        <v>5</v>
      </c>
      <c r="F8" s="7" t="s">
        <v>20</v>
      </c>
      <c r="G8" s="7" t="s">
        <v>85</v>
      </c>
      <c r="H8" s="7" t="s">
        <v>86</v>
      </c>
      <c r="I8" s="7" t="s">
        <v>72</v>
      </c>
      <c r="J8" s="7" t="s">
        <v>75</v>
      </c>
      <c r="K8" s="7" t="s">
        <v>17</v>
      </c>
      <c r="L8" s="44" t="s">
        <v>48</v>
      </c>
      <c r="M8" s="45" t="s">
        <v>49</v>
      </c>
      <c r="N8" s="46" t="s">
        <v>50</v>
      </c>
    </row>
    <row r="9" spans="1:23" ht="15.75" thickTop="1">
      <c r="A9" s="33" t="s">
        <v>51</v>
      </c>
    </row>
    <row r="10" spans="1:23">
      <c r="A10" s="23" t="s">
        <v>24</v>
      </c>
      <c r="B10" s="22" t="s">
        <v>21</v>
      </c>
      <c r="C10" s="34">
        <f>+FACTURACIÓN!F10-'C&amp;A'!I10</f>
        <v>13071.37</v>
      </c>
      <c r="D10" s="34">
        <v>0</v>
      </c>
      <c r="E10" s="34">
        <f>SUM(C10:D10)</f>
        <v>13071.37</v>
      </c>
      <c r="F10" s="34">
        <f>+FACTURACIÓN!H10</f>
        <v>0</v>
      </c>
      <c r="G10" s="34">
        <f>+FACTURACIÓN!I10</f>
        <v>0</v>
      </c>
      <c r="H10" s="34">
        <f>+FACTURACIÓN!J10</f>
        <v>0</v>
      </c>
      <c r="I10" s="34">
        <f>+FACTURACIÓN!K10</f>
        <v>0</v>
      </c>
      <c r="J10" s="34">
        <f>+FACTURACIÓN!L10</f>
        <v>1360.3640000000003</v>
      </c>
      <c r="K10" s="34">
        <f>+FACTURACIÓN!G10</f>
        <v>45.13</v>
      </c>
      <c r="L10" s="120">
        <v>-0.12</v>
      </c>
      <c r="M10" s="47">
        <f>SUM(F10:L10)</f>
        <v>1405.3740000000005</v>
      </c>
      <c r="N10" s="47">
        <f>+E10-M10</f>
        <v>11665.996000000001</v>
      </c>
      <c r="P10" s="122" t="s">
        <v>116</v>
      </c>
      <c r="Q10" s="121" t="s">
        <v>107</v>
      </c>
      <c r="R10" s="121">
        <v>11666</v>
      </c>
      <c r="S10" s="121" t="s">
        <v>21</v>
      </c>
      <c r="T10" s="21">
        <f>+W10-Q10</f>
        <v>0</v>
      </c>
      <c r="U10" s="109" t="s">
        <v>24</v>
      </c>
      <c r="V10" s="110" t="s">
        <v>21</v>
      </c>
      <c r="W10" s="3" t="s">
        <v>107</v>
      </c>
    </row>
    <row r="11" spans="1:23">
      <c r="A11" s="23" t="s">
        <v>25</v>
      </c>
      <c r="B11" s="22" t="s">
        <v>22</v>
      </c>
      <c r="C11" s="34">
        <f>+FACTURACIÓN!F11-'C&amp;A'!I11</f>
        <v>2789.85</v>
      </c>
      <c r="D11" s="34">
        <v>0</v>
      </c>
      <c r="E11" s="34">
        <f t="shared" ref="E11:E14" si="0">SUM(C11:D11)</f>
        <v>2789.85</v>
      </c>
      <c r="F11" s="34">
        <f>+FACTURACIÓN!H11</f>
        <v>0</v>
      </c>
      <c r="G11" s="34">
        <f>+FACTURACIÓN!I11</f>
        <v>0</v>
      </c>
      <c r="H11" s="34">
        <f>+FACTURACIÓN!J11</f>
        <v>0</v>
      </c>
      <c r="I11" s="34">
        <f>+FACTURACIÓN!K11</f>
        <v>0</v>
      </c>
      <c r="J11" s="34">
        <f>+FACTURACIÓN!L11</f>
        <v>0</v>
      </c>
      <c r="K11" s="34">
        <f>+FACTURACIÓN!G11</f>
        <v>0</v>
      </c>
      <c r="L11" s="119">
        <v>0.05</v>
      </c>
      <c r="M11" s="47">
        <f t="shared" ref="M11:M14" si="1">SUM(F11:L11)</f>
        <v>0.05</v>
      </c>
      <c r="N11" s="47">
        <f t="shared" ref="N11:N14" si="2">+E11-M11</f>
        <v>2789.7999999999997</v>
      </c>
      <c r="P11" s="122" t="s">
        <v>117</v>
      </c>
      <c r="Q11" s="121" t="s">
        <v>108</v>
      </c>
      <c r="R11" s="121">
        <v>2789.8</v>
      </c>
      <c r="S11" s="121" t="s">
        <v>22</v>
      </c>
      <c r="T11" s="116">
        <f>+W11-Q11</f>
        <v>0</v>
      </c>
      <c r="U11" s="109" t="s">
        <v>25</v>
      </c>
      <c r="V11" s="110" t="s">
        <v>22</v>
      </c>
      <c r="W11" s="3" t="s">
        <v>108</v>
      </c>
    </row>
    <row r="12" spans="1:23">
      <c r="A12" s="23" t="s">
        <v>26</v>
      </c>
      <c r="B12" s="22" t="s">
        <v>23</v>
      </c>
      <c r="C12" s="34">
        <f>+FACTURACIÓN!F12-'C&amp;A'!I12</f>
        <v>4353.2800000000007</v>
      </c>
      <c r="D12" s="34">
        <v>0</v>
      </c>
      <c r="E12" s="34">
        <f t="shared" si="0"/>
        <v>4353.2800000000007</v>
      </c>
      <c r="F12" s="34">
        <f>+FACTURACIÓN!H12</f>
        <v>58.91</v>
      </c>
      <c r="G12" s="34">
        <f>+FACTURACIÓN!I12</f>
        <v>0</v>
      </c>
      <c r="H12" s="34">
        <f>+FACTURACIÓN!J12</f>
        <v>0</v>
      </c>
      <c r="I12" s="34">
        <f>+FACTURACIÓN!K12</f>
        <v>0</v>
      </c>
      <c r="J12" s="34">
        <f>+FACTURACIÓN!L12</f>
        <v>488.55500000000006</v>
      </c>
      <c r="K12" s="34">
        <f>+FACTURACIÓN!G12</f>
        <v>45.13</v>
      </c>
      <c r="L12" s="120">
        <v>-0.12</v>
      </c>
      <c r="M12" s="47">
        <f t="shared" si="1"/>
        <v>592.47500000000002</v>
      </c>
      <c r="N12" s="47">
        <f t="shared" si="2"/>
        <v>3760.8050000000007</v>
      </c>
      <c r="P12" s="122" t="s">
        <v>118</v>
      </c>
      <c r="Q12" s="121" t="s">
        <v>109</v>
      </c>
      <c r="R12" s="121">
        <v>3760.8</v>
      </c>
      <c r="S12" s="121" t="s">
        <v>23</v>
      </c>
      <c r="T12" s="116">
        <f>+W12-Q12</f>
        <v>0</v>
      </c>
      <c r="U12" s="109" t="s">
        <v>26</v>
      </c>
      <c r="V12" s="110" t="s">
        <v>23</v>
      </c>
      <c r="W12" s="3" t="s">
        <v>109</v>
      </c>
    </row>
    <row r="13" spans="1:23">
      <c r="A13" s="23" t="s">
        <v>27</v>
      </c>
      <c r="B13" s="22" t="s">
        <v>18</v>
      </c>
      <c r="C13" s="34">
        <f>+FACTURACIÓN!F13-'C&amp;A'!I13</f>
        <v>4016.48</v>
      </c>
      <c r="D13" s="34">
        <v>0</v>
      </c>
      <c r="E13" s="34">
        <f t="shared" si="0"/>
        <v>4016.48</v>
      </c>
      <c r="F13" s="34">
        <f>+FACTURACIÓN!H13</f>
        <v>341.33</v>
      </c>
      <c r="G13" s="34">
        <f>+FACTURACIÓN!I13</f>
        <v>222.88875000000002</v>
      </c>
      <c r="H13" s="34">
        <f>+FACTURACIÓN!J13</f>
        <v>4.5487500000000001</v>
      </c>
      <c r="I13" s="34">
        <f>+FACTURACIÓN!K13</f>
        <v>296.2</v>
      </c>
      <c r="J13" s="34">
        <f>+FACTURACIÓN!L13</f>
        <v>454.875</v>
      </c>
      <c r="K13" s="34">
        <f>+FACTURACIÓN!G13</f>
        <v>45.13</v>
      </c>
      <c r="L13" s="120">
        <v>-0.1</v>
      </c>
      <c r="M13" s="47">
        <f t="shared" si="1"/>
        <v>1364.8725000000002</v>
      </c>
      <c r="N13" s="47">
        <f t="shared" si="2"/>
        <v>2651.6075000000001</v>
      </c>
      <c r="P13" s="122" t="s">
        <v>119</v>
      </c>
      <c r="Q13" s="121" t="s">
        <v>110</v>
      </c>
      <c r="R13" s="121">
        <v>2651.6</v>
      </c>
      <c r="S13" s="121" t="s">
        <v>18</v>
      </c>
      <c r="T13" s="116">
        <f>+W13-Q13</f>
        <v>0</v>
      </c>
      <c r="U13" s="109" t="s">
        <v>27</v>
      </c>
      <c r="V13" s="110" t="s">
        <v>18</v>
      </c>
      <c r="W13" s="3" t="s">
        <v>110</v>
      </c>
    </row>
    <row r="14" spans="1:23">
      <c r="A14" s="23" t="s">
        <v>28</v>
      </c>
      <c r="B14" s="22" t="s">
        <v>19</v>
      </c>
      <c r="C14" s="34">
        <f>+FACTURACIÓN!F14-'C&amp;A'!I14</f>
        <v>950.27999999999986</v>
      </c>
      <c r="D14" s="34">
        <v>0</v>
      </c>
      <c r="E14" s="34">
        <f t="shared" si="0"/>
        <v>950.27999999999986</v>
      </c>
      <c r="F14" s="34">
        <f>+FACTURACIÓN!H14</f>
        <v>0</v>
      </c>
      <c r="G14" s="34">
        <f>+FACTURACIÓN!I14</f>
        <v>74.856319999999997</v>
      </c>
      <c r="H14" s="34">
        <f>+FACTURACIÓN!J14</f>
        <v>1.5276799999999999</v>
      </c>
      <c r="I14" s="34">
        <f>+FACTURACIÓN!K14</f>
        <v>0</v>
      </c>
      <c r="J14" s="34">
        <f>+FACTURACIÓN!L14</f>
        <v>0</v>
      </c>
      <c r="K14" s="34">
        <f>+FACTURACIÓN!G14</f>
        <v>0</v>
      </c>
      <c r="L14" s="120">
        <v>-0.11</v>
      </c>
      <c r="M14" s="47">
        <f t="shared" si="1"/>
        <v>76.274000000000001</v>
      </c>
      <c r="N14" s="47">
        <f t="shared" si="2"/>
        <v>874.00599999999986</v>
      </c>
      <c r="P14" s="122" t="s">
        <v>120</v>
      </c>
      <c r="Q14" s="121" t="s">
        <v>111</v>
      </c>
      <c r="R14" s="121">
        <v>874</v>
      </c>
      <c r="S14" s="121" t="s">
        <v>19</v>
      </c>
      <c r="T14" s="116">
        <f>+W14-Q14</f>
        <v>0</v>
      </c>
      <c r="U14" s="109" t="s">
        <v>28</v>
      </c>
      <c r="V14" s="110" t="s">
        <v>19</v>
      </c>
      <c r="W14" s="3" t="s">
        <v>111</v>
      </c>
    </row>
    <row r="15" spans="1:23">
      <c r="A15" s="36"/>
      <c r="B15" s="28"/>
      <c r="C15" s="28" t="s">
        <v>52</v>
      </c>
      <c r="D15" s="28" t="s">
        <v>52</v>
      </c>
      <c r="E15" s="28" t="s">
        <v>52</v>
      </c>
      <c r="F15" s="28" t="s">
        <v>52</v>
      </c>
      <c r="G15" s="28" t="s">
        <v>52</v>
      </c>
      <c r="H15" s="28" t="s">
        <v>52</v>
      </c>
      <c r="I15" s="28" t="s">
        <v>52</v>
      </c>
      <c r="J15" s="28" t="s">
        <v>52</v>
      </c>
      <c r="K15" s="28" t="s">
        <v>52</v>
      </c>
      <c r="L15" s="28" t="s">
        <v>52</v>
      </c>
      <c r="M15" s="28" t="s">
        <v>52</v>
      </c>
      <c r="N15" s="28" t="s">
        <v>52</v>
      </c>
      <c r="O15" s="28"/>
    </row>
    <row r="16" spans="1:23">
      <c r="A16" s="39" t="s">
        <v>6</v>
      </c>
      <c r="B16" s="22" t="s">
        <v>7</v>
      </c>
      <c r="C16" s="38">
        <f>SUM(C10:C15)</f>
        <v>25181.26</v>
      </c>
      <c r="D16" s="38">
        <f t="shared" ref="D16:M16" si="3">SUM(D10:D15)</f>
        <v>0</v>
      </c>
      <c r="E16" s="38">
        <f>SUM(E10:E15)</f>
        <v>25181.26</v>
      </c>
      <c r="F16" s="38">
        <f t="shared" si="3"/>
        <v>400.24</v>
      </c>
      <c r="G16" s="38">
        <f t="shared" si="3"/>
        <v>297.74507</v>
      </c>
      <c r="H16" s="38">
        <f t="shared" si="3"/>
        <v>6.0764300000000002</v>
      </c>
      <c r="I16" s="38">
        <f t="shared" si="3"/>
        <v>296.2</v>
      </c>
      <c r="J16" s="38">
        <f t="shared" si="3"/>
        <v>2303.7940000000003</v>
      </c>
      <c r="K16" s="38">
        <f t="shared" ref="K16:L16" si="4">SUM(K10:K15)</f>
        <v>135.39000000000001</v>
      </c>
      <c r="L16" s="38">
        <f t="shared" si="4"/>
        <v>-0.4</v>
      </c>
      <c r="M16" s="38">
        <f t="shared" si="3"/>
        <v>3439.0455000000006</v>
      </c>
      <c r="N16" s="38">
        <f>SUM(N10:N15)</f>
        <v>21742.214500000002</v>
      </c>
      <c r="O16" s="38"/>
    </row>
    <row r="17" spans="1:14">
      <c r="N17" s="21">
        <v>21742.2</v>
      </c>
    </row>
    <row r="18" spans="1:14">
      <c r="C18" s="22" t="s">
        <v>7</v>
      </c>
      <c r="D18" s="22" t="s">
        <v>7</v>
      </c>
      <c r="E18" s="22" t="s">
        <v>7</v>
      </c>
      <c r="F18" s="22"/>
      <c r="G18" s="22"/>
      <c r="H18" s="22"/>
      <c r="I18" s="22"/>
      <c r="J18" s="22"/>
      <c r="K18" s="22"/>
      <c r="N18" s="47">
        <f>+N16-N17</f>
        <v>1.4500000001135049E-2</v>
      </c>
    </row>
    <row r="19" spans="1:14">
      <c r="A19" s="23" t="s">
        <v>7</v>
      </c>
      <c r="B19" s="22" t="s">
        <v>7</v>
      </c>
      <c r="C19" s="37"/>
      <c r="D19" s="37"/>
      <c r="E19" s="37"/>
      <c r="F19" s="37"/>
      <c r="G19" s="37"/>
      <c r="H19" s="37"/>
      <c r="I19" s="37"/>
      <c r="J19" s="37"/>
      <c r="K19" s="37"/>
    </row>
  </sheetData>
  <mergeCells count="2">
    <mergeCell ref="B2:D2"/>
    <mergeCell ref="B5:F5"/>
  </mergeCells>
  <pageMargins left="0.70866141732283472" right="0.70866141732283472" top="0.74803149606299213" bottom="0.74803149606299213" header="0.31496062992125984" footer="0.31496062992125984"/>
  <pageSetup scale="7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9"/>
  <sheetViews>
    <sheetView workbookViewId="0">
      <selection activeCell="M10" sqref="M10:M14"/>
    </sheetView>
  </sheetViews>
  <sheetFormatPr baseColWidth="10" defaultRowHeight="15"/>
  <cols>
    <col min="1" max="1" width="6.7109375" style="21" customWidth="1"/>
    <col min="2" max="2" width="24.42578125" style="21" customWidth="1"/>
    <col min="3" max="8" width="13" style="21" hidden="1" customWidth="1"/>
    <col min="9" max="9" width="13" style="21" bestFit="1" customWidth="1"/>
    <col min="10" max="11" width="11.42578125" style="21" hidden="1" customWidth="1"/>
    <col min="12" max="12" width="24.42578125" style="21" hidden="1" customWidth="1"/>
    <col min="13" max="16384" width="11.42578125" style="21"/>
  </cols>
  <sheetData>
    <row r="2" spans="1:13">
      <c r="A2" s="24" t="s">
        <v>0</v>
      </c>
      <c r="B2" s="135" t="s">
        <v>7</v>
      </c>
      <c r="C2" s="136"/>
      <c r="D2" s="136"/>
    </row>
    <row r="3" spans="1:13" ht="18">
      <c r="A3" s="25" t="s">
        <v>1</v>
      </c>
      <c r="B3" s="40" t="s">
        <v>42</v>
      </c>
      <c r="C3" s="41"/>
      <c r="D3" s="41"/>
    </row>
    <row r="4" spans="1:13" ht="15.75">
      <c r="B4" s="42" t="s">
        <v>2</v>
      </c>
      <c r="C4" s="105"/>
      <c r="D4" s="105"/>
    </row>
    <row r="5" spans="1:13">
      <c r="B5" s="43" t="str">
        <f>+FACTURACIÓN!B4</f>
        <v>Periodo 9 al 9 Semanal del 24/02/2016 al 01/03/2016</v>
      </c>
      <c r="C5" s="105"/>
      <c r="D5" s="105"/>
    </row>
    <row r="6" spans="1:13">
      <c r="B6" s="27" t="s">
        <v>43</v>
      </c>
    </row>
    <row r="7" spans="1:13">
      <c r="B7" s="27" t="s">
        <v>44</v>
      </c>
    </row>
    <row r="8" spans="1:13" ht="35.25" thickBot="1">
      <c r="A8" s="29" t="s">
        <v>3</v>
      </c>
      <c r="B8" s="30" t="s">
        <v>4</v>
      </c>
      <c r="C8" s="30" t="s">
        <v>45</v>
      </c>
      <c r="D8" s="30" t="s">
        <v>46</v>
      </c>
      <c r="E8" s="31" t="s">
        <v>5</v>
      </c>
      <c r="F8" s="30" t="s">
        <v>47</v>
      </c>
      <c r="G8" s="30" t="s">
        <v>48</v>
      </c>
      <c r="H8" s="31" t="s">
        <v>49</v>
      </c>
      <c r="I8" s="32" t="s">
        <v>50</v>
      </c>
    </row>
    <row r="9" spans="1:13" ht="15.75" thickTop="1">
      <c r="A9" s="33" t="s">
        <v>51</v>
      </c>
    </row>
    <row r="10" spans="1:13">
      <c r="A10" s="23" t="s">
        <v>24</v>
      </c>
      <c r="B10" s="22" t="s">
        <v>21</v>
      </c>
      <c r="C10" s="34">
        <v>438.24</v>
      </c>
      <c r="D10" s="34">
        <v>73.040000000000006</v>
      </c>
      <c r="E10" s="34">
        <v>511.28</v>
      </c>
      <c r="F10" s="35">
        <v>-66.069999999999993</v>
      </c>
      <c r="G10" s="35">
        <v>-0.05</v>
      </c>
      <c r="H10" s="34">
        <v>-66.12</v>
      </c>
      <c r="I10" s="34">
        <v>577.4</v>
      </c>
      <c r="K10" s="109" t="s">
        <v>24</v>
      </c>
      <c r="L10" s="110" t="s">
        <v>21</v>
      </c>
      <c r="M10" s="3" t="s">
        <v>107</v>
      </c>
    </row>
    <row r="11" spans="1:13">
      <c r="A11" s="23" t="s">
        <v>25</v>
      </c>
      <c r="B11" s="22" t="s">
        <v>22</v>
      </c>
      <c r="C11" s="34">
        <v>438.24</v>
      </c>
      <c r="D11" s="34">
        <v>73.040000000000006</v>
      </c>
      <c r="E11" s="34">
        <v>511.28</v>
      </c>
      <c r="F11" s="35">
        <v>-66.069999999999993</v>
      </c>
      <c r="G11" s="35">
        <v>-0.05</v>
      </c>
      <c r="H11" s="34">
        <v>-66.12</v>
      </c>
      <c r="I11" s="34">
        <v>577.4</v>
      </c>
      <c r="K11" s="109" t="s">
        <v>25</v>
      </c>
      <c r="L11" s="110" t="s">
        <v>22</v>
      </c>
      <c r="M11" s="3" t="s">
        <v>108</v>
      </c>
    </row>
    <row r="12" spans="1:13">
      <c r="A12" s="23" t="s">
        <v>26</v>
      </c>
      <c r="B12" s="22" t="s">
        <v>23</v>
      </c>
      <c r="C12" s="34">
        <v>438.24</v>
      </c>
      <c r="D12" s="34">
        <v>73.040000000000006</v>
      </c>
      <c r="E12" s="34">
        <v>511.28</v>
      </c>
      <c r="F12" s="35">
        <v>-66.069999999999993</v>
      </c>
      <c r="G12" s="35">
        <v>-0.05</v>
      </c>
      <c r="H12" s="34">
        <v>-66.12</v>
      </c>
      <c r="I12" s="34">
        <v>577.4</v>
      </c>
      <c r="K12" s="109" t="s">
        <v>26</v>
      </c>
      <c r="L12" s="110" t="s">
        <v>23</v>
      </c>
      <c r="M12" s="3" t="s">
        <v>109</v>
      </c>
    </row>
    <row r="13" spans="1:13">
      <c r="A13" s="23" t="s">
        <v>27</v>
      </c>
      <c r="B13" s="22" t="s">
        <v>18</v>
      </c>
      <c r="C13" s="34">
        <v>438.24</v>
      </c>
      <c r="D13" s="34">
        <v>73.040000000000006</v>
      </c>
      <c r="E13" s="34">
        <v>511.28</v>
      </c>
      <c r="F13" s="35">
        <v>-66.069999999999993</v>
      </c>
      <c r="G13" s="35">
        <v>-0.05</v>
      </c>
      <c r="H13" s="34">
        <v>-66.12</v>
      </c>
      <c r="I13" s="34">
        <v>577.4</v>
      </c>
      <c r="K13" s="109" t="s">
        <v>27</v>
      </c>
      <c r="L13" s="110" t="s">
        <v>18</v>
      </c>
      <c r="M13" s="3" t="s">
        <v>110</v>
      </c>
    </row>
    <row r="14" spans="1:13">
      <c r="A14" s="23" t="s">
        <v>28</v>
      </c>
      <c r="B14" s="22" t="s">
        <v>19</v>
      </c>
      <c r="C14" s="34">
        <v>438.24</v>
      </c>
      <c r="D14" s="34">
        <v>73.040000000000006</v>
      </c>
      <c r="E14" s="34">
        <v>511.28</v>
      </c>
      <c r="F14" s="35">
        <v>-66.069999999999993</v>
      </c>
      <c r="G14" s="35">
        <v>-0.05</v>
      </c>
      <c r="H14" s="34">
        <v>-66.12</v>
      </c>
      <c r="I14" s="34">
        <v>577.4</v>
      </c>
      <c r="K14" s="109" t="s">
        <v>28</v>
      </c>
      <c r="L14" s="110" t="s">
        <v>19</v>
      </c>
      <c r="M14" s="3" t="s">
        <v>111</v>
      </c>
    </row>
    <row r="15" spans="1:13">
      <c r="A15" s="36"/>
      <c r="B15" s="28"/>
      <c r="C15" s="28" t="s">
        <v>52</v>
      </c>
      <c r="D15" s="28" t="s">
        <v>52</v>
      </c>
      <c r="E15" s="28" t="s">
        <v>52</v>
      </c>
      <c r="F15" s="28" t="s">
        <v>52</v>
      </c>
      <c r="G15" s="28" t="s">
        <v>52</v>
      </c>
      <c r="H15" s="28" t="s">
        <v>52</v>
      </c>
      <c r="I15" s="28" t="s">
        <v>52</v>
      </c>
      <c r="K15" s="111"/>
      <c r="L15" s="111"/>
      <c r="M15" s="111"/>
    </row>
    <row r="16" spans="1:13">
      <c r="A16" s="39" t="s">
        <v>6</v>
      </c>
      <c r="B16" s="22" t="s">
        <v>7</v>
      </c>
      <c r="C16" s="38">
        <f>SUM(C10:C15)</f>
        <v>2191.1999999999998</v>
      </c>
      <c r="D16" s="38">
        <f t="shared" ref="D16:I16" si="0">SUM(D10:D15)</f>
        <v>365.20000000000005</v>
      </c>
      <c r="E16" s="38">
        <f t="shared" si="0"/>
        <v>2556.3999999999996</v>
      </c>
      <c r="F16" s="38">
        <f t="shared" si="0"/>
        <v>-330.34999999999997</v>
      </c>
      <c r="G16" s="38">
        <f t="shared" si="0"/>
        <v>-0.25</v>
      </c>
      <c r="H16" s="38">
        <f t="shared" si="0"/>
        <v>-330.6</v>
      </c>
      <c r="I16" s="38">
        <f t="shared" si="0"/>
        <v>2887</v>
      </c>
    </row>
    <row r="18" spans="1:9">
      <c r="C18" s="22" t="s">
        <v>7</v>
      </c>
      <c r="D18" s="22" t="s">
        <v>7</v>
      </c>
      <c r="E18" s="22" t="s">
        <v>7</v>
      </c>
      <c r="F18" s="22" t="s">
        <v>7</v>
      </c>
      <c r="G18" s="22" t="s">
        <v>7</v>
      </c>
      <c r="H18" s="22" t="s">
        <v>7</v>
      </c>
      <c r="I18" s="22" t="s">
        <v>7</v>
      </c>
    </row>
    <row r="19" spans="1:9">
      <c r="A19" s="23" t="s">
        <v>7</v>
      </c>
      <c r="B19" s="22" t="s">
        <v>7</v>
      </c>
      <c r="C19" s="37"/>
      <c r="D19" s="37"/>
      <c r="E19" s="37"/>
      <c r="F19" s="37"/>
      <c r="G19" s="37"/>
      <c r="H19" s="37"/>
      <c r="I19" s="37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9"/>
  <sheetViews>
    <sheetView workbookViewId="0">
      <selection activeCell="E8" sqref="E8"/>
    </sheetView>
  </sheetViews>
  <sheetFormatPr baseColWidth="10" defaultRowHeight="15"/>
  <cols>
    <col min="1" max="1" width="6.7109375" style="21" customWidth="1"/>
    <col min="2" max="2" width="24.42578125" style="21" customWidth="1"/>
    <col min="3" max="3" width="13" style="21" customWidth="1"/>
    <col min="4" max="4" width="8.5703125" style="21" customWidth="1"/>
    <col min="5" max="9" width="13" style="21" customWidth="1"/>
    <col min="10" max="10" width="12.5703125" style="21" customWidth="1"/>
    <col min="11" max="11" width="11.42578125" style="21" customWidth="1"/>
    <col min="12" max="12" width="13.42578125" style="21" customWidth="1"/>
    <col min="13" max="16384" width="11.42578125" style="21"/>
  </cols>
  <sheetData>
    <row r="2" spans="1:14">
      <c r="A2" s="24" t="s">
        <v>0</v>
      </c>
      <c r="B2" s="112" t="s">
        <v>7</v>
      </c>
      <c r="C2" s="106"/>
      <c r="D2" s="106"/>
    </row>
    <row r="3" spans="1:14" ht="18">
      <c r="A3" s="25" t="s">
        <v>1</v>
      </c>
      <c r="B3" s="40" t="s">
        <v>55</v>
      </c>
      <c r="C3" s="41"/>
      <c r="D3" s="41"/>
    </row>
    <row r="4" spans="1:14" ht="15.75">
      <c r="B4" s="42" t="s">
        <v>2</v>
      </c>
      <c r="C4" s="105"/>
      <c r="D4" s="105"/>
    </row>
    <row r="5" spans="1:14">
      <c r="B5" s="43" t="str">
        <f>+FACTURACIÓN!B4</f>
        <v>Periodo 9 al 9 Semanal del 24/02/2016 al 01/03/2016</v>
      </c>
      <c r="C5" s="105"/>
      <c r="D5" s="105"/>
      <c r="E5" s="105"/>
      <c r="F5" s="105"/>
    </row>
    <row r="6" spans="1:14">
      <c r="B6" s="27"/>
    </row>
    <row r="7" spans="1:14">
      <c r="B7" s="27"/>
    </row>
    <row r="8" spans="1:14" ht="34.5" thickBot="1">
      <c r="A8" s="29" t="s">
        <v>3</v>
      </c>
      <c r="B8" s="30" t="s">
        <v>4</v>
      </c>
      <c r="C8" s="44" t="s">
        <v>53</v>
      </c>
      <c r="D8" s="44" t="s">
        <v>54</v>
      </c>
      <c r="E8" s="45" t="s">
        <v>5</v>
      </c>
      <c r="F8" s="7" t="s">
        <v>20</v>
      </c>
      <c r="G8" s="7" t="s">
        <v>85</v>
      </c>
      <c r="H8" s="7" t="s">
        <v>86</v>
      </c>
      <c r="I8" s="7" t="s">
        <v>72</v>
      </c>
      <c r="J8" s="7" t="s">
        <v>75</v>
      </c>
      <c r="K8" s="44" t="s">
        <v>48</v>
      </c>
      <c r="L8" s="45" t="s">
        <v>49</v>
      </c>
      <c r="M8" s="46" t="s">
        <v>50</v>
      </c>
    </row>
    <row r="9" spans="1:14" ht="15.75" thickTop="1">
      <c r="A9" s="33" t="s">
        <v>51</v>
      </c>
    </row>
    <row r="10" spans="1:14">
      <c r="A10" s="23" t="s">
        <v>24</v>
      </c>
      <c r="B10" s="22" t="s">
        <v>21</v>
      </c>
      <c r="C10" s="34">
        <f>+FACTURACIÓN!N10-'C&amp;A'!I10+'SINDICATO (2)'!J10+'SINDICATO (2)'!I10+'SINDICATO (2)'!H10+'SINDICATO (2)'!G10+'SINDICATO (2)'!F10</f>
        <v>13026.24</v>
      </c>
      <c r="D10" s="34">
        <v>0</v>
      </c>
      <c r="E10" s="34">
        <f>SUM(C10:D10)</f>
        <v>13026.24</v>
      </c>
      <c r="F10" s="34">
        <f>+FACTURACIÓN!H10</f>
        <v>0</v>
      </c>
      <c r="G10" s="34">
        <f>+FACTURACIÓN!I10</f>
        <v>0</v>
      </c>
      <c r="H10" s="34">
        <f>+FACTURACIÓN!J10</f>
        <v>0</v>
      </c>
      <c r="I10" s="34">
        <f>+FACTURACIÓN!K10</f>
        <v>0</v>
      </c>
      <c r="J10" s="34">
        <f>+FACTURACIÓN!L10</f>
        <v>1360.3640000000003</v>
      </c>
      <c r="K10" s="35">
        <v>0</v>
      </c>
      <c r="L10" s="47">
        <f>SUM(F10:K10)</f>
        <v>1360.3640000000003</v>
      </c>
      <c r="M10" s="47">
        <f>+E10-L10</f>
        <v>11665.876</v>
      </c>
      <c r="N10" s="3" t="s">
        <v>107</v>
      </c>
    </row>
    <row r="11" spans="1:14">
      <c r="A11" s="23" t="s">
        <v>25</v>
      </c>
      <c r="B11" s="22" t="s">
        <v>22</v>
      </c>
      <c r="C11" s="34">
        <f>+FACTURACIÓN!N11-'C&amp;A'!I11+'SINDICATO (2)'!J11+'SINDICATO (2)'!I11+'SINDICATO (2)'!H11+'SINDICATO (2)'!G11+'SINDICATO (2)'!F11</f>
        <v>2789.85</v>
      </c>
      <c r="D11" s="34">
        <v>0</v>
      </c>
      <c r="E11" s="34">
        <f t="shared" ref="E11:E14" si="0">SUM(C11:D11)</f>
        <v>2789.85</v>
      </c>
      <c r="F11" s="34">
        <f>+FACTURACIÓN!H11</f>
        <v>0</v>
      </c>
      <c r="G11" s="34">
        <f>+FACTURACIÓN!I11</f>
        <v>0</v>
      </c>
      <c r="H11" s="34">
        <f>+FACTURACIÓN!J11</f>
        <v>0</v>
      </c>
      <c r="I11" s="34">
        <f>+FACTURACIÓN!K11</f>
        <v>0</v>
      </c>
      <c r="J11" s="34">
        <f>+FACTURACIÓN!L11</f>
        <v>0</v>
      </c>
      <c r="K11" s="35">
        <v>0</v>
      </c>
      <c r="L11" s="47">
        <f t="shared" ref="L11:L14" si="1">SUM(F11:K11)</f>
        <v>0</v>
      </c>
      <c r="M11" s="47">
        <f t="shared" ref="M11:M14" si="2">+E11-L11</f>
        <v>2789.85</v>
      </c>
      <c r="N11" s="3" t="s">
        <v>108</v>
      </c>
    </row>
    <row r="12" spans="1:14">
      <c r="A12" s="23" t="s">
        <v>26</v>
      </c>
      <c r="B12" s="22" t="s">
        <v>23</v>
      </c>
      <c r="C12" s="34">
        <f>+FACTURACIÓN!N12-'C&amp;A'!I12+'SINDICATO (2)'!J12+'SINDICATO (2)'!I12+'SINDICATO (2)'!H12+'SINDICATO (2)'!G12+'SINDICATO (2)'!F12</f>
        <v>4308.1499999999996</v>
      </c>
      <c r="D12" s="34">
        <v>0</v>
      </c>
      <c r="E12" s="34">
        <f t="shared" si="0"/>
        <v>4308.1499999999996</v>
      </c>
      <c r="F12" s="34">
        <f>+FACTURACIÓN!H12</f>
        <v>58.91</v>
      </c>
      <c r="G12" s="34">
        <f>+FACTURACIÓN!I12</f>
        <v>0</v>
      </c>
      <c r="H12" s="34">
        <f>+FACTURACIÓN!J12</f>
        <v>0</v>
      </c>
      <c r="I12" s="34">
        <f>+FACTURACIÓN!K12</f>
        <v>0</v>
      </c>
      <c r="J12" s="34">
        <f>+FACTURACIÓN!L12</f>
        <v>488.55500000000006</v>
      </c>
      <c r="K12" s="35">
        <v>0</v>
      </c>
      <c r="L12" s="47">
        <f t="shared" si="1"/>
        <v>547.46500000000003</v>
      </c>
      <c r="M12" s="47">
        <f t="shared" si="2"/>
        <v>3760.6849999999995</v>
      </c>
      <c r="N12" s="3" t="s">
        <v>109</v>
      </c>
    </row>
    <row r="13" spans="1:14">
      <c r="A13" s="23" t="s">
        <v>27</v>
      </c>
      <c r="B13" s="22" t="s">
        <v>18</v>
      </c>
      <c r="C13" s="34">
        <f>+FACTURACIÓN!N13-'C&amp;A'!I13+'SINDICATO (2)'!J13+'SINDICATO (2)'!I13+'SINDICATO (2)'!H13+'SINDICATO (2)'!G13+'SINDICATO (2)'!F13</f>
        <v>3971.35</v>
      </c>
      <c r="D13" s="34">
        <v>0</v>
      </c>
      <c r="E13" s="34">
        <f t="shared" si="0"/>
        <v>3971.35</v>
      </c>
      <c r="F13" s="34">
        <f>+FACTURACIÓN!H13</f>
        <v>341.33</v>
      </c>
      <c r="G13" s="34">
        <f>+FACTURACIÓN!I13</f>
        <v>222.88875000000002</v>
      </c>
      <c r="H13" s="34">
        <f>+FACTURACIÓN!J13</f>
        <v>4.5487500000000001</v>
      </c>
      <c r="I13" s="34">
        <f>+FACTURACIÓN!K13</f>
        <v>296.2</v>
      </c>
      <c r="J13" s="34">
        <f>+FACTURACIÓN!L13</f>
        <v>454.875</v>
      </c>
      <c r="K13" s="35">
        <v>0</v>
      </c>
      <c r="L13" s="47">
        <f t="shared" si="1"/>
        <v>1319.8425</v>
      </c>
      <c r="M13" s="47">
        <f t="shared" si="2"/>
        <v>2651.5074999999997</v>
      </c>
      <c r="N13" s="3" t="s">
        <v>110</v>
      </c>
    </row>
    <row r="14" spans="1:14">
      <c r="A14" s="23" t="s">
        <v>28</v>
      </c>
      <c r="B14" s="22" t="s">
        <v>19</v>
      </c>
      <c r="C14" s="34">
        <f>+FACTURACIÓN!N14-'C&amp;A'!I14+'SINDICATO (2)'!J14+'SINDICATO (2)'!I14+'SINDICATO (2)'!H14+'SINDICATO (2)'!G14+'SINDICATO (2)'!F14</f>
        <v>950.27999999999986</v>
      </c>
      <c r="D14" s="34">
        <v>0</v>
      </c>
      <c r="E14" s="34">
        <f t="shared" si="0"/>
        <v>950.27999999999986</v>
      </c>
      <c r="F14" s="34">
        <f>+FACTURACIÓN!H14</f>
        <v>0</v>
      </c>
      <c r="G14" s="34">
        <f>+FACTURACIÓN!I14</f>
        <v>74.856319999999997</v>
      </c>
      <c r="H14" s="34">
        <f>+FACTURACIÓN!J14</f>
        <v>1.5276799999999999</v>
      </c>
      <c r="I14" s="34">
        <f>+FACTURACIÓN!K14</f>
        <v>0</v>
      </c>
      <c r="J14" s="34">
        <f>+FACTURACIÓN!L14</f>
        <v>0</v>
      </c>
      <c r="K14" s="35">
        <v>0</v>
      </c>
      <c r="L14" s="47">
        <f t="shared" si="1"/>
        <v>76.384</v>
      </c>
      <c r="M14" s="47">
        <f t="shared" si="2"/>
        <v>873.89599999999984</v>
      </c>
      <c r="N14" s="3" t="s">
        <v>111</v>
      </c>
    </row>
    <row r="15" spans="1:14">
      <c r="A15" s="36"/>
      <c r="B15" s="28"/>
      <c r="C15" s="28" t="s">
        <v>52</v>
      </c>
      <c r="D15" s="28" t="s">
        <v>52</v>
      </c>
      <c r="E15" s="28" t="s">
        <v>52</v>
      </c>
      <c r="F15" s="28" t="s">
        <v>52</v>
      </c>
      <c r="G15" s="28" t="s">
        <v>52</v>
      </c>
      <c r="H15" s="28" t="s">
        <v>52</v>
      </c>
      <c r="I15" s="28" t="s">
        <v>52</v>
      </c>
      <c r="J15" s="28" t="s">
        <v>52</v>
      </c>
      <c r="K15" s="28" t="s">
        <v>52</v>
      </c>
      <c r="L15" s="28" t="s">
        <v>52</v>
      </c>
      <c r="M15" s="28" t="s">
        <v>52</v>
      </c>
    </row>
    <row r="16" spans="1:14">
      <c r="A16" s="39" t="s">
        <v>6</v>
      </c>
      <c r="B16" s="22" t="s">
        <v>7</v>
      </c>
      <c r="C16" s="38">
        <f>SUM(C10:C15)</f>
        <v>25045.869999999995</v>
      </c>
      <c r="D16" s="38">
        <f t="shared" ref="D16:M16" si="3">SUM(D10:D15)</f>
        <v>0</v>
      </c>
      <c r="E16" s="38">
        <f t="shared" si="3"/>
        <v>25045.869999999995</v>
      </c>
      <c r="F16" s="38">
        <f t="shared" si="3"/>
        <v>400.24</v>
      </c>
      <c r="G16" s="38">
        <f t="shared" si="3"/>
        <v>297.74507</v>
      </c>
      <c r="H16" s="38">
        <f t="shared" si="3"/>
        <v>6.0764300000000002</v>
      </c>
      <c r="I16" s="38">
        <f t="shared" si="3"/>
        <v>296.2</v>
      </c>
      <c r="J16" s="38">
        <f t="shared" si="3"/>
        <v>2303.7940000000003</v>
      </c>
      <c r="K16" s="38">
        <f t="shared" si="3"/>
        <v>0</v>
      </c>
      <c r="L16" s="38">
        <f t="shared" si="3"/>
        <v>3304.0555000000004</v>
      </c>
      <c r="M16" s="38">
        <f t="shared" si="3"/>
        <v>21741.8145</v>
      </c>
    </row>
    <row r="18" spans="1:10">
      <c r="C18" s="22" t="s">
        <v>7</v>
      </c>
      <c r="D18" s="22" t="s">
        <v>7</v>
      </c>
      <c r="E18" s="22" t="s">
        <v>7</v>
      </c>
      <c r="F18" s="22"/>
      <c r="G18" s="22"/>
      <c r="H18" s="22"/>
      <c r="I18" s="22"/>
      <c r="J18" s="22"/>
    </row>
    <row r="19" spans="1:10">
      <c r="A19" s="23" t="s">
        <v>7</v>
      </c>
      <c r="B19" s="22" t="s">
        <v>7</v>
      </c>
      <c r="C19" s="37"/>
      <c r="D19" s="37"/>
      <c r="E19" s="37"/>
      <c r="F19" s="37"/>
      <c r="G19" s="37"/>
      <c r="H19" s="37"/>
      <c r="I19" s="37"/>
      <c r="J19" s="37"/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4"/>
  <sheetViews>
    <sheetView topLeftCell="A5" workbookViewId="0">
      <selection activeCell="C12" sqref="C12"/>
    </sheetView>
  </sheetViews>
  <sheetFormatPr baseColWidth="10" defaultRowHeight="15"/>
  <cols>
    <col min="1" max="1" width="11.85546875" style="19" bestFit="1" customWidth="1"/>
    <col min="2" max="2" width="24" style="19" bestFit="1" customWidth="1"/>
    <col min="3" max="3" width="10.42578125" style="19" bestFit="1" customWidth="1"/>
    <col min="4" max="16384" width="11.42578125" style="19"/>
  </cols>
  <sheetData>
    <row r="1" spans="1:3">
      <c r="A1" s="19" t="s">
        <v>29</v>
      </c>
    </row>
    <row r="7" spans="1:3">
      <c r="C7" s="19" t="s">
        <v>30</v>
      </c>
    </row>
    <row r="8" spans="1:3">
      <c r="A8" s="19" t="s">
        <v>31</v>
      </c>
      <c r="B8" s="19" t="s">
        <v>32</v>
      </c>
      <c r="C8" s="19" t="s">
        <v>33</v>
      </c>
    </row>
    <row r="9" spans="1:3">
      <c r="A9" s="19" t="s">
        <v>34</v>
      </c>
      <c r="B9" s="19" t="s">
        <v>35</v>
      </c>
      <c r="C9" s="19" t="s">
        <v>34</v>
      </c>
    </row>
    <row r="10" spans="1:3">
      <c r="A10" s="19" t="s">
        <v>24</v>
      </c>
      <c r="B10" s="19" t="s">
        <v>39</v>
      </c>
      <c r="C10" s="19">
        <v>0</v>
      </c>
    </row>
    <row r="11" spans="1:3">
      <c r="A11" s="19" t="s">
        <v>25</v>
      </c>
      <c r="B11" s="19" t="s">
        <v>40</v>
      </c>
      <c r="C11" s="19">
        <v>0</v>
      </c>
    </row>
    <row r="12" spans="1:3">
      <c r="A12" s="19" t="s">
        <v>36</v>
      </c>
      <c r="B12" s="19" t="s">
        <v>37</v>
      </c>
      <c r="C12" s="19">
        <v>155.96</v>
      </c>
    </row>
    <row r="13" spans="1:3">
      <c r="A13" s="19" t="s">
        <v>26</v>
      </c>
      <c r="B13" s="19" t="s">
        <v>41</v>
      </c>
      <c r="C13" s="19">
        <v>0</v>
      </c>
    </row>
    <row r="14" spans="1:3">
      <c r="A14" s="19" t="s">
        <v>27</v>
      </c>
      <c r="B14" s="19" t="s">
        <v>38</v>
      </c>
      <c r="C14" s="19">
        <v>0</v>
      </c>
    </row>
  </sheetData>
  <sortState ref="A10:D29">
    <sortCondition ref="B10:B2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/>
  </sheetViews>
  <sheetFormatPr baseColWidth="10" defaultRowHeight="15"/>
  <cols>
    <col min="1" max="1" width="21.28515625" customWidth="1"/>
  </cols>
  <sheetData>
    <row r="1" spans="1:6">
      <c r="A1" s="137" t="s">
        <v>121</v>
      </c>
      <c r="B1" s="137"/>
      <c r="C1" s="138"/>
      <c r="D1" s="139"/>
      <c r="E1" s="139"/>
      <c r="F1" s="140"/>
    </row>
    <row r="2" spans="1:6">
      <c r="A2" s="137" t="s">
        <v>122</v>
      </c>
      <c r="B2" s="137"/>
      <c r="C2" s="138"/>
      <c r="D2" s="139"/>
      <c r="E2" s="139"/>
      <c r="F2" s="140"/>
    </row>
    <row r="3" spans="1:6">
      <c r="A3" s="137" t="s">
        <v>133</v>
      </c>
      <c r="B3" s="141" t="s">
        <v>134</v>
      </c>
      <c r="C3" s="138"/>
      <c r="D3" s="139"/>
      <c r="E3" s="139"/>
      <c r="F3" s="140"/>
    </row>
    <row r="4" spans="1:6">
      <c r="A4" s="138"/>
      <c r="B4" s="138"/>
      <c r="C4" s="138"/>
      <c r="D4" s="139"/>
      <c r="E4" s="139"/>
      <c r="F4" s="140"/>
    </row>
    <row r="5" spans="1:6">
      <c r="A5" s="138" t="s">
        <v>123</v>
      </c>
      <c r="B5" s="138" t="s">
        <v>124</v>
      </c>
      <c r="C5" s="138"/>
      <c r="D5" s="139"/>
      <c r="E5" s="139"/>
      <c r="F5" s="140"/>
    </row>
    <row r="6" spans="1:6">
      <c r="A6" s="139" t="s">
        <v>125</v>
      </c>
      <c r="B6" s="142">
        <v>8596.2000000000007</v>
      </c>
      <c r="C6" s="139"/>
      <c r="D6" s="139"/>
      <c r="E6" s="139"/>
      <c r="F6" s="140"/>
    </row>
    <row r="7" spans="1:6">
      <c r="A7" s="139" t="s">
        <v>126</v>
      </c>
      <c r="B7" s="142">
        <v>0</v>
      </c>
      <c r="C7" s="139"/>
      <c r="D7" s="139"/>
      <c r="E7" s="139"/>
      <c r="F7" s="140"/>
    </row>
    <row r="8" spans="1:6">
      <c r="A8" s="139" t="s">
        <v>127</v>
      </c>
      <c r="B8" s="142">
        <v>0</v>
      </c>
      <c r="C8" s="139"/>
      <c r="D8" s="139"/>
      <c r="E8" s="139"/>
      <c r="F8" s="140"/>
    </row>
    <row r="9" spans="1:6">
      <c r="A9" s="139" t="s">
        <v>128</v>
      </c>
      <c r="B9" s="142">
        <v>13659</v>
      </c>
      <c r="C9" s="139"/>
      <c r="D9" s="139"/>
      <c r="E9" s="139"/>
      <c r="F9" s="140"/>
    </row>
    <row r="10" spans="1:6">
      <c r="A10" s="139" t="s">
        <v>129</v>
      </c>
      <c r="B10" s="142">
        <v>0</v>
      </c>
      <c r="C10" s="139"/>
      <c r="D10" s="139"/>
      <c r="E10" s="139"/>
      <c r="F10" s="140"/>
    </row>
    <row r="11" spans="1:6">
      <c r="A11" s="139" t="s">
        <v>130</v>
      </c>
      <c r="B11" s="142">
        <v>5953.45</v>
      </c>
      <c r="C11" s="139"/>
      <c r="D11" s="139"/>
      <c r="E11" s="139"/>
      <c r="F11" s="140"/>
    </row>
    <row r="12" spans="1:6">
      <c r="A12" s="139" t="s">
        <v>131</v>
      </c>
      <c r="B12" s="143">
        <v>0</v>
      </c>
      <c r="C12" s="139"/>
      <c r="D12" s="139"/>
      <c r="E12" s="139"/>
      <c r="F12" s="140"/>
    </row>
    <row r="13" spans="1:6" ht="15.75" thickBot="1">
      <c r="A13" s="139" t="s">
        <v>132</v>
      </c>
      <c r="B13" s="144">
        <v>0</v>
      </c>
      <c r="C13" s="139"/>
      <c r="D13" s="139"/>
      <c r="E13" s="139"/>
      <c r="F13" s="140"/>
    </row>
    <row r="14" spans="1:6">
      <c r="A14" s="139"/>
      <c r="B14" s="145">
        <f>SUM(B6:B13)</f>
        <v>28208.65</v>
      </c>
      <c r="C14" s="139"/>
      <c r="D14" s="139"/>
      <c r="E14" s="139"/>
      <c r="F14" s="140"/>
    </row>
    <row r="15" spans="1:6" ht="15.75" thickBot="1">
      <c r="A15" s="139"/>
      <c r="B15" s="146">
        <f>B14*0.16</f>
        <v>4513.384</v>
      </c>
      <c r="C15" s="139"/>
      <c r="D15" s="139"/>
      <c r="E15" s="139"/>
      <c r="F15" s="140"/>
    </row>
    <row r="16" spans="1:6" ht="15.75" thickTop="1">
      <c r="A16" s="139"/>
      <c r="B16" s="147">
        <f>+B14+B15</f>
        <v>32722.034</v>
      </c>
      <c r="C16" s="139"/>
      <c r="D16" s="139"/>
      <c r="E16" s="139"/>
      <c r="F16" s="140"/>
    </row>
    <row r="17" spans="1:6">
      <c r="A17" s="139"/>
      <c r="B17" s="142">
        <v>32722.02</v>
      </c>
      <c r="C17" s="139"/>
      <c r="D17" s="139"/>
      <c r="E17" s="139"/>
      <c r="F17" s="140"/>
    </row>
    <row r="18" spans="1:6">
      <c r="A18" s="139"/>
      <c r="B18" s="142">
        <f>B17-B16</f>
        <v>-1.3999999999214197E-2</v>
      </c>
      <c r="C18" s="139"/>
      <c r="D18" s="139"/>
      <c r="E18" s="139"/>
      <c r="F18" s="140"/>
    </row>
    <row r="19" spans="1:6">
      <c r="A19" s="139"/>
      <c r="B19" s="142"/>
      <c r="C19" s="139"/>
      <c r="D19" s="139"/>
      <c r="E19" s="139"/>
      <c r="F19" s="140"/>
    </row>
    <row r="20" spans="1:6">
      <c r="A20" s="139"/>
      <c r="B20" s="139"/>
      <c r="C20" s="139"/>
      <c r="D20" s="139"/>
      <c r="E20" s="139"/>
      <c r="F20" s="140"/>
    </row>
    <row r="21" spans="1:6">
      <c r="A21" s="139"/>
      <c r="B21" s="139"/>
      <c r="C21" s="139"/>
      <c r="D21" s="139"/>
      <c r="E21" s="139"/>
      <c r="F21" s="140"/>
    </row>
    <row r="22" spans="1:6">
      <c r="A22" s="139"/>
      <c r="B22" s="139"/>
      <c r="C22" s="139"/>
      <c r="D22" s="139"/>
      <c r="E22" s="139"/>
      <c r="F22" s="1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FACTURACIÓN</vt:lpstr>
      <vt:lpstr>C&amp;A</vt:lpstr>
      <vt:lpstr>SINDICATO</vt:lpstr>
      <vt:lpstr>C&amp;A (2)</vt:lpstr>
      <vt:lpstr>SINDICATO (2)</vt:lpstr>
      <vt:lpstr>INFONAVIT</vt:lpstr>
      <vt:lpstr>POLIZA</vt:lpstr>
      <vt:lpstr>'C&amp;A'!Área_de_impresión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usuario</cp:lastModifiedBy>
  <cp:lastPrinted>2016-03-04T22:00:31Z</cp:lastPrinted>
  <dcterms:created xsi:type="dcterms:W3CDTF">2016-01-16T18:25:25Z</dcterms:created>
  <dcterms:modified xsi:type="dcterms:W3CDTF">2016-07-19T22:38:35Z</dcterms:modified>
</cp:coreProperties>
</file>