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11445" activeTab="4"/>
  </bookViews>
  <sheets>
    <sheet name="FACTURACIÓN" sheetId="1" r:id="rId1"/>
    <sheet name="C&amp;A" sheetId="3" r:id="rId2"/>
    <sheet name="SINDICATO" sheetId="4" r:id="rId3"/>
    <sheet name="INFONAVIT" sheetId="2" r:id="rId4"/>
    <sheet name="POLIZA" sheetId="5" r:id="rId5"/>
  </sheets>
  <definedNames>
    <definedName name="_xlnm._FilterDatabase" localSheetId="0" hidden="1">FACTURACIÓN!$T$8:$U$14</definedName>
  </definedNames>
  <calcPr calcId="124519"/>
</workbook>
</file>

<file path=xl/calcChain.xml><?xml version="1.0" encoding="utf-8"?>
<calcChain xmlns="http://schemas.openxmlformats.org/spreadsheetml/2006/main">
  <c r="B15" i="5"/>
  <c r="B16" s="1"/>
  <c r="B17" s="1"/>
  <c r="D16" i="4" l="1"/>
  <c r="K16"/>
  <c r="N11" i="1"/>
  <c r="N12"/>
  <c r="N13"/>
  <c r="N14"/>
  <c r="G10"/>
  <c r="F10" i="4" s="1"/>
  <c r="J11" i="1"/>
  <c r="I11" i="4" s="1"/>
  <c r="J12" i="1"/>
  <c r="I12" i="4" s="1"/>
  <c r="J13" i="1"/>
  <c r="I13" i="4" s="1"/>
  <c r="J14" i="1"/>
  <c r="I14" i="4" s="1"/>
  <c r="J10" i="1"/>
  <c r="H11"/>
  <c r="I11"/>
  <c r="H11" i="4" s="1"/>
  <c r="H12" i="1"/>
  <c r="G12" i="4" s="1"/>
  <c r="I12" i="1"/>
  <c r="H12" i="4" s="1"/>
  <c r="I10" i="1"/>
  <c r="H10" i="4" s="1"/>
  <c r="H10" i="1"/>
  <c r="G10" i="4" s="1"/>
  <c r="G11" i="1"/>
  <c r="F11" i="4" s="1"/>
  <c r="G12" i="1"/>
  <c r="F12" i="4" s="1"/>
  <c r="G13" i="1"/>
  <c r="F13" i="4" s="1"/>
  <c r="G14" i="1"/>
  <c r="F14" i="4" s="1"/>
  <c r="E11" i="1"/>
  <c r="E12"/>
  <c r="E13"/>
  <c r="E10"/>
  <c r="C11"/>
  <c r="C12"/>
  <c r="C13"/>
  <c r="C14"/>
  <c r="C10"/>
  <c r="AG20"/>
  <c r="AR20" s="1"/>
  <c r="AG19"/>
  <c r="AR19" s="1"/>
  <c r="AQ16"/>
  <c r="AP16"/>
  <c r="AO16"/>
  <c r="AN16"/>
  <c r="AI16"/>
  <c r="AH16"/>
  <c r="AF16"/>
  <c r="AE16"/>
  <c r="AD16"/>
  <c r="AV14"/>
  <c r="AC14"/>
  <c r="E14" s="1"/>
  <c r="AB14"/>
  <c r="AV13"/>
  <c r="AC13"/>
  <c r="AB13"/>
  <c r="AV12"/>
  <c r="AB12"/>
  <c r="AG12" s="1"/>
  <c r="AR12" s="1"/>
  <c r="AV11"/>
  <c r="AB11"/>
  <c r="AG11" s="1"/>
  <c r="AR11" s="1"/>
  <c r="AV10"/>
  <c r="AB10"/>
  <c r="D16" i="3"/>
  <c r="E16"/>
  <c r="F16"/>
  <c r="G16"/>
  <c r="H16"/>
  <c r="I16"/>
  <c r="C16"/>
  <c r="N10" i="1"/>
  <c r="J16" l="1"/>
  <c r="I10" i="4"/>
  <c r="I16" s="1"/>
  <c r="F16"/>
  <c r="G16" i="1"/>
  <c r="AB16"/>
  <c r="AV16"/>
  <c r="G11" i="4"/>
  <c r="AC16" i="1"/>
  <c r="AG14"/>
  <c r="AU14" s="1"/>
  <c r="AG10"/>
  <c r="AS10" s="1"/>
  <c r="K10" s="1"/>
  <c r="AG13"/>
  <c r="AU13" s="1"/>
  <c r="AT20"/>
  <c r="AU20"/>
  <c r="AW20" s="1"/>
  <c r="AS20"/>
  <c r="AT19"/>
  <c r="AU19"/>
  <c r="AW19" s="1"/>
  <c r="AS19"/>
  <c r="AS11"/>
  <c r="AU11"/>
  <c r="AS12"/>
  <c r="AU12"/>
  <c r="AL14" l="1"/>
  <c r="I14" s="1"/>
  <c r="H14" i="4" s="1"/>
  <c r="AW14" i="1"/>
  <c r="M14"/>
  <c r="O14" s="1"/>
  <c r="P14" s="1"/>
  <c r="Q14" s="1"/>
  <c r="AT12"/>
  <c r="K12"/>
  <c r="J10" i="4"/>
  <c r="AR10" i="1"/>
  <c r="AT10" s="1"/>
  <c r="AW12"/>
  <c r="M12"/>
  <c r="O12" s="1"/>
  <c r="P12" s="1"/>
  <c r="Q12" s="1"/>
  <c r="AU10"/>
  <c r="M10" s="1"/>
  <c r="O10" s="1"/>
  <c r="AK14"/>
  <c r="H14" s="1"/>
  <c r="AW13"/>
  <c r="M13"/>
  <c r="O13" s="1"/>
  <c r="P13" s="1"/>
  <c r="Q13" s="1"/>
  <c r="AW11"/>
  <c r="M11"/>
  <c r="O11" s="1"/>
  <c r="P11" s="1"/>
  <c r="Q11" s="1"/>
  <c r="AS14"/>
  <c r="K14" s="1"/>
  <c r="J14" i="4" s="1"/>
  <c r="L10" i="1"/>
  <c r="AG16"/>
  <c r="AT11"/>
  <c r="K11"/>
  <c r="AK13"/>
  <c r="AS13"/>
  <c r="K13" s="1"/>
  <c r="AW21"/>
  <c r="AL13"/>
  <c r="I13" s="1"/>
  <c r="AS16" l="1"/>
  <c r="AS18" s="1"/>
  <c r="AR14"/>
  <c r="AT14" s="1"/>
  <c r="O16"/>
  <c r="P10"/>
  <c r="Q10" s="1"/>
  <c r="Q16" s="1"/>
  <c r="J13" i="4"/>
  <c r="L11" i="1"/>
  <c r="J11" i="4"/>
  <c r="L11" s="1"/>
  <c r="C10"/>
  <c r="L10"/>
  <c r="K16" i="1"/>
  <c r="AR13"/>
  <c r="AT13" s="1"/>
  <c r="H13"/>
  <c r="AU16"/>
  <c r="H13" i="4"/>
  <c r="H16" s="1"/>
  <c r="I16" i="1"/>
  <c r="G14" i="4"/>
  <c r="L14" s="1"/>
  <c r="L14" i="1"/>
  <c r="AW10"/>
  <c r="AW16" s="1"/>
  <c r="L12"/>
  <c r="J12" i="4"/>
  <c r="L12" s="1"/>
  <c r="D16" i="1"/>
  <c r="E16"/>
  <c r="F16"/>
  <c r="N16"/>
  <c r="C16"/>
  <c r="AT16" l="1"/>
  <c r="AR16"/>
  <c r="G13" i="4"/>
  <c r="H16" i="1"/>
  <c r="J16" i="4"/>
  <c r="C12"/>
  <c r="E12" s="1"/>
  <c r="M12" s="1"/>
  <c r="E10"/>
  <c r="L13" i="1"/>
  <c r="C13" i="4" s="1"/>
  <c r="E13" s="1"/>
  <c r="C14"/>
  <c r="E14" s="1"/>
  <c r="M14" s="1"/>
  <c r="C11"/>
  <c r="E11" s="1"/>
  <c r="M11" s="1"/>
  <c r="L16" i="1" l="1"/>
  <c r="R12"/>
  <c r="S12"/>
  <c r="R14"/>
  <c r="S14"/>
  <c r="R11"/>
  <c r="S11"/>
  <c r="C16" i="4"/>
  <c r="E16"/>
  <c r="M10"/>
  <c r="L13"/>
  <c r="L16" s="1"/>
  <c r="S17" i="1" s="1"/>
  <c r="G16" i="4"/>
  <c r="M16" i="1"/>
  <c r="M13" i="4" l="1"/>
  <c r="S10" i="1"/>
  <c r="M16" i="4"/>
  <c r="R10" i="1"/>
  <c r="P16"/>
  <c r="R13" l="1"/>
  <c r="R16" s="1"/>
  <c r="S13"/>
  <c r="S16" s="1"/>
  <c r="S18" s="1"/>
</calcChain>
</file>

<file path=xl/sharedStrings.xml><?xml version="1.0" encoding="utf-8"?>
<sst xmlns="http://schemas.openxmlformats.org/spreadsheetml/2006/main" count="222" uniqueCount="113">
  <si>
    <t>CONTPAQ i</t>
  </si>
  <si>
    <t xml:space="preserve">      NÓMINAS</t>
  </si>
  <si>
    <t>Lista de Raya (forma tabular)</t>
  </si>
  <si>
    <t>Código</t>
  </si>
  <si>
    <t>Empleado</t>
  </si>
  <si>
    <t>*TOTAL* *PERCEPCIONES*</t>
  </si>
  <si>
    <t>Total Gral.</t>
  </si>
  <si>
    <t xml:space="preserve"> </t>
  </si>
  <si>
    <t>IVA</t>
  </si>
  <si>
    <t>TOTAL PERCEPCIONES</t>
  </si>
  <si>
    <t>SUELDO BASE</t>
  </si>
  <si>
    <t>COMISIONES</t>
  </si>
  <si>
    <t>Comision 10%</t>
  </si>
  <si>
    <t>2% S/N</t>
  </si>
  <si>
    <t>SUBTOTAL</t>
  </si>
  <si>
    <t>TOTOAL</t>
  </si>
  <si>
    <t>SUBSIDO ENTREGADO</t>
  </si>
  <si>
    <t>SGV</t>
  </si>
  <si>
    <t>Reyes Garcia Aaron</t>
  </si>
  <si>
    <t>Rodriguez Sanchez Luis Enrique</t>
  </si>
  <si>
    <t>DESCUENTOS ESPECIALES</t>
  </si>
  <si>
    <t>Aguilar Santiago Vilma</t>
  </si>
  <si>
    <t>Carstensen Gonzalez Karla Maria</t>
  </si>
  <si>
    <t>Franco Morales Saul</t>
  </si>
  <si>
    <t>AS16</t>
  </si>
  <si>
    <t>CG06</t>
  </si>
  <si>
    <t>FM27</t>
  </si>
  <si>
    <t>RG08</t>
  </si>
  <si>
    <t>RS10</t>
  </si>
  <si>
    <t>S10-01/2016</t>
  </si>
  <si>
    <t xml:space="preserve">         An</t>
  </si>
  <si>
    <t>Clave</t>
  </si>
  <si>
    <t xml:space="preserve"> Nombre</t>
  </si>
  <si>
    <t>nfonavit  p</t>
  </si>
  <si>
    <t>-----------</t>
  </si>
  <si>
    <t>----------------------</t>
  </si>
  <si>
    <t>DG03</t>
  </si>
  <si>
    <t xml:space="preserve"> DIAZ LIZARRAGA ARMAN</t>
  </si>
  <si>
    <t xml:space="preserve"> REYES GARCIA AARON</t>
  </si>
  <si>
    <t xml:space="preserve"> AGUILAR SANTIAGO VIL</t>
  </si>
  <si>
    <t xml:space="preserve"> CARSTENSEN GONZALEZ</t>
  </si>
  <si>
    <t xml:space="preserve"> FRANCO MORALES SAUL</t>
  </si>
  <si>
    <t>07 CONSULTORES &amp; ASESORES INTEGRALES SC</t>
  </si>
  <si>
    <t>Periodo 6 al 6 Semanal del 03/02/2016 al 09/02/2016</t>
  </si>
  <si>
    <t>Reg Pat IMSS: 00000000000,E2375841103</t>
  </si>
  <si>
    <t xml:space="preserve">RFC: C&amp;A -050406-NL0 </t>
  </si>
  <si>
    <t>Sueldo</t>
  </si>
  <si>
    <t>Séptimo día</t>
  </si>
  <si>
    <t>Subsidio al Empleo (sp)</t>
  </si>
  <si>
    <t>Ajuste al neto</t>
  </si>
  <si>
    <t>*TOTAL* *DEDUCCIONES*</t>
  </si>
  <si>
    <t>*NETO*</t>
  </si>
  <si>
    <t xml:space="preserve">    Reg. Pat. IMSS:  E2375841103</t>
  </si>
  <si>
    <t xml:space="preserve">  =============</t>
  </si>
  <si>
    <t>Apoyo Sindicato Apoyo 23 c.c.</t>
  </si>
  <si>
    <t>Apoyo Extra</t>
  </si>
  <si>
    <t>07 SINDICATO ASO RALLY</t>
  </si>
  <si>
    <t>Consultores &amp; Asesores Integrales S.C.</t>
  </si>
  <si>
    <t xml:space="preserve">Servicios Prestados a : RALLY CHAMPION SA </t>
  </si>
  <si>
    <t>Periodo Semana 7</t>
  </si>
  <si>
    <t>Area</t>
  </si>
  <si>
    <t>Nombre</t>
  </si>
  <si>
    <t>Suc</t>
  </si>
  <si>
    <t>Puesto</t>
  </si>
  <si>
    <t>FIJO / VARIABLE</t>
  </si>
  <si>
    <t>sub   S/N</t>
  </si>
  <si>
    <t>Sueldo Quincenal</t>
  </si>
  <si>
    <t>Prima Vacacional</t>
  </si>
  <si>
    <t>Dias de Vacaciones</t>
  </si>
  <si>
    <t>SEGURO DE VIDA (-)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</si>
  <si>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</si>
  <si>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</si>
  <si>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</si>
  <si>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</si>
  <si>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</si>
  <si>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</si>
  <si>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</si>
  <si>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</si>
  <si>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</si>
  <si>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</si>
  <si>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</si>
  <si>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</si>
  <si>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CONSULTORES</t>
  </si>
  <si>
    <t>SINDICATO</t>
  </si>
  <si>
    <t>COMISION</t>
  </si>
  <si>
    <t>Descuentos Especiales</t>
  </si>
  <si>
    <t>AHORRO CTM</t>
  </si>
  <si>
    <t>FONDO DE AHORRO</t>
  </si>
  <si>
    <t>CUOTA SINDICAL</t>
  </si>
  <si>
    <t>PRESTAMO CTM</t>
  </si>
  <si>
    <t>ADMINISTRACION</t>
  </si>
  <si>
    <t>AGUILAR SANTIAGO VILMA</t>
  </si>
  <si>
    <t>GERENTE GENERAL</t>
  </si>
  <si>
    <t>VENTAS</t>
  </si>
  <si>
    <t>CARSTENSEN GONZALEZ KARLA MARIA</t>
  </si>
  <si>
    <t>ASESOR DE VENTAS</t>
  </si>
  <si>
    <t>FRANCO MORALES SAUL</t>
  </si>
  <si>
    <t>SERVICIO</t>
  </si>
  <si>
    <t>REYES GARCIA AARON</t>
  </si>
  <si>
    <t>MECANICO</t>
  </si>
  <si>
    <t>RODRIGUEZ SANCHEZ  LUIS ENRIQUE</t>
  </si>
  <si>
    <t>TOTAL NOMINA</t>
  </si>
  <si>
    <t>INCAPACIDAD</t>
  </si>
  <si>
    <t>NETO A RECIBIR</t>
  </si>
  <si>
    <t>DEVOLUCIÓN CH.</t>
  </si>
  <si>
    <t xml:space="preserve">Periodo </t>
  </si>
  <si>
    <t>17/02/2016 al 23/02/2016</t>
  </si>
  <si>
    <t>Semana 07</t>
  </si>
  <si>
    <t>CUENTA</t>
  </si>
  <si>
    <t>IMPORTE</t>
  </si>
  <si>
    <t>683-001-001</t>
  </si>
  <si>
    <t>RALLY CHAMPION</t>
  </si>
  <si>
    <t>REPORTE DE NOMINA SEMANA 07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</si>
</sst>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0_ ;[Red]\-0.00\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Verdana"/>
      <family val="2"/>
    </font>
    <font>
      <b/>
      <sz val="12"/>
      <color indexed="6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b/>
      <sz val="10"/>
      <name val="Arial"/>
      <family val="2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</cellStyleXfs>
  <cellXfs count="110">
    <xf numFmtId="0" fontId="0" fillId="0" borderId="0" xfId="0"/>
    <xf numFmtId="49" fontId="2" fillId="0" borderId="0" xfId="0" applyNumberFormat="1" applyFont="1" applyAlignment="1">
      <alignment horizontal="centerContinuous"/>
    </xf>
    <xf numFmtId="0" fontId="4" fillId="0" borderId="0" xfId="0" applyFont="1" applyAlignment="1"/>
    <xf numFmtId="0" fontId="3" fillId="0" borderId="0" xfId="0" applyFont="1"/>
    <xf numFmtId="49" fontId="5" fillId="0" borderId="0" xfId="0" applyNumberFormat="1" applyFont="1" applyAlignment="1">
      <alignment horizontal="centerContinuous" vertical="top"/>
    </xf>
    <xf numFmtId="0" fontId="4" fillId="0" borderId="0" xfId="0" applyFont="1" applyAlignment="1">
      <alignment vertical="center"/>
    </xf>
    <xf numFmtId="49" fontId="3" fillId="0" borderId="0" xfId="0" applyNumberFormat="1" applyFont="1"/>
    <xf numFmtId="0" fontId="6" fillId="2" borderId="1" xfId="0" applyFont="1" applyFill="1" applyBorder="1" applyAlignment="1">
      <alignment horizontal="center" vertical="center" wrapText="1"/>
    </xf>
    <xf numFmtId="49" fontId="6" fillId="0" borderId="0" xfId="0" applyNumberFormat="1" applyFont="1"/>
    <xf numFmtId="49" fontId="3" fillId="0" borderId="0" xfId="0" applyNumberFormat="1" applyFont="1" applyFill="1"/>
    <xf numFmtId="0" fontId="3" fillId="0" borderId="0" xfId="0" applyFont="1" applyFill="1"/>
    <xf numFmtId="44" fontId="3" fillId="0" borderId="0" xfId="1" applyFont="1" applyFill="1"/>
    <xf numFmtId="0" fontId="7" fillId="0" borderId="0" xfId="0" applyFont="1" applyFill="1"/>
    <xf numFmtId="49" fontId="8" fillId="0" borderId="0" xfId="0" applyNumberFormat="1" applyFont="1" applyFill="1" applyAlignment="1">
      <alignment horizontal="left"/>
    </xf>
    <xf numFmtId="164" fontId="8" fillId="0" borderId="2" xfId="0" applyNumberFormat="1" applyFont="1" applyFill="1" applyBorder="1"/>
    <xf numFmtId="0" fontId="6" fillId="0" borderId="0" xfId="0" applyFont="1" applyFill="1"/>
    <xf numFmtId="49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0" fillId="0" borderId="0" xfId="0"/>
    <xf numFmtId="49" fontId="9" fillId="0" borderId="0" xfId="0" applyNumberFormat="1" applyFont="1"/>
    <xf numFmtId="0" fontId="0" fillId="0" borderId="0" xfId="0"/>
    <xf numFmtId="0" fontId="9" fillId="0" borderId="0" xfId="0" applyFont="1"/>
    <xf numFmtId="49" fontId="9" fillId="0" borderId="0" xfId="0" applyNumberFormat="1" applyFont="1"/>
    <xf numFmtId="49" fontId="10" fillId="0" borderId="0" xfId="0" applyNumberFormat="1" applyFont="1" applyAlignment="1">
      <alignment horizontal="centerContinuous"/>
    </xf>
    <xf numFmtId="49" fontId="11" fillId="0" borderId="0" xfId="0" applyNumberFormat="1" applyFont="1" applyAlignment="1">
      <alignment horizontal="centerContinuous" vertical="top"/>
    </xf>
    <xf numFmtId="0" fontId="0" fillId="0" borderId="0" xfId="0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49" fontId="16" fillId="2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49" fontId="18" fillId="0" borderId="0" xfId="0" applyNumberFormat="1" applyFont="1"/>
    <xf numFmtId="164" fontId="9" fillId="0" borderId="0" xfId="0" applyNumberFormat="1" applyFont="1"/>
    <xf numFmtId="164" fontId="19" fillId="0" borderId="0" xfId="0" applyNumberFormat="1" applyFont="1"/>
    <xf numFmtId="49" fontId="9" fillId="0" borderId="0" xfId="0" applyNumberFormat="1" applyFont="1" applyAlignment="1">
      <alignment horizontal="right"/>
    </xf>
    <xf numFmtId="0" fontId="16" fillId="0" borderId="0" xfId="0" applyFont="1"/>
    <xf numFmtId="164" fontId="16" fillId="0" borderId="0" xfId="0" applyNumberFormat="1" applyFont="1"/>
    <xf numFmtId="49" fontId="16" fillId="0" borderId="0" xfId="0" applyNumberFormat="1" applyFont="1" applyAlignment="1">
      <alignment horizontal="left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/>
    <xf numFmtId="0" fontId="15" fillId="0" borderId="0" xfId="0" applyFont="1" applyAlignment="1"/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5" fontId="18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4" fontId="3" fillId="0" borderId="0" xfId="0" applyNumberFormat="1" applyFont="1" applyFill="1"/>
    <xf numFmtId="0" fontId="4" fillId="0" borderId="0" xfId="0" applyFont="1" applyAlignment="1"/>
    <xf numFmtId="0" fontId="21" fillId="0" borderId="0" xfId="3" applyFont="1" applyFill="1" applyAlignment="1" applyProtection="1">
      <alignment horizontal="left"/>
    </xf>
    <xf numFmtId="0" fontId="21" fillId="0" borderId="0" xfId="3" applyFont="1" applyFill="1" applyAlignment="1" applyProtection="1">
      <alignment horizontal="center"/>
    </xf>
    <xf numFmtId="43" fontId="23" fillId="0" borderId="0" xfId="2" applyFont="1" applyFill="1" applyAlignment="1" applyProtection="1">
      <alignment horizontal="center"/>
    </xf>
    <xf numFmtId="43" fontId="24" fillId="0" borderId="0" xfId="2" applyFont="1" applyFill="1" applyAlignment="1" applyProtection="1">
      <alignment horizontal="center"/>
    </xf>
    <xf numFmtId="0" fontId="23" fillId="0" borderId="0" xfId="0" applyFont="1" applyFill="1" applyProtection="1"/>
    <xf numFmtId="0" fontId="23" fillId="0" borderId="0" xfId="0" applyFont="1" applyProtection="1"/>
    <xf numFmtId="0" fontId="25" fillId="0" borderId="0" xfId="3" applyFont="1" applyFill="1" applyAlignment="1" applyProtection="1">
      <alignment horizontal="left"/>
    </xf>
    <xf numFmtId="0" fontId="25" fillId="0" borderId="0" xfId="3" applyFont="1" applyFill="1" applyAlignment="1" applyProtection="1">
      <alignment horizontal="center"/>
    </xf>
    <xf numFmtId="15" fontId="21" fillId="0" borderId="0" xfId="3" applyNumberFormat="1" applyFont="1" applyFill="1" applyAlignment="1" applyProtection="1">
      <alignment horizontal="left"/>
    </xf>
    <xf numFmtId="15" fontId="21" fillId="0" borderId="0" xfId="3" applyNumberFormat="1" applyFont="1" applyFill="1" applyAlignment="1" applyProtection="1">
      <alignment horizontal="center"/>
    </xf>
    <xf numFmtId="0" fontId="24" fillId="0" borderId="0" xfId="0" applyFont="1"/>
    <xf numFmtId="43" fontId="23" fillId="0" borderId="0" xfId="2" applyFont="1"/>
    <xf numFmtId="43" fontId="24" fillId="0" borderId="0" xfId="2" applyFont="1"/>
    <xf numFmtId="43" fontId="23" fillId="0" borderId="0" xfId="2" applyFont="1" applyFill="1"/>
    <xf numFmtId="43" fontId="24" fillId="3" borderId="3" xfId="2" applyFont="1" applyFill="1" applyBorder="1" applyAlignment="1">
      <alignment horizontal="center" wrapText="1"/>
    </xf>
    <xf numFmtId="43" fontId="24" fillId="4" borderId="3" xfId="2" applyFont="1" applyFill="1" applyBorder="1" applyAlignment="1">
      <alignment horizontal="center" wrapText="1"/>
    </xf>
    <xf numFmtId="0" fontId="24" fillId="0" borderId="0" xfId="0" applyFont="1" applyFill="1"/>
    <xf numFmtId="0" fontId="26" fillId="4" borderId="3" xfId="0" applyFont="1" applyFill="1" applyBorder="1"/>
    <xf numFmtId="0" fontId="0" fillId="0" borderId="3" xfId="0" applyBorder="1"/>
    <xf numFmtId="0" fontId="23" fillId="5" borderId="3" xfId="0" applyFont="1" applyFill="1" applyBorder="1"/>
    <xf numFmtId="4" fontId="0" fillId="0" borderId="3" xfId="0" applyNumberFormat="1" applyBorder="1"/>
    <xf numFmtId="43" fontId="23" fillId="0" borderId="3" xfId="2" applyFont="1" applyBorder="1"/>
    <xf numFmtId="43" fontId="23" fillId="5" borderId="3" xfId="2" applyFont="1" applyFill="1" applyBorder="1"/>
    <xf numFmtId="43" fontId="27" fillId="5" borderId="3" xfId="2" applyFont="1" applyFill="1" applyBorder="1"/>
    <xf numFmtId="43" fontId="24" fillId="6" borderId="3" xfId="2" applyFont="1" applyFill="1" applyBorder="1"/>
    <xf numFmtId="43" fontId="23" fillId="7" borderId="3" xfId="2" applyFont="1" applyFill="1" applyBorder="1"/>
    <xf numFmtId="0" fontId="0" fillId="8" borderId="3" xfId="0" applyFill="1" applyBorder="1"/>
    <xf numFmtId="43" fontId="23" fillId="8" borderId="3" xfId="2" applyFont="1" applyFill="1" applyBorder="1" applyAlignment="1">
      <alignment horizontal="center"/>
    </xf>
    <xf numFmtId="0" fontId="23" fillId="0" borderId="3" xfId="0" applyFont="1" applyBorder="1"/>
    <xf numFmtId="43" fontId="23" fillId="0" borderId="3" xfId="2" applyFont="1" applyFill="1" applyBorder="1" applyAlignment="1">
      <alignment horizontal="center"/>
    </xf>
    <xf numFmtId="43" fontId="23" fillId="9" borderId="3" xfId="2" applyFont="1" applyFill="1" applyBorder="1" applyAlignment="1">
      <alignment horizontal="center"/>
    </xf>
    <xf numFmtId="0" fontId="23" fillId="0" borderId="0" xfId="0" applyFont="1" applyFill="1"/>
    <xf numFmtId="43" fontId="22" fillId="0" borderId="3" xfId="2" applyFont="1" applyBorder="1"/>
    <xf numFmtId="2" fontId="0" fillId="8" borderId="3" xfId="0" applyNumberFormat="1" applyFill="1" applyBorder="1"/>
    <xf numFmtId="2" fontId="0" fillId="0" borderId="3" xfId="0" applyNumberFormat="1" applyBorder="1"/>
    <xf numFmtId="0" fontId="24" fillId="0" borderId="3" xfId="0" applyFont="1" applyFill="1" applyBorder="1"/>
    <xf numFmtId="0" fontId="23" fillId="0" borderId="4" xfId="0" applyFont="1" applyFill="1" applyBorder="1"/>
    <xf numFmtId="43" fontId="23" fillId="0" borderId="4" xfId="2" applyFont="1" applyFill="1" applyBorder="1"/>
    <xf numFmtId="43" fontId="24" fillId="0" borderId="3" xfId="2" applyFont="1" applyFill="1" applyBorder="1"/>
    <xf numFmtId="43" fontId="24" fillId="0" borderId="4" xfId="2" applyFont="1" applyFill="1" applyBorder="1"/>
    <xf numFmtId="0" fontId="23" fillId="0" borderId="0" xfId="0" applyFont="1"/>
    <xf numFmtId="0" fontId="24" fillId="0" borderId="5" xfId="0" applyFont="1" applyBorder="1"/>
    <xf numFmtId="43" fontId="24" fillId="0" borderId="5" xfId="2" applyFont="1" applyBorder="1"/>
    <xf numFmtId="43" fontId="24" fillId="0" borderId="5" xfId="2" applyFont="1" applyFill="1" applyBorder="1"/>
    <xf numFmtId="43" fontId="23" fillId="0" borderId="3" xfId="2" applyFont="1" applyFill="1" applyBorder="1"/>
    <xf numFmtId="43" fontId="23" fillId="11" borderId="3" xfId="2" applyFont="1" applyFill="1" applyBorder="1" applyAlignment="1">
      <alignment horizontal="center"/>
    </xf>
    <xf numFmtId="43" fontId="3" fillId="0" borderId="0" xfId="0" applyNumberFormat="1" applyFont="1" applyFill="1"/>
    <xf numFmtId="164" fontId="8" fillId="12" borderId="2" xfId="0" applyNumberFormat="1" applyFont="1" applyFill="1" applyBorder="1"/>
    <xf numFmtId="0" fontId="0" fillId="0" borderId="8" xfId="0" applyBorder="1"/>
    <xf numFmtId="14" fontId="0" fillId="0" borderId="8" xfId="0" applyNumberFormat="1" applyBorder="1"/>
    <xf numFmtId="0" fontId="28" fillId="0" borderId="8" xfId="0" applyFont="1" applyBorder="1" applyAlignment="1">
      <alignment horizontal="center"/>
    </xf>
    <xf numFmtId="43" fontId="0" fillId="0" borderId="8" xfId="2" applyFont="1" applyBorder="1"/>
    <xf numFmtId="43" fontId="24" fillId="3" borderId="3" xfId="2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3" fontId="24" fillId="3" borderId="3" xfId="0" applyNumberFormat="1" applyFont="1" applyFill="1" applyBorder="1"/>
    <xf numFmtId="0" fontId="6" fillId="12" borderId="7" xfId="0" applyFont="1" applyFill="1" applyBorder="1" applyAlignment="1">
      <alignment horizontal="center"/>
    </xf>
    <xf numFmtId="0" fontId="24" fillId="10" borderId="6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/>
  </cellXfs>
  <cellStyles count="4">
    <cellStyle name="Millares" xfId="2" builtinId="3"/>
    <cellStyle name="Moneda" xfId="1" builtinId="4"/>
    <cellStyle name="Normal" xfId="0" builtinId="0"/>
    <cellStyle name="Normal_Hoja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9"/>
  <sheetViews>
    <sheetView workbookViewId="0">
      <pane xSplit="2" ySplit="9" topLeftCell="C10" activePane="bottomRight" state="frozen"/>
      <selection pane="topRight" activeCell="C1" sqref="C1"/>
      <selection pane="bottomLeft" activeCell="A13" sqref="A13"/>
      <selection pane="bottomRight" activeCell="W10" sqref="W10"/>
    </sheetView>
  </sheetViews>
  <sheetFormatPr baseColWidth="10" defaultRowHeight="11.25"/>
  <cols>
    <col min="1" max="1" width="12.28515625" style="6" customWidth="1"/>
    <col min="2" max="2" width="30.7109375" style="3" customWidth="1"/>
    <col min="3" max="3" width="13" style="3" bestFit="1" customWidth="1"/>
    <col min="4" max="11" width="13" style="3" customWidth="1"/>
    <col min="12" max="12" width="13.5703125" style="3" bestFit="1" customWidth="1"/>
    <col min="13" max="17" width="13" style="3" bestFit="1" customWidth="1"/>
    <col min="18" max="20" width="11.42578125" style="3"/>
    <col min="21" max="21" width="35.28515625" style="3" bestFit="1" customWidth="1"/>
    <col min="22" max="49" width="11.42578125" style="3" customWidth="1"/>
    <col min="50" max="16384" width="11.42578125" style="3"/>
  </cols>
  <sheetData>
    <row r="1" spans="1:52" ht="18" customHeight="1">
      <c r="A1" s="1" t="s">
        <v>0</v>
      </c>
      <c r="B1" s="103" t="s">
        <v>7</v>
      </c>
      <c r="C1" s="104"/>
      <c r="D1" s="2"/>
      <c r="E1" s="2"/>
      <c r="F1" s="2"/>
      <c r="G1" s="18"/>
      <c r="H1" s="49"/>
      <c r="I1" s="49"/>
      <c r="J1" s="49"/>
      <c r="K1" s="49"/>
      <c r="T1" s="50" t="s">
        <v>57</v>
      </c>
      <c r="U1" s="50"/>
      <c r="V1" s="50"/>
      <c r="W1" s="51"/>
      <c r="X1" s="51"/>
      <c r="Y1" s="51"/>
      <c r="Z1" s="51"/>
      <c r="AA1" s="51"/>
      <c r="AB1" s="52"/>
      <c r="AC1" s="52"/>
      <c r="AD1" s="52"/>
      <c r="AE1" s="52"/>
      <c r="AF1" s="52"/>
      <c r="AG1" s="53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3"/>
      <c r="AS1" s="52"/>
      <c r="AT1" s="53"/>
      <c r="AU1" s="52"/>
      <c r="AV1" s="52"/>
      <c r="AW1" s="53"/>
      <c r="AX1" s="54"/>
      <c r="AY1" s="55"/>
      <c r="AZ1" s="55"/>
    </row>
    <row r="2" spans="1:52" ht="24.95" customHeight="1">
      <c r="A2" s="4" t="s">
        <v>1</v>
      </c>
      <c r="B2" s="40" t="s">
        <v>42</v>
      </c>
      <c r="C2" s="40"/>
      <c r="D2" s="5"/>
      <c r="E2" s="5"/>
      <c r="F2" s="5"/>
      <c r="G2" s="5"/>
      <c r="H2" s="5"/>
      <c r="I2" s="5"/>
      <c r="J2" s="5"/>
      <c r="K2" s="5"/>
      <c r="T2" s="56" t="s">
        <v>58</v>
      </c>
      <c r="U2" s="56"/>
      <c r="V2" s="56"/>
      <c r="W2" s="57"/>
      <c r="X2" s="57"/>
      <c r="Y2" s="57"/>
      <c r="Z2" s="57"/>
      <c r="AA2" s="57"/>
      <c r="AB2" s="52"/>
      <c r="AC2" s="52"/>
      <c r="AD2" s="52"/>
      <c r="AE2" s="52"/>
      <c r="AF2" s="52"/>
      <c r="AG2" s="53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3"/>
      <c r="AS2" s="52"/>
      <c r="AT2" s="53"/>
      <c r="AU2" s="52"/>
      <c r="AV2" s="52"/>
      <c r="AW2" s="53"/>
      <c r="AX2" s="54"/>
      <c r="AY2" s="55"/>
      <c r="AZ2" s="55"/>
    </row>
    <row r="3" spans="1:52" ht="15.75">
      <c r="B3" s="42" t="s">
        <v>2</v>
      </c>
      <c r="C3" s="42"/>
      <c r="D3" s="2"/>
      <c r="E3" s="2"/>
      <c r="F3" s="2"/>
      <c r="G3" s="18"/>
      <c r="H3" s="49"/>
      <c r="I3" s="49"/>
      <c r="J3" s="49"/>
      <c r="K3" s="49"/>
      <c r="T3" s="58" t="s">
        <v>59</v>
      </c>
      <c r="U3" s="58"/>
      <c r="V3" s="58"/>
      <c r="W3" s="59"/>
      <c r="X3" s="59"/>
      <c r="Y3" s="59"/>
      <c r="Z3" s="59"/>
      <c r="AA3" s="59"/>
      <c r="AB3" s="52"/>
      <c r="AC3" s="52"/>
      <c r="AD3" s="52"/>
      <c r="AE3" s="52"/>
      <c r="AF3" s="52"/>
      <c r="AG3" s="53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3"/>
      <c r="AS3" s="52"/>
      <c r="AT3" s="53"/>
      <c r="AU3" s="52"/>
      <c r="AV3" s="52"/>
      <c r="AW3" s="53"/>
      <c r="AX3" s="54"/>
      <c r="AY3" s="55"/>
      <c r="AZ3" s="55"/>
    </row>
    <row r="4" spans="1:52" ht="15.75">
      <c r="B4" s="43" t="s">
        <v>43</v>
      </c>
      <c r="C4" s="43"/>
      <c r="D4" s="2"/>
      <c r="E4" s="2"/>
      <c r="F4" s="2"/>
      <c r="G4" s="18"/>
      <c r="H4" s="49"/>
      <c r="I4" s="49"/>
      <c r="J4" s="49"/>
      <c r="K4" s="49"/>
      <c r="T4" s="58"/>
      <c r="U4" s="58"/>
      <c r="V4" s="58"/>
      <c r="W4" s="59"/>
      <c r="X4" s="59"/>
      <c r="Y4" s="59"/>
      <c r="Z4" s="59"/>
      <c r="AA4" s="59"/>
      <c r="AB4" s="52"/>
      <c r="AC4" s="52"/>
      <c r="AD4" s="52"/>
      <c r="AE4" s="52"/>
      <c r="AF4" s="52"/>
      <c r="AG4" s="53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3"/>
      <c r="AS4" s="52"/>
      <c r="AT4" s="53"/>
      <c r="AU4" s="52"/>
      <c r="AV4" s="52"/>
      <c r="AW4" s="53"/>
      <c r="AX4" s="60"/>
      <c r="AY4" s="60"/>
      <c r="AZ4" s="60"/>
    </row>
    <row r="5" spans="1:52" ht="15.75">
      <c r="B5" s="27" t="s">
        <v>44</v>
      </c>
      <c r="C5" s="27"/>
      <c r="T5" s="58"/>
      <c r="U5" s="58"/>
      <c r="V5" s="58"/>
      <c r="W5" s="59"/>
      <c r="X5" s="59"/>
      <c r="Y5" s="59"/>
      <c r="Z5" s="59"/>
      <c r="AA5" s="59"/>
      <c r="AB5" s="52"/>
      <c r="AC5" s="52"/>
      <c r="AD5" s="52"/>
      <c r="AE5" s="52"/>
      <c r="AF5" s="52"/>
      <c r="AG5" s="53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3"/>
      <c r="AS5" s="52"/>
      <c r="AT5" s="53"/>
      <c r="AU5" s="52"/>
      <c r="AV5" s="52"/>
      <c r="AW5" s="53"/>
      <c r="AX5" s="66"/>
      <c r="AY5" s="66"/>
      <c r="AZ5" s="66"/>
    </row>
    <row r="6" spans="1:52" ht="15.75">
      <c r="B6" s="27" t="s">
        <v>45</v>
      </c>
      <c r="C6" s="27"/>
      <c r="T6" s="58"/>
      <c r="U6" s="58"/>
      <c r="V6" s="58"/>
      <c r="W6" s="59"/>
      <c r="X6" s="59"/>
      <c r="Y6" s="59"/>
      <c r="Z6" s="59"/>
      <c r="AA6" s="59"/>
      <c r="AB6" s="52"/>
      <c r="AC6" s="52"/>
      <c r="AD6" s="52"/>
      <c r="AE6" s="52"/>
      <c r="AF6" s="52"/>
      <c r="AG6" s="53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3"/>
      <c r="AS6" s="52"/>
      <c r="AT6" s="53"/>
      <c r="AU6" s="52"/>
      <c r="AV6" s="52"/>
      <c r="AW6" s="53"/>
      <c r="AX6" s="66"/>
      <c r="AY6" s="66"/>
      <c r="AZ6" s="66"/>
    </row>
    <row r="7" spans="1:52" ht="15.75">
      <c r="C7" s="3" t="s">
        <v>10</v>
      </c>
      <c r="T7" s="60"/>
      <c r="U7" s="60"/>
      <c r="V7" s="60"/>
      <c r="W7" s="60"/>
      <c r="X7" s="60"/>
      <c r="Y7" s="60"/>
      <c r="Z7" s="60"/>
      <c r="AA7" s="60"/>
      <c r="AB7" s="61"/>
      <c r="AC7" s="61"/>
      <c r="AD7" s="61"/>
      <c r="AE7" s="61"/>
      <c r="AF7" s="61"/>
      <c r="AG7" s="62"/>
      <c r="AH7" s="61"/>
      <c r="AI7" s="61"/>
      <c r="AJ7" s="63"/>
      <c r="AK7" s="63"/>
      <c r="AL7" s="63"/>
      <c r="AM7" s="63"/>
      <c r="AN7" s="61"/>
      <c r="AO7" s="61"/>
      <c r="AP7" s="61"/>
      <c r="AQ7" s="61"/>
      <c r="AR7" s="62"/>
      <c r="AS7" s="61"/>
      <c r="AT7" s="62"/>
      <c r="AU7" s="61"/>
      <c r="AV7" s="61"/>
      <c r="AW7" s="62"/>
      <c r="AX7" s="81"/>
      <c r="AY7" s="81"/>
      <c r="AZ7" s="81"/>
    </row>
    <row r="8" spans="1:52" s="17" customFormat="1" ht="23.25" customHeight="1" thickBot="1">
      <c r="A8" s="16" t="s">
        <v>3</v>
      </c>
      <c r="B8" s="7" t="s">
        <v>4</v>
      </c>
      <c r="C8" s="7" t="s">
        <v>9</v>
      </c>
      <c r="D8" s="7" t="s">
        <v>16</v>
      </c>
      <c r="E8" s="7" t="s">
        <v>11</v>
      </c>
      <c r="F8" s="7" t="s">
        <v>17</v>
      </c>
      <c r="G8" s="7" t="s">
        <v>20</v>
      </c>
      <c r="H8" s="7" t="s">
        <v>87</v>
      </c>
      <c r="I8" s="7" t="s">
        <v>88</v>
      </c>
      <c r="J8" s="7" t="s">
        <v>74</v>
      </c>
      <c r="K8" s="7" t="s">
        <v>77</v>
      </c>
      <c r="L8" s="7" t="s">
        <v>103</v>
      </c>
      <c r="M8" s="7" t="s">
        <v>12</v>
      </c>
      <c r="N8" s="7" t="s">
        <v>13</v>
      </c>
      <c r="O8" s="7" t="s">
        <v>14</v>
      </c>
      <c r="P8" s="7" t="s">
        <v>8</v>
      </c>
      <c r="Q8" s="7" t="s">
        <v>15</v>
      </c>
      <c r="T8" s="105" t="s">
        <v>60</v>
      </c>
      <c r="U8" s="105" t="s">
        <v>61</v>
      </c>
      <c r="V8" s="105" t="s">
        <v>62</v>
      </c>
      <c r="W8" s="105" t="s">
        <v>63</v>
      </c>
      <c r="X8" s="102" t="s">
        <v>64</v>
      </c>
      <c r="Y8" s="102" t="s">
        <v>65</v>
      </c>
      <c r="Z8" s="64"/>
      <c r="AA8" s="64"/>
      <c r="AB8" s="102" t="s">
        <v>66</v>
      </c>
      <c r="AC8" s="64"/>
      <c r="AD8" s="102" t="s">
        <v>67</v>
      </c>
      <c r="AE8" s="102" t="s">
        <v>68</v>
      </c>
      <c r="AF8" s="102" t="s">
        <v>69</v>
      </c>
      <c r="AG8" s="102" t="s">
        <v>70</v>
      </c>
      <c r="AH8" s="102" t="s">
        <v>71</v>
      </c>
      <c r="AI8" s="64"/>
      <c r="AJ8" s="65"/>
      <c r="AK8" s="65"/>
      <c r="AL8" s="65"/>
      <c r="AM8" s="65"/>
      <c r="AN8" s="102" t="s">
        <v>72</v>
      </c>
      <c r="AO8" s="102" t="s">
        <v>73</v>
      </c>
      <c r="AP8" s="102" t="s">
        <v>74</v>
      </c>
      <c r="AQ8" s="102" t="s">
        <v>75</v>
      </c>
      <c r="AR8" s="102" t="s">
        <v>76</v>
      </c>
      <c r="AS8" s="102" t="s">
        <v>77</v>
      </c>
      <c r="AT8" s="102" t="s">
        <v>78</v>
      </c>
      <c r="AU8" s="102" t="s">
        <v>79</v>
      </c>
      <c r="AV8" s="102" t="s">
        <v>80</v>
      </c>
      <c r="AW8" s="102" t="s">
        <v>81</v>
      </c>
      <c r="AX8" s="81"/>
      <c r="AY8" s="81"/>
      <c r="AZ8" s="81"/>
    </row>
    <row r="9" spans="1:52" ht="63.75" thickTop="1">
      <c r="A9" s="8"/>
      <c r="T9" s="105"/>
      <c r="U9" s="105"/>
      <c r="V9" s="105"/>
      <c r="W9" s="105"/>
      <c r="X9" s="102"/>
      <c r="Y9" s="102"/>
      <c r="Z9" s="64" t="s">
        <v>82</v>
      </c>
      <c r="AA9" s="64" t="s">
        <v>83</v>
      </c>
      <c r="AB9" s="102"/>
      <c r="AC9" s="64" t="s">
        <v>84</v>
      </c>
      <c r="AD9" s="102"/>
      <c r="AE9" s="102"/>
      <c r="AF9" s="102"/>
      <c r="AG9" s="102"/>
      <c r="AH9" s="102"/>
      <c r="AI9" s="64" t="s">
        <v>85</v>
      </c>
      <c r="AJ9" s="67" t="s">
        <v>86</v>
      </c>
      <c r="AK9" s="67" t="s">
        <v>87</v>
      </c>
      <c r="AL9" s="67" t="s">
        <v>88</v>
      </c>
      <c r="AM9" s="67" t="s">
        <v>89</v>
      </c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81"/>
      <c r="AY9" s="81"/>
      <c r="AZ9" s="81"/>
    </row>
    <row r="10" spans="1:52" s="10" customFormat="1" ht="15.75">
      <c r="A10" s="20" t="s">
        <v>24</v>
      </c>
      <c r="B10" s="10" t="s">
        <v>21</v>
      </c>
      <c r="C10" s="11">
        <f>+Z10</f>
        <v>2333.33</v>
      </c>
      <c r="D10" s="11">
        <v>0</v>
      </c>
      <c r="E10" s="11">
        <f>+AC10</f>
        <v>0</v>
      </c>
      <c r="F10" s="11">
        <v>0</v>
      </c>
      <c r="G10" s="11">
        <f>+AI10</f>
        <v>0</v>
      </c>
      <c r="H10" s="11">
        <f>+AK10</f>
        <v>0</v>
      </c>
      <c r="I10" s="11">
        <f>+AL10</f>
        <v>0</v>
      </c>
      <c r="J10" s="11">
        <f>+AP10</f>
        <v>0</v>
      </c>
      <c r="K10" s="11">
        <f>+AS10</f>
        <v>0</v>
      </c>
      <c r="L10" s="11">
        <f>+C10+D10+E10-F10-G10-H10-I10-J10-K10</f>
        <v>2333.33</v>
      </c>
      <c r="M10" s="11">
        <f>+AU10</f>
        <v>233.333</v>
      </c>
      <c r="N10" s="11">
        <f>+'C&amp;A'!E10*0.02</f>
        <v>10.2256</v>
      </c>
      <c r="O10" s="11">
        <f>+C10+E10-G10+M10+N10</f>
        <v>2576.8886000000002</v>
      </c>
      <c r="P10" s="11">
        <f>+O10*0.16</f>
        <v>412.30217600000003</v>
      </c>
      <c r="Q10" s="11">
        <f>+O10+P10</f>
        <v>2989.1907760000004</v>
      </c>
      <c r="R10" s="48">
        <f>+L10-'C&amp;A'!I10-SINDICATO!M10</f>
        <v>0</v>
      </c>
      <c r="S10" s="96">
        <f>+C10+D10+E10-'C&amp;A'!I10-SINDICATO!M10</f>
        <v>0</v>
      </c>
      <c r="T10" s="68" t="s">
        <v>90</v>
      </c>
      <c r="U10" s="68" t="s">
        <v>91</v>
      </c>
      <c r="V10" s="68" t="s">
        <v>24</v>
      </c>
      <c r="W10" s="68" t="s">
        <v>92</v>
      </c>
      <c r="X10" s="69"/>
      <c r="Y10" s="69"/>
      <c r="Z10" s="70">
        <v>2333.33</v>
      </c>
      <c r="AA10" s="70"/>
      <c r="AB10" s="71">
        <f>+Z10+AA10</f>
        <v>2333.33</v>
      </c>
      <c r="AC10" s="71">
        <v>0</v>
      </c>
      <c r="AD10" s="72"/>
      <c r="AE10" s="72"/>
      <c r="AF10" s="73"/>
      <c r="AG10" s="74">
        <f t="shared" ref="AG10:AG14" si="0">SUM(AB10:AE10)-AF10</f>
        <v>2333.33</v>
      </c>
      <c r="AH10" s="75"/>
      <c r="AI10" s="76"/>
      <c r="AJ10" s="76">
        <v>0</v>
      </c>
      <c r="AK10" s="76"/>
      <c r="AL10" s="76"/>
      <c r="AM10" s="76"/>
      <c r="AN10" s="77"/>
      <c r="AO10" s="77"/>
      <c r="AP10" s="68"/>
      <c r="AQ10" s="78"/>
      <c r="AR10" s="74">
        <f t="shared" ref="AR10:AR14" si="1">+AG10-SUM(AH10:AQ10)</f>
        <v>2333.33</v>
      </c>
      <c r="AS10" s="79">
        <f t="shared" ref="AS10:AS14" si="2">IF(AG10&gt;4500,AG10*0.1,0)</f>
        <v>0</v>
      </c>
      <c r="AT10" s="74">
        <f t="shared" ref="AT10:AT14" si="3">+AR10-AS10</f>
        <v>2333.33</v>
      </c>
      <c r="AU10" s="80">
        <f t="shared" ref="AU10:AU14" si="4">IF(AG10&lt;4500,AG10*0.1,0)</f>
        <v>233.333</v>
      </c>
      <c r="AV10" s="79">
        <f t="shared" ref="AV10:AV14" si="5">Z10*0.02</f>
        <v>46.666600000000003</v>
      </c>
      <c r="AW10" s="74">
        <f>+AG10+AU10+AV10</f>
        <v>2613.3296</v>
      </c>
      <c r="AX10" s="81"/>
      <c r="AY10" s="81"/>
      <c r="AZ10" s="81"/>
    </row>
    <row r="11" spans="1:52" s="10" customFormat="1" ht="15.75">
      <c r="A11" s="20" t="s">
        <v>25</v>
      </c>
      <c r="B11" s="10" t="s">
        <v>22</v>
      </c>
      <c r="C11" s="11">
        <f t="shared" ref="C11:C14" si="6">+Z11</f>
        <v>1400</v>
      </c>
      <c r="D11" s="11">
        <v>0</v>
      </c>
      <c r="E11" s="11">
        <f t="shared" ref="E11:E14" si="7">+AC11</f>
        <v>0</v>
      </c>
      <c r="F11" s="11">
        <v>0</v>
      </c>
      <c r="G11" s="11">
        <f t="shared" ref="G11:G14" si="8">+AI11</f>
        <v>0</v>
      </c>
      <c r="H11" s="11">
        <f t="shared" ref="H11:H14" si="9">+AK11</f>
        <v>0</v>
      </c>
      <c r="I11" s="11">
        <f t="shared" ref="I11:I14" si="10">+AL11</f>
        <v>0</v>
      </c>
      <c r="J11" s="11">
        <f t="shared" ref="J11:J14" si="11">+AP11</f>
        <v>0</v>
      </c>
      <c r="K11" s="11">
        <f>+AS11</f>
        <v>0</v>
      </c>
      <c r="L11" s="11">
        <f t="shared" ref="L11:L14" si="12">+C11+D11+E11-F11-G11-H11-I11-J11-K11</f>
        <v>1400</v>
      </c>
      <c r="M11" s="11">
        <f t="shared" ref="M11:M14" si="13">+AU11</f>
        <v>140</v>
      </c>
      <c r="N11" s="11">
        <f>+'C&amp;A'!E11*0.02</f>
        <v>10.2256</v>
      </c>
      <c r="O11" s="11">
        <f t="shared" ref="O11:O14" si="14">+C11+E11-G11+M11+N11</f>
        <v>1550.2256</v>
      </c>
      <c r="P11" s="11">
        <f t="shared" ref="P11:P14" si="15">+O11*0.16</f>
        <v>248.03609600000001</v>
      </c>
      <c r="Q11" s="11">
        <f t="shared" ref="Q11:Q14" si="16">+O11+P11</f>
        <v>1798.261696</v>
      </c>
      <c r="R11" s="48">
        <f>+L11-'C&amp;A'!I11-SINDICATO!M11</f>
        <v>0</v>
      </c>
      <c r="S11" s="96">
        <f>+C11+D11+E11-'C&amp;A'!I11-SINDICATO!M11</f>
        <v>0</v>
      </c>
      <c r="T11" s="68" t="s">
        <v>93</v>
      </c>
      <c r="U11" s="68" t="s">
        <v>94</v>
      </c>
      <c r="V11" s="68" t="s">
        <v>25</v>
      </c>
      <c r="W11" s="68" t="s">
        <v>95</v>
      </c>
      <c r="X11" s="69"/>
      <c r="Y11" s="69"/>
      <c r="Z11" s="70">
        <v>1400</v>
      </c>
      <c r="AA11" s="69"/>
      <c r="AB11" s="71">
        <f>+Z11+AA11</f>
        <v>1400</v>
      </c>
      <c r="AC11" s="71">
        <v>0</v>
      </c>
      <c r="AD11" s="72"/>
      <c r="AE11" s="72"/>
      <c r="AF11" s="73"/>
      <c r="AG11" s="74">
        <f t="shared" si="0"/>
        <v>1400</v>
      </c>
      <c r="AH11" s="75"/>
      <c r="AI11" s="76"/>
      <c r="AJ11" s="76">
        <v>0</v>
      </c>
      <c r="AK11" s="76"/>
      <c r="AL11" s="76"/>
      <c r="AM11" s="76"/>
      <c r="AN11" s="77"/>
      <c r="AO11" s="77"/>
      <c r="AP11" s="68"/>
      <c r="AQ11" s="78"/>
      <c r="AR11" s="74">
        <f t="shared" si="1"/>
        <v>1400</v>
      </c>
      <c r="AS11" s="79">
        <f t="shared" si="2"/>
        <v>0</v>
      </c>
      <c r="AT11" s="74">
        <f t="shared" si="3"/>
        <v>1400</v>
      </c>
      <c r="AU11" s="80">
        <f t="shared" si="4"/>
        <v>140</v>
      </c>
      <c r="AV11" s="79">
        <f t="shared" si="5"/>
        <v>28</v>
      </c>
      <c r="AW11" s="74">
        <f t="shared" ref="AW11:AW14" si="17">+AG11+AU11+AV11</f>
        <v>1568</v>
      </c>
      <c r="AX11" s="81"/>
      <c r="AY11" s="81"/>
      <c r="AZ11" s="81"/>
    </row>
    <row r="12" spans="1:52" s="10" customFormat="1" ht="15.75">
      <c r="A12" s="20" t="s">
        <v>26</v>
      </c>
      <c r="B12" s="10" t="s">
        <v>23</v>
      </c>
      <c r="C12" s="11">
        <f t="shared" si="6"/>
        <v>1400</v>
      </c>
      <c r="D12" s="11">
        <v>0</v>
      </c>
      <c r="E12" s="11">
        <f t="shared" si="7"/>
        <v>0</v>
      </c>
      <c r="F12" s="11">
        <v>0</v>
      </c>
      <c r="G12" s="11">
        <f t="shared" si="8"/>
        <v>0</v>
      </c>
      <c r="H12" s="11">
        <f t="shared" si="9"/>
        <v>0</v>
      </c>
      <c r="I12" s="11">
        <f t="shared" si="10"/>
        <v>0</v>
      </c>
      <c r="J12" s="11">
        <f t="shared" si="11"/>
        <v>0</v>
      </c>
      <c r="K12" s="11">
        <f>+AS12</f>
        <v>0</v>
      </c>
      <c r="L12" s="11">
        <f t="shared" si="12"/>
        <v>1400</v>
      </c>
      <c r="M12" s="11">
        <f t="shared" si="13"/>
        <v>140</v>
      </c>
      <c r="N12" s="11">
        <f>+'C&amp;A'!E12*0.02</f>
        <v>10.2256</v>
      </c>
      <c r="O12" s="11">
        <f t="shared" si="14"/>
        <v>1550.2256</v>
      </c>
      <c r="P12" s="11">
        <f t="shared" si="15"/>
        <v>248.03609600000001</v>
      </c>
      <c r="Q12" s="11">
        <f t="shared" si="16"/>
        <v>1798.261696</v>
      </c>
      <c r="R12" s="48">
        <f>+L12-'C&amp;A'!I12-SINDICATO!M12</f>
        <v>0</v>
      </c>
      <c r="S12" s="96">
        <f>+C12+D12+E12-'C&amp;A'!I12-SINDICATO!M12</f>
        <v>0</v>
      </c>
      <c r="T12" s="68" t="s">
        <v>93</v>
      </c>
      <c r="U12" s="68" t="s">
        <v>96</v>
      </c>
      <c r="V12" s="68" t="s">
        <v>26</v>
      </c>
      <c r="W12" s="68" t="s">
        <v>95</v>
      </c>
      <c r="X12" s="69"/>
      <c r="Y12" s="69"/>
      <c r="Z12" s="82">
        <v>1400</v>
      </c>
      <c r="AA12" s="69"/>
      <c r="AB12" s="71">
        <f>+Z12+AA12</f>
        <v>1400</v>
      </c>
      <c r="AC12" s="71">
        <v>0</v>
      </c>
      <c r="AD12" s="72"/>
      <c r="AE12" s="72"/>
      <c r="AF12" s="73"/>
      <c r="AG12" s="74">
        <f t="shared" si="0"/>
        <v>1400</v>
      </c>
      <c r="AH12" s="75"/>
      <c r="AI12" s="76"/>
      <c r="AJ12" s="76">
        <v>0</v>
      </c>
      <c r="AK12" s="76"/>
      <c r="AL12" s="76"/>
      <c r="AM12" s="76"/>
      <c r="AN12" s="77"/>
      <c r="AO12" s="77"/>
      <c r="AP12" s="68"/>
      <c r="AQ12" s="78"/>
      <c r="AR12" s="74">
        <f t="shared" si="1"/>
        <v>1400</v>
      </c>
      <c r="AS12" s="79">
        <f t="shared" si="2"/>
        <v>0</v>
      </c>
      <c r="AT12" s="74">
        <f t="shared" si="3"/>
        <v>1400</v>
      </c>
      <c r="AU12" s="80">
        <f t="shared" si="4"/>
        <v>140</v>
      </c>
      <c r="AV12" s="79">
        <f t="shared" si="5"/>
        <v>28</v>
      </c>
      <c r="AW12" s="74">
        <f t="shared" si="17"/>
        <v>1568</v>
      </c>
      <c r="AX12" s="81"/>
      <c r="AY12" s="81"/>
      <c r="AZ12" s="81"/>
    </row>
    <row r="13" spans="1:52" s="10" customFormat="1" ht="15.75">
      <c r="A13" s="20" t="s">
        <v>27</v>
      </c>
      <c r="B13" s="10" t="s">
        <v>18</v>
      </c>
      <c r="C13" s="11">
        <f t="shared" si="6"/>
        <v>590.45000000000005</v>
      </c>
      <c r="D13" s="11">
        <v>0</v>
      </c>
      <c r="E13" s="11">
        <f t="shared" si="7"/>
        <v>4494.07</v>
      </c>
      <c r="F13" s="11">
        <v>0</v>
      </c>
      <c r="G13" s="11">
        <f t="shared" si="8"/>
        <v>341.33</v>
      </c>
      <c r="H13" s="11">
        <f t="shared" si="9"/>
        <v>249.14147999999997</v>
      </c>
      <c r="I13" s="11">
        <f t="shared" si="10"/>
        <v>5.0845199999999995</v>
      </c>
      <c r="J13" s="11">
        <f t="shared" si="11"/>
        <v>296.2</v>
      </c>
      <c r="K13" s="11">
        <f>+AS13</f>
        <v>508.452</v>
      </c>
      <c r="L13" s="11">
        <f t="shared" si="12"/>
        <v>3684.311999999999</v>
      </c>
      <c r="M13" s="11">
        <f t="shared" si="13"/>
        <v>0</v>
      </c>
      <c r="N13" s="11">
        <f>+'C&amp;A'!E13*0.02</f>
        <v>10.2256</v>
      </c>
      <c r="O13" s="11">
        <f t="shared" si="14"/>
        <v>4753.4155999999994</v>
      </c>
      <c r="P13" s="11">
        <f t="shared" si="15"/>
        <v>760.54649599999993</v>
      </c>
      <c r="Q13" s="11">
        <f t="shared" si="16"/>
        <v>5513.9620959999993</v>
      </c>
      <c r="R13" s="48">
        <f>+L13-'C&amp;A'!I13-SINDICATO!M13</f>
        <v>0</v>
      </c>
      <c r="S13" s="96">
        <f>+C13+D13+E13-'C&amp;A'!I13-SINDICATO!M13</f>
        <v>1400.2080000000014</v>
      </c>
      <c r="T13" s="68" t="s">
        <v>97</v>
      </c>
      <c r="U13" s="68" t="s">
        <v>98</v>
      </c>
      <c r="V13" s="68" t="s">
        <v>27</v>
      </c>
      <c r="W13" s="68" t="s">
        <v>99</v>
      </c>
      <c r="X13" s="69"/>
      <c r="Y13" s="69"/>
      <c r="Z13" s="68">
        <v>590.45000000000005</v>
      </c>
      <c r="AA13" s="69"/>
      <c r="AB13" s="71">
        <f>+Z13+AA13</f>
        <v>590.45000000000005</v>
      </c>
      <c r="AC13" s="71">
        <f>3558.15+935.92</f>
        <v>4494.07</v>
      </c>
      <c r="AD13" s="72"/>
      <c r="AE13" s="72"/>
      <c r="AF13" s="73"/>
      <c r="AG13" s="74">
        <f t="shared" si="0"/>
        <v>5084.5199999999995</v>
      </c>
      <c r="AH13" s="75"/>
      <c r="AI13" s="83">
        <v>341.33</v>
      </c>
      <c r="AJ13" s="76">
        <v>0</v>
      </c>
      <c r="AK13" s="83">
        <f>+AG13*4.9%</f>
        <v>249.14147999999997</v>
      </c>
      <c r="AL13" s="83">
        <f>+AG13*0.1%</f>
        <v>5.0845199999999995</v>
      </c>
      <c r="AM13" s="76"/>
      <c r="AN13" s="77"/>
      <c r="AO13" s="77"/>
      <c r="AP13" s="84">
        <v>296.2</v>
      </c>
      <c r="AQ13" s="78"/>
      <c r="AR13" s="74">
        <f t="shared" si="1"/>
        <v>4192.7639999999992</v>
      </c>
      <c r="AS13" s="79">
        <f t="shared" si="2"/>
        <v>508.452</v>
      </c>
      <c r="AT13" s="74">
        <f t="shared" si="3"/>
        <v>3684.311999999999</v>
      </c>
      <c r="AU13" s="80">
        <f t="shared" si="4"/>
        <v>0</v>
      </c>
      <c r="AV13" s="79">
        <f t="shared" si="5"/>
        <v>11.809000000000001</v>
      </c>
      <c r="AW13" s="74">
        <f t="shared" si="17"/>
        <v>5096.3289999999997</v>
      </c>
      <c r="AX13" s="90"/>
      <c r="AY13" s="90"/>
      <c r="AZ13" s="90"/>
    </row>
    <row r="14" spans="1:52" s="10" customFormat="1" ht="15.75">
      <c r="A14" s="20" t="s">
        <v>28</v>
      </c>
      <c r="B14" s="10" t="s">
        <v>19</v>
      </c>
      <c r="C14" s="11">
        <f t="shared" si="6"/>
        <v>511.28</v>
      </c>
      <c r="D14" s="11"/>
      <c r="E14" s="11">
        <f t="shared" si="7"/>
        <v>1511.18</v>
      </c>
      <c r="F14" s="11">
        <v>0</v>
      </c>
      <c r="G14" s="11">
        <f t="shared" si="8"/>
        <v>0</v>
      </c>
      <c r="H14" s="11">
        <f t="shared" si="9"/>
        <v>99.100540000000009</v>
      </c>
      <c r="I14" s="11">
        <f t="shared" si="10"/>
        <v>2.0224600000000001</v>
      </c>
      <c r="J14" s="11">
        <f t="shared" si="11"/>
        <v>0</v>
      </c>
      <c r="K14" s="11">
        <f>+AS14</f>
        <v>0</v>
      </c>
      <c r="L14" s="11">
        <f t="shared" si="12"/>
        <v>1921.3370000000002</v>
      </c>
      <c r="M14" s="11">
        <f t="shared" si="13"/>
        <v>202.24600000000001</v>
      </c>
      <c r="N14" s="11">
        <f>+'C&amp;A'!E14*0.02</f>
        <v>10.2256</v>
      </c>
      <c r="O14" s="11">
        <f t="shared" si="14"/>
        <v>2234.9316000000003</v>
      </c>
      <c r="P14" s="11">
        <f t="shared" si="15"/>
        <v>357.58905600000008</v>
      </c>
      <c r="Q14" s="11">
        <f t="shared" si="16"/>
        <v>2592.5206560000006</v>
      </c>
      <c r="R14" s="48">
        <f>+L14-'C&amp;A'!I14-SINDICATO!M14</f>
        <v>0</v>
      </c>
      <c r="S14" s="96">
        <f>+C14+D14+E14-'C&amp;A'!I14-SINDICATO!M14</f>
        <v>101.12299999999982</v>
      </c>
      <c r="T14" s="68" t="s">
        <v>97</v>
      </c>
      <c r="U14" s="68" t="s">
        <v>100</v>
      </c>
      <c r="V14" s="68" t="s">
        <v>28</v>
      </c>
      <c r="W14" s="68" t="s">
        <v>99</v>
      </c>
      <c r="X14" s="78"/>
      <c r="Y14" s="78"/>
      <c r="Z14" s="70">
        <v>511.28</v>
      </c>
      <c r="AA14" s="70"/>
      <c r="AB14" s="71">
        <f t="shared" ref="AB14" si="18">+Z14+AA14</f>
        <v>511.28</v>
      </c>
      <c r="AC14" s="71">
        <f>1400.93+110.25</f>
        <v>1511.18</v>
      </c>
      <c r="AD14" s="71"/>
      <c r="AE14" s="71"/>
      <c r="AF14" s="73"/>
      <c r="AG14" s="74">
        <f t="shared" si="0"/>
        <v>2022.46</v>
      </c>
      <c r="AH14" s="75"/>
      <c r="AI14" s="83"/>
      <c r="AJ14" s="76">
        <v>0</v>
      </c>
      <c r="AK14" s="83">
        <f>+AG14*4.9%</f>
        <v>99.100540000000009</v>
      </c>
      <c r="AL14" s="83">
        <f>+AG14*0.1%</f>
        <v>2.0224600000000001</v>
      </c>
      <c r="AM14" s="76"/>
      <c r="AN14" s="77"/>
      <c r="AO14" s="77"/>
      <c r="AP14" s="68"/>
      <c r="AQ14" s="78"/>
      <c r="AR14" s="74">
        <f t="shared" si="1"/>
        <v>1921.337</v>
      </c>
      <c r="AS14" s="79">
        <f t="shared" si="2"/>
        <v>0</v>
      </c>
      <c r="AT14" s="74">
        <f t="shared" si="3"/>
        <v>1921.337</v>
      </c>
      <c r="AU14" s="80">
        <f t="shared" si="4"/>
        <v>202.24600000000001</v>
      </c>
      <c r="AV14" s="79">
        <f t="shared" si="5"/>
        <v>10.2256</v>
      </c>
      <c r="AW14" s="74">
        <f t="shared" si="17"/>
        <v>2234.9316000000003</v>
      </c>
      <c r="AX14" s="90"/>
      <c r="AY14" s="90"/>
      <c r="AZ14" s="90"/>
    </row>
    <row r="15" spans="1:52" s="10" customFormat="1" ht="15.75">
      <c r="A15" s="9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T15" s="85"/>
      <c r="U15" s="86"/>
      <c r="V15" s="86"/>
      <c r="W15" s="86"/>
      <c r="X15" s="86"/>
      <c r="Y15" s="86"/>
      <c r="Z15" s="86"/>
      <c r="AA15" s="86"/>
      <c r="AB15" s="87"/>
      <c r="AC15" s="87"/>
      <c r="AD15" s="87"/>
      <c r="AE15" s="87"/>
      <c r="AF15" s="87"/>
      <c r="AG15" s="88"/>
      <c r="AH15" s="87"/>
      <c r="AI15" s="87"/>
      <c r="AJ15" s="87"/>
      <c r="AK15" s="87"/>
      <c r="AL15" s="87"/>
      <c r="AM15" s="87"/>
      <c r="AN15" s="79"/>
      <c r="AO15" s="79"/>
      <c r="AP15" s="79"/>
      <c r="AQ15" s="79"/>
      <c r="AR15" s="89"/>
      <c r="AS15" s="79"/>
      <c r="AT15" s="88"/>
      <c r="AU15" s="79"/>
      <c r="AV15" s="79"/>
      <c r="AW15" s="88"/>
      <c r="AX15" s="90"/>
      <c r="AY15" s="90"/>
      <c r="AZ15" s="90"/>
    </row>
    <row r="16" spans="1:52" s="10" customFormat="1" ht="16.5" thickBot="1">
      <c r="A16" s="13" t="s">
        <v>6</v>
      </c>
      <c r="B16" s="12" t="s">
        <v>7</v>
      </c>
      <c r="C16" s="14">
        <f>SUM(C10:C15)</f>
        <v>6235.0599999999995</v>
      </c>
      <c r="D16" s="14">
        <f t="shared" ref="D16:P16" si="19">SUM(D10:D15)</f>
        <v>0</v>
      </c>
      <c r="E16" s="14">
        <f t="shared" si="19"/>
        <v>6005.25</v>
      </c>
      <c r="F16" s="14">
        <f t="shared" si="19"/>
        <v>0</v>
      </c>
      <c r="G16" s="14">
        <f>SUM(G10:G15)</f>
        <v>341.33</v>
      </c>
      <c r="H16" s="97">
        <f t="shared" si="19"/>
        <v>348.24201999999997</v>
      </c>
      <c r="I16" s="97">
        <f t="shared" si="19"/>
        <v>7.1069800000000001</v>
      </c>
      <c r="J16" s="97">
        <f t="shared" si="19"/>
        <v>296.2</v>
      </c>
      <c r="K16" s="14">
        <f t="shared" si="19"/>
        <v>508.452</v>
      </c>
      <c r="L16" s="14">
        <f t="shared" si="19"/>
        <v>10738.978999999999</v>
      </c>
      <c r="M16" s="14">
        <f t="shared" si="19"/>
        <v>715.57899999999995</v>
      </c>
      <c r="N16" s="14">
        <f t="shared" si="19"/>
        <v>51.128</v>
      </c>
      <c r="O16" s="14">
        <f>SUM(O10:O15)</f>
        <v>12665.686999999998</v>
      </c>
      <c r="P16" s="14">
        <f t="shared" si="19"/>
        <v>2026.5099200000002</v>
      </c>
      <c r="Q16" s="14">
        <f>SUM(Q10:Q15)</f>
        <v>14692.19692</v>
      </c>
      <c r="R16" s="48">
        <f>SUM(R10:R14)</f>
        <v>0</v>
      </c>
      <c r="S16" s="96">
        <f>SUM(S10:S14)</f>
        <v>1501.3310000000013</v>
      </c>
      <c r="T16" s="90"/>
      <c r="U16" s="91" t="s">
        <v>101</v>
      </c>
      <c r="V16" s="91"/>
      <c r="W16" s="91"/>
      <c r="X16" s="91"/>
      <c r="Y16" s="91"/>
      <c r="Z16" s="91"/>
      <c r="AA16" s="91"/>
      <c r="AB16" s="92">
        <f t="shared" ref="AB16:AI16" si="20">SUM(AB10:AB14)</f>
        <v>6235.0599999999995</v>
      </c>
      <c r="AC16" s="92">
        <f t="shared" si="20"/>
        <v>6005.25</v>
      </c>
      <c r="AD16" s="92">
        <f t="shared" si="20"/>
        <v>0</v>
      </c>
      <c r="AE16" s="92">
        <f t="shared" si="20"/>
        <v>0</v>
      </c>
      <c r="AF16" s="92">
        <f t="shared" si="20"/>
        <v>0</v>
      </c>
      <c r="AG16" s="92">
        <f t="shared" si="20"/>
        <v>12240.309999999998</v>
      </c>
      <c r="AH16" s="92">
        <f t="shared" si="20"/>
        <v>0</v>
      </c>
      <c r="AI16" s="92">
        <f t="shared" si="20"/>
        <v>341.33</v>
      </c>
      <c r="AJ16" s="93"/>
      <c r="AK16" s="93"/>
      <c r="AL16" s="93"/>
      <c r="AM16" s="93"/>
      <c r="AN16" s="92">
        <f>SUM(AN10:AN14)</f>
        <v>0</v>
      </c>
      <c r="AO16" s="92">
        <f>SUM(AO10:AO14)</f>
        <v>0</v>
      </c>
      <c r="AP16" s="92">
        <f>SUM(AP10:AP14)</f>
        <v>296.2</v>
      </c>
      <c r="AQ16" s="92">
        <f>SUM(AQ10:AQ14)</f>
        <v>0</v>
      </c>
      <c r="AR16" s="92">
        <f>SUM(AR10:AR14)</f>
        <v>11247.430999999999</v>
      </c>
      <c r="AS16" s="92">
        <f>SUBTOTAL(9,AS8:AS15)</f>
        <v>508.452</v>
      </c>
      <c r="AT16" s="92">
        <f>SUM(AT10:AT14)</f>
        <v>10738.978999999999</v>
      </c>
      <c r="AU16" s="92">
        <f>SUM(AU10:AU14)</f>
        <v>715.57899999999995</v>
      </c>
      <c r="AV16" s="92">
        <f>SUM(AV10:AV14)</f>
        <v>124.7012</v>
      </c>
      <c r="AW16" s="92">
        <f>SUBTOTAL(9,AW8:AW15)</f>
        <v>13080.590199999999</v>
      </c>
      <c r="AX16" s="90"/>
      <c r="AY16" s="90"/>
      <c r="AZ16" s="90"/>
    </row>
    <row r="17" spans="1:52" s="10" customFormat="1" ht="16.5" thickTop="1">
      <c r="A17" s="9"/>
      <c r="H17" s="106" t="s">
        <v>104</v>
      </c>
      <c r="I17" s="106"/>
      <c r="J17" s="106"/>
      <c r="S17" s="10">
        <f>+SINDICATO!L16</f>
        <v>1501.3309999999999</v>
      </c>
      <c r="T17" s="90"/>
      <c r="U17" s="90"/>
      <c r="V17" s="90"/>
      <c r="W17" s="90"/>
      <c r="X17" s="90"/>
      <c r="Y17" s="90"/>
      <c r="Z17" s="90"/>
      <c r="AA17" s="90"/>
      <c r="AB17" s="61"/>
      <c r="AC17" s="61"/>
      <c r="AD17" s="61"/>
      <c r="AE17" s="61"/>
      <c r="AF17" s="61"/>
      <c r="AG17" s="62"/>
      <c r="AH17" s="61"/>
      <c r="AI17" s="61"/>
      <c r="AJ17" s="63"/>
      <c r="AK17" s="63"/>
      <c r="AL17" s="63"/>
      <c r="AM17" s="63"/>
      <c r="AN17" s="61"/>
      <c r="AO17" s="61"/>
      <c r="AP17" s="61"/>
      <c r="AQ17" s="61"/>
      <c r="AR17" s="62"/>
      <c r="AS17" s="61"/>
      <c r="AT17" s="62"/>
      <c r="AU17" s="61"/>
      <c r="AV17" s="61"/>
      <c r="AW17" s="62"/>
      <c r="AX17" s="90"/>
      <c r="AY17" s="90"/>
      <c r="AZ17" s="90"/>
    </row>
    <row r="18" spans="1:52" s="10" customFormat="1" ht="15.75">
      <c r="A18" s="9"/>
      <c r="C18" s="10" t="s">
        <v>7</v>
      </c>
      <c r="L18" s="10" t="s">
        <v>7</v>
      </c>
      <c r="M18" s="10" t="s">
        <v>7</v>
      </c>
      <c r="N18" s="10" t="s">
        <v>7</v>
      </c>
      <c r="O18" s="96"/>
      <c r="P18" s="10" t="s">
        <v>7</v>
      </c>
      <c r="Q18" s="10" t="s">
        <v>7</v>
      </c>
      <c r="S18" s="96">
        <f>+S16-S17</f>
        <v>0</v>
      </c>
      <c r="T18" s="107" t="s">
        <v>102</v>
      </c>
      <c r="U18" s="107"/>
      <c r="V18" s="90"/>
      <c r="W18" s="90"/>
      <c r="X18" s="90"/>
      <c r="Y18" s="90"/>
      <c r="Z18" s="90"/>
      <c r="AA18" s="90"/>
      <c r="AB18" s="61"/>
      <c r="AC18" s="61"/>
      <c r="AD18" s="61"/>
      <c r="AE18" s="61"/>
      <c r="AF18" s="61"/>
      <c r="AG18" s="62"/>
      <c r="AH18" s="61"/>
      <c r="AI18" s="61"/>
      <c r="AJ18" s="63"/>
      <c r="AK18" s="63"/>
      <c r="AL18" s="63"/>
      <c r="AM18" s="63"/>
      <c r="AN18" s="61"/>
      <c r="AO18" s="61"/>
      <c r="AP18" s="61"/>
      <c r="AQ18" s="61"/>
      <c r="AR18" s="62"/>
      <c r="AS18" s="61">
        <f>+AS16-AS17</f>
        <v>508.452</v>
      </c>
      <c r="AT18" s="62"/>
      <c r="AU18" s="61"/>
      <c r="AV18" s="61"/>
      <c r="AW18" s="62"/>
      <c r="AX18" s="90"/>
      <c r="AY18" s="90"/>
      <c r="AZ18" s="90"/>
    </row>
    <row r="19" spans="1:52" s="10" customFormat="1" ht="15.75">
      <c r="A19" s="9" t="s">
        <v>7</v>
      </c>
      <c r="B19" s="10" t="s">
        <v>7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T19" s="85"/>
      <c r="U19" s="78"/>
      <c r="V19" s="69"/>
      <c r="W19" s="78"/>
      <c r="X19" s="78"/>
      <c r="Y19" s="78"/>
      <c r="Z19" s="78"/>
      <c r="AA19" s="78"/>
      <c r="AB19" s="71"/>
      <c r="AC19" s="71"/>
      <c r="AD19" s="71"/>
      <c r="AE19" s="71"/>
      <c r="AF19" s="71"/>
      <c r="AG19" s="74">
        <f>SUM(AB19:AF19)</f>
        <v>0</v>
      </c>
      <c r="AH19" s="75"/>
      <c r="AI19" s="75"/>
      <c r="AJ19" s="94"/>
      <c r="AK19" s="94"/>
      <c r="AL19" s="94"/>
      <c r="AM19" s="94"/>
      <c r="AN19" s="95"/>
      <c r="AO19" s="95"/>
      <c r="AP19" s="95"/>
      <c r="AQ19" s="95"/>
      <c r="AR19" s="74">
        <f>+AG19-AH19</f>
        <v>0</v>
      </c>
      <c r="AS19" s="79">
        <f>+AR19*0.05</f>
        <v>0</v>
      </c>
      <c r="AT19" s="74">
        <f>+AR19-AN19-AQ19</f>
        <v>0</v>
      </c>
      <c r="AU19" s="80">
        <f>IF(AR19&lt;3000,AR19*0.1,0)</f>
        <v>0</v>
      </c>
      <c r="AV19" s="79">
        <v>0</v>
      </c>
      <c r="AW19" s="74">
        <f>+AR19+AU19+AV19</f>
        <v>0</v>
      </c>
    </row>
    <row r="20" spans="1:52" s="10" customFormat="1" ht="15.75">
      <c r="A20" s="9"/>
      <c r="T20" s="85"/>
      <c r="U20" s="69"/>
      <c r="V20" s="69"/>
      <c r="W20" s="69"/>
      <c r="X20" s="69"/>
      <c r="Y20" s="69"/>
      <c r="Z20" s="69"/>
      <c r="AA20" s="69"/>
      <c r="AB20" s="72"/>
      <c r="AC20" s="72"/>
      <c r="AD20" s="72"/>
      <c r="AE20" s="72"/>
      <c r="AF20" s="72"/>
      <c r="AG20" s="74">
        <f>SUM(AB20:AF20)</f>
        <v>0</v>
      </c>
      <c r="AH20" s="75"/>
      <c r="AI20" s="75"/>
      <c r="AJ20" s="94"/>
      <c r="AK20" s="94"/>
      <c r="AL20" s="94"/>
      <c r="AM20" s="94"/>
      <c r="AN20" s="95"/>
      <c r="AO20" s="95"/>
      <c r="AP20" s="95"/>
      <c r="AQ20" s="95"/>
      <c r="AR20" s="74">
        <f>+AG20-AH20</f>
        <v>0</v>
      </c>
      <c r="AS20" s="79">
        <f>+AR20*0.05</f>
        <v>0</v>
      </c>
      <c r="AT20" s="74">
        <f>+AR20-AN20-AQ20</f>
        <v>0</v>
      </c>
      <c r="AU20" s="80">
        <f>IF(AR20&lt;3000,AR20*0.1,0)</f>
        <v>0</v>
      </c>
      <c r="AV20" s="79">
        <v>0</v>
      </c>
      <c r="AW20" s="74">
        <f>+AR20+AU20+AV20</f>
        <v>0</v>
      </c>
    </row>
    <row r="21" spans="1:52" s="10" customFormat="1" ht="15.75">
      <c r="A21" s="9"/>
      <c r="T21" s="90"/>
      <c r="U21" s="90"/>
      <c r="V21" s="90"/>
      <c r="W21" s="90"/>
      <c r="X21" s="90"/>
      <c r="Y21" s="90"/>
      <c r="Z21" s="90"/>
      <c r="AA21" s="90"/>
      <c r="AB21" s="61"/>
      <c r="AC21" s="61"/>
      <c r="AD21" s="61"/>
      <c r="AE21" s="61"/>
      <c r="AF21" s="61"/>
      <c r="AG21" s="62"/>
      <c r="AH21" s="61"/>
      <c r="AI21" s="61"/>
      <c r="AJ21" s="63"/>
      <c r="AK21" s="63"/>
      <c r="AL21" s="63"/>
      <c r="AM21" s="63"/>
      <c r="AN21" s="61"/>
      <c r="AO21" s="61"/>
      <c r="AP21" s="61"/>
      <c r="AQ21" s="61"/>
      <c r="AR21" s="62"/>
      <c r="AS21" s="61"/>
      <c r="AT21" s="62"/>
      <c r="AU21" s="61"/>
      <c r="AV21" s="61"/>
      <c r="AW21" s="62">
        <f>SUM(AW19:AW20)</f>
        <v>0</v>
      </c>
    </row>
    <row r="22" spans="1:52" s="10" customFormat="1">
      <c r="A22" s="9"/>
    </row>
    <row r="23" spans="1:52" s="10" customFormat="1">
      <c r="A23" s="9"/>
    </row>
    <row r="24" spans="1:52" s="10" customFormat="1">
      <c r="A24" s="9"/>
    </row>
    <row r="25" spans="1:52" s="10" customFormat="1">
      <c r="A25" s="9"/>
    </row>
    <row r="26" spans="1:52" s="10" customFormat="1">
      <c r="A26" s="9"/>
    </row>
    <row r="27" spans="1:52"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</row>
    <row r="28" spans="1:52"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</row>
    <row r="29" spans="1:52"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</row>
  </sheetData>
  <autoFilter ref="T8:U14"/>
  <mergeCells count="25">
    <mergeCell ref="H17:J17"/>
    <mergeCell ref="AU8:AU9"/>
    <mergeCell ref="AV8:AV9"/>
    <mergeCell ref="AW8:AW9"/>
    <mergeCell ref="T18:U18"/>
    <mergeCell ref="AP8:AP9"/>
    <mergeCell ref="AQ8:AQ9"/>
    <mergeCell ref="AR8:AR9"/>
    <mergeCell ref="AS8:AS9"/>
    <mergeCell ref="AT8:AT9"/>
    <mergeCell ref="AF8:AF9"/>
    <mergeCell ref="AG8:AG9"/>
    <mergeCell ref="AH8:AH9"/>
    <mergeCell ref="AN8:AN9"/>
    <mergeCell ref="AO8:AO9"/>
    <mergeCell ref="X8:X9"/>
    <mergeCell ref="Y8:Y9"/>
    <mergeCell ref="AB8:AB9"/>
    <mergeCell ref="AD8:AD9"/>
    <mergeCell ref="AE8:AE9"/>
    <mergeCell ref="B1:C1"/>
    <mergeCell ref="T8:T9"/>
    <mergeCell ref="U8:U9"/>
    <mergeCell ref="V8:V9"/>
    <mergeCell ref="W8:W9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9"/>
  <sheetViews>
    <sheetView workbookViewId="0">
      <selection activeCell="C11" sqref="C11:I14"/>
    </sheetView>
  </sheetViews>
  <sheetFormatPr baseColWidth="10" defaultRowHeight="15"/>
  <cols>
    <col min="1" max="1" width="6.7109375" customWidth="1"/>
    <col min="2" max="2" width="24.42578125" customWidth="1"/>
    <col min="3" max="9" width="13" bestFit="1" customWidth="1"/>
  </cols>
  <sheetData>
    <row r="2" spans="1:9">
      <c r="A2" s="24" t="s">
        <v>0</v>
      </c>
      <c r="B2" s="108" t="s">
        <v>7</v>
      </c>
      <c r="C2" s="109"/>
      <c r="D2" s="109"/>
      <c r="E2" s="21"/>
      <c r="F2" s="21"/>
      <c r="G2" s="21"/>
      <c r="H2" s="21"/>
      <c r="I2" s="21"/>
    </row>
    <row r="3" spans="1:9" ht="18">
      <c r="A3" s="25" t="s">
        <v>1</v>
      </c>
      <c r="B3" s="40" t="s">
        <v>42</v>
      </c>
      <c r="C3" s="41"/>
      <c r="D3" s="41"/>
      <c r="E3" s="21"/>
      <c r="F3" s="21"/>
      <c r="G3" s="21"/>
      <c r="H3" s="21"/>
      <c r="I3" s="21"/>
    </row>
    <row r="4" spans="1:9" ht="15.75">
      <c r="A4" s="21"/>
      <c r="B4" s="42" t="s">
        <v>2</v>
      </c>
      <c r="C4" s="26"/>
      <c r="D4" s="26"/>
      <c r="E4" s="21"/>
      <c r="F4" s="21"/>
      <c r="G4" s="21"/>
      <c r="H4" s="21"/>
      <c r="I4" s="21"/>
    </row>
    <row r="5" spans="1:9">
      <c r="A5" s="21"/>
      <c r="B5" s="43" t="s">
        <v>43</v>
      </c>
      <c r="C5" s="26"/>
      <c r="D5" s="26"/>
      <c r="E5" s="21"/>
      <c r="F5" s="21"/>
      <c r="G5" s="21"/>
      <c r="H5" s="21"/>
      <c r="I5" s="21"/>
    </row>
    <row r="6" spans="1:9">
      <c r="A6" s="21"/>
      <c r="B6" s="27" t="s">
        <v>44</v>
      </c>
      <c r="C6" s="21"/>
      <c r="D6" s="21"/>
      <c r="E6" s="21"/>
      <c r="F6" s="21"/>
      <c r="G6" s="21"/>
      <c r="H6" s="21"/>
      <c r="I6" s="21"/>
    </row>
    <row r="7" spans="1:9">
      <c r="A7" s="21"/>
      <c r="B7" s="27" t="s">
        <v>45</v>
      </c>
      <c r="C7" s="21"/>
      <c r="D7" s="21"/>
      <c r="E7" s="21"/>
      <c r="F7" s="21"/>
      <c r="G7" s="21"/>
      <c r="H7" s="21"/>
      <c r="I7" s="21"/>
    </row>
    <row r="8" spans="1:9" ht="35.25" thickBot="1">
      <c r="A8" s="29" t="s">
        <v>3</v>
      </c>
      <c r="B8" s="30" t="s">
        <v>4</v>
      </c>
      <c r="C8" s="30" t="s">
        <v>46</v>
      </c>
      <c r="D8" s="30" t="s">
        <v>47</v>
      </c>
      <c r="E8" s="31" t="s">
        <v>5</v>
      </c>
      <c r="F8" s="30" t="s">
        <v>48</v>
      </c>
      <c r="G8" s="30" t="s">
        <v>49</v>
      </c>
      <c r="H8" s="31" t="s">
        <v>50</v>
      </c>
      <c r="I8" s="32" t="s">
        <v>51</v>
      </c>
    </row>
    <row r="9" spans="1:9" ht="15.75" thickTop="1">
      <c r="A9" s="33" t="s">
        <v>52</v>
      </c>
      <c r="B9" s="21"/>
      <c r="C9" s="21"/>
      <c r="D9" s="21"/>
      <c r="E9" s="21"/>
      <c r="F9" s="21"/>
      <c r="G9" s="21"/>
      <c r="H9" s="21"/>
      <c r="I9" s="21"/>
    </row>
    <row r="10" spans="1:9">
      <c r="A10" s="23" t="s">
        <v>24</v>
      </c>
      <c r="B10" s="22" t="s">
        <v>21</v>
      </c>
      <c r="C10" s="34">
        <v>438.24</v>
      </c>
      <c r="D10" s="34">
        <v>73.040000000000006</v>
      </c>
      <c r="E10" s="34">
        <v>511.28</v>
      </c>
      <c r="F10" s="35">
        <v>-66.069999999999993</v>
      </c>
      <c r="G10" s="35">
        <v>-0.05</v>
      </c>
      <c r="H10" s="34">
        <v>-66.12</v>
      </c>
      <c r="I10" s="34">
        <v>577.4</v>
      </c>
    </row>
    <row r="11" spans="1:9">
      <c r="A11" s="23" t="s">
        <v>25</v>
      </c>
      <c r="B11" s="22" t="s">
        <v>22</v>
      </c>
      <c r="C11" s="34">
        <v>438.24</v>
      </c>
      <c r="D11" s="34">
        <v>73.040000000000006</v>
      </c>
      <c r="E11" s="34">
        <v>511.28</v>
      </c>
      <c r="F11" s="35">
        <v>-66.069999999999993</v>
      </c>
      <c r="G11" s="35">
        <v>-0.05</v>
      </c>
      <c r="H11" s="34">
        <v>-66.12</v>
      </c>
      <c r="I11" s="34">
        <v>577.4</v>
      </c>
    </row>
    <row r="12" spans="1:9">
      <c r="A12" s="23" t="s">
        <v>26</v>
      </c>
      <c r="B12" s="22" t="s">
        <v>23</v>
      </c>
      <c r="C12" s="34">
        <v>438.24</v>
      </c>
      <c r="D12" s="34">
        <v>73.040000000000006</v>
      </c>
      <c r="E12" s="34">
        <v>511.28</v>
      </c>
      <c r="F12" s="35">
        <v>-66.069999999999993</v>
      </c>
      <c r="G12" s="35">
        <v>-0.05</v>
      </c>
      <c r="H12" s="34">
        <v>-66.12</v>
      </c>
      <c r="I12" s="34">
        <v>577.4</v>
      </c>
    </row>
    <row r="13" spans="1:9">
      <c r="A13" s="23" t="s">
        <v>27</v>
      </c>
      <c r="B13" s="22" t="s">
        <v>18</v>
      </c>
      <c r="C13" s="34">
        <v>438.24</v>
      </c>
      <c r="D13" s="34">
        <v>73.040000000000006</v>
      </c>
      <c r="E13" s="34">
        <v>511.28</v>
      </c>
      <c r="F13" s="35">
        <v>-66.069999999999993</v>
      </c>
      <c r="G13" s="35">
        <v>-0.05</v>
      </c>
      <c r="H13" s="34">
        <v>-66.12</v>
      </c>
      <c r="I13" s="34">
        <v>577.4</v>
      </c>
    </row>
    <row r="14" spans="1:9">
      <c r="A14" s="23" t="s">
        <v>28</v>
      </c>
      <c r="B14" s="22" t="s">
        <v>19</v>
      </c>
      <c r="C14" s="34">
        <v>438.24</v>
      </c>
      <c r="D14" s="34">
        <v>73.040000000000006</v>
      </c>
      <c r="E14" s="34">
        <v>511.28</v>
      </c>
      <c r="F14" s="35">
        <v>-66.069999999999993</v>
      </c>
      <c r="G14" s="35">
        <v>-0.05</v>
      </c>
      <c r="H14" s="34">
        <v>-66.12</v>
      </c>
      <c r="I14" s="34">
        <v>577.4</v>
      </c>
    </row>
    <row r="15" spans="1:9">
      <c r="A15" s="36"/>
      <c r="B15" s="28"/>
      <c r="C15" s="28" t="s">
        <v>53</v>
      </c>
      <c r="D15" s="28" t="s">
        <v>53</v>
      </c>
      <c r="E15" s="28" t="s">
        <v>53</v>
      </c>
      <c r="F15" s="28" t="s">
        <v>53</v>
      </c>
      <c r="G15" s="28" t="s">
        <v>53</v>
      </c>
      <c r="H15" s="28" t="s">
        <v>53</v>
      </c>
      <c r="I15" s="28" t="s">
        <v>53</v>
      </c>
    </row>
    <row r="16" spans="1:9">
      <c r="A16" s="39" t="s">
        <v>6</v>
      </c>
      <c r="B16" s="22" t="s">
        <v>7</v>
      </c>
      <c r="C16" s="38">
        <f>SUM(C10:C15)</f>
        <v>2191.1999999999998</v>
      </c>
      <c r="D16" s="38">
        <f t="shared" ref="D16:I16" si="0">SUM(D10:D15)</f>
        <v>365.20000000000005</v>
      </c>
      <c r="E16" s="38">
        <f t="shared" si="0"/>
        <v>2556.3999999999996</v>
      </c>
      <c r="F16" s="38">
        <f t="shared" si="0"/>
        <v>-330.34999999999997</v>
      </c>
      <c r="G16" s="38">
        <f t="shared" si="0"/>
        <v>-0.25</v>
      </c>
      <c r="H16" s="38">
        <f t="shared" si="0"/>
        <v>-330.6</v>
      </c>
      <c r="I16" s="38">
        <f t="shared" si="0"/>
        <v>2887</v>
      </c>
    </row>
    <row r="18" spans="1:9">
      <c r="A18" s="21"/>
      <c r="B18" s="21"/>
      <c r="C18" s="22" t="s">
        <v>7</v>
      </c>
      <c r="D18" s="22" t="s">
        <v>7</v>
      </c>
      <c r="E18" s="22" t="s">
        <v>7</v>
      </c>
      <c r="F18" s="22" t="s">
        <v>7</v>
      </c>
      <c r="G18" s="22" t="s">
        <v>7</v>
      </c>
      <c r="H18" s="22" t="s">
        <v>7</v>
      </c>
      <c r="I18" s="22" t="s">
        <v>7</v>
      </c>
    </row>
    <row r="19" spans="1:9">
      <c r="A19" s="23" t="s">
        <v>7</v>
      </c>
      <c r="B19" s="22" t="s">
        <v>7</v>
      </c>
      <c r="C19" s="37"/>
      <c r="D19" s="37"/>
      <c r="E19" s="37"/>
      <c r="F19" s="37"/>
      <c r="G19" s="37"/>
      <c r="H19" s="37"/>
      <c r="I19" s="37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9"/>
  <sheetViews>
    <sheetView workbookViewId="0">
      <selection activeCell="C10" sqref="C10:C14"/>
    </sheetView>
  </sheetViews>
  <sheetFormatPr baseColWidth="10" defaultRowHeight="15"/>
  <cols>
    <col min="1" max="1" width="6.7109375" style="21" customWidth="1"/>
    <col min="2" max="2" width="24.42578125" style="21" customWidth="1"/>
    <col min="3" max="3" width="13" style="21" bestFit="1" customWidth="1"/>
    <col min="4" max="4" width="8.5703125" style="21" customWidth="1"/>
    <col min="5" max="5" width="13" style="21" bestFit="1" customWidth="1"/>
    <col min="6" max="9" width="13" style="21" customWidth="1"/>
    <col min="10" max="10" width="12.5703125" style="21" customWidth="1"/>
    <col min="11" max="11" width="11.42578125" style="21"/>
    <col min="12" max="12" width="13.42578125" style="21" customWidth="1"/>
    <col min="13" max="16384" width="11.42578125" style="21"/>
  </cols>
  <sheetData>
    <row r="2" spans="1:14">
      <c r="A2" s="24" t="s">
        <v>0</v>
      </c>
      <c r="B2" s="108" t="s">
        <v>7</v>
      </c>
      <c r="C2" s="109"/>
      <c r="D2" s="109"/>
    </row>
    <row r="3" spans="1:14" ht="18">
      <c r="A3" s="25" t="s">
        <v>1</v>
      </c>
      <c r="B3" s="40" t="s">
        <v>56</v>
      </c>
      <c r="C3" s="41"/>
      <c r="D3" s="41"/>
    </row>
    <row r="4" spans="1:14" ht="15.75">
      <c r="B4" s="42" t="s">
        <v>2</v>
      </c>
      <c r="C4" s="26"/>
      <c r="D4" s="26"/>
    </row>
    <row r="5" spans="1:14">
      <c r="B5" s="43" t="s">
        <v>43</v>
      </c>
      <c r="C5" s="26"/>
      <c r="D5" s="26"/>
    </row>
    <row r="6" spans="1:14">
      <c r="B6" s="27"/>
    </row>
    <row r="7" spans="1:14">
      <c r="B7" s="27"/>
    </row>
    <row r="8" spans="1:14" ht="34.5" thickBot="1">
      <c r="A8" s="29" t="s">
        <v>3</v>
      </c>
      <c r="B8" s="30" t="s">
        <v>4</v>
      </c>
      <c r="C8" s="44" t="s">
        <v>54</v>
      </c>
      <c r="D8" s="44" t="s">
        <v>55</v>
      </c>
      <c r="E8" s="45" t="s">
        <v>5</v>
      </c>
      <c r="F8" s="7" t="s">
        <v>20</v>
      </c>
      <c r="G8" s="7" t="s">
        <v>87</v>
      </c>
      <c r="H8" s="7" t="s">
        <v>88</v>
      </c>
      <c r="I8" s="7" t="s">
        <v>74</v>
      </c>
      <c r="J8" s="7" t="s">
        <v>77</v>
      </c>
      <c r="K8" s="44" t="s">
        <v>49</v>
      </c>
      <c r="L8" s="45" t="s">
        <v>50</v>
      </c>
      <c r="M8" s="46" t="s">
        <v>51</v>
      </c>
    </row>
    <row r="9" spans="1:14" ht="15.75" thickTop="1">
      <c r="A9" s="33" t="s">
        <v>52</v>
      </c>
    </row>
    <row r="10" spans="1:14">
      <c r="A10" s="23" t="s">
        <v>24</v>
      </c>
      <c r="B10" s="22" t="s">
        <v>21</v>
      </c>
      <c r="C10" s="34">
        <f>+FACTURACIÓN!L10-'C&amp;A'!I10+SINDICATO!J10+SINDICATO!I10+SINDICATO!H10+SINDICATO!G10+SINDICATO!F10</f>
        <v>1755.9299999999998</v>
      </c>
      <c r="D10" s="34">
        <v>0</v>
      </c>
      <c r="E10" s="34">
        <f>SUM(C10:D10)</f>
        <v>1755.9299999999998</v>
      </c>
      <c r="F10" s="34">
        <f>+FACTURACIÓN!G10</f>
        <v>0</v>
      </c>
      <c r="G10" s="34">
        <f>+FACTURACIÓN!H10</f>
        <v>0</v>
      </c>
      <c r="H10" s="34">
        <f>+FACTURACIÓN!I10</f>
        <v>0</v>
      </c>
      <c r="I10" s="34">
        <f>+FACTURACIÓN!J10</f>
        <v>0</v>
      </c>
      <c r="J10" s="35">
        <f>+FACTURACIÓN!K10</f>
        <v>0</v>
      </c>
      <c r="K10" s="35">
        <v>0</v>
      </c>
      <c r="L10" s="47">
        <f>SUM(F10:K10)</f>
        <v>0</v>
      </c>
      <c r="M10" s="47">
        <f>+E10-L10</f>
        <v>1755.9299999999998</v>
      </c>
    </row>
    <row r="11" spans="1:14">
      <c r="A11" s="23" t="s">
        <v>25</v>
      </c>
      <c r="B11" s="22" t="s">
        <v>22</v>
      </c>
      <c r="C11" s="34">
        <f>+FACTURACIÓN!L11-'C&amp;A'!I11+SINDICATO!J11+SINDICATO!I11+SINDICATO!H11+SINDICATO!G11+SINDICATO!F11</f>
        <v>822.6</v>
      </c>
      <c r="D11" s="34">
        <v>0</v>
      </c>
      <c r="E11" s="34">
        <f t="shared" ref="E11:E14" si="0">SUM(C11:D11)</f>
        <v>822.6</v>
      </c>
      <c r="F11" s="34">
        <f>+FACTURACIÓN!G11</f>
        <v>0</v>
      </c>
      <c r="G11" s="34">
        <f>+FACTURACIÓN!H11</f>
        <v>0</v>
      </c>
      <c r="H11" s="34">
        <f>+FACTURACIÓN!I11</f>
        <v>0</v>
      </c>
      <c r="I11" s="34">
        <f>+FACTURACIÓN!J11</f>
        <v>0</v>
      </c>
      <c r="J11" s="35">
        <f>+FACTURACIÓN!K11</f>
        <v>0</v>
      </c>
      <c r="K11" s="35">
        <v>0</v>
      </c>
      <c r="L11" s="47">
        <f t="shared" ref="L11:L14" si="1">SUM(F11:K11)</f>
        <v>0</v>
      </c>
      <c r="M11" s="47">
        <f t="shared" ref="M11:M14" si="2">+E11-L11</f>
        <v>822.6</v>
      </c>
    </row>
    <row r="12" spans="1:14">
      <c r="A12" s="23" t="s">
        <v>26</v>
      </c>
      <c r="B12" s="22" t="s">
        <v>23</v>
      </c>
      <c r="C12" s="34">
        <f>+FACTURACIÓN!L12-'C&amp;A'!I12+SINDICATO!J12+SINDICATO!I12+SINDICATO!H12+SINDICATO!G12+SINDICATO!F12</f>
        <v>822.6</v>
      </c>
      <c r="D12" s="34">
        <v>0</v>
      </c>
      <c r="E12" s="34">
        <f t="shared" si="0"/>
        <v>822.6</v>
      </c>
      <c r="F12" s="34">
        <f>+FACTURACIÓN!G12</f>
        <v>0</v>
      </c>
      <c r="G12" s="34">
        <f>+FACTURACIÓN!H12</f>
        <v>0</v>
      </c>
      <c r="H12" s="34">
        <f>+FACTURACIÓN!I12</f>
        <v>0</v>
      </c>
      <c r="I12" s="34">
        <f>+FACTURACIÓN!J12</f>
        <v>0</v>
      </c>
      <c r="J12" s="35">
        <f>+FACTURACIÓN!K12</f>
        <v>0</v>
      </c>
      <c r="K12" s="35">
        <v>0</v>
      </c>
      <c r="L12" s="47">
        <f t="shared" si="1"/>
        <v>0</v>
      </c>
      <c r="M12" s="47">
        <f t="shared" si="2"/>
        <v>822.6</v>
      </c>
    </row>
    <row r="13" spans="1:14">
      <c r="A13" s="23" t="s">
        <v>27</v>
      </c>
      <c r="B13" s="22" t="s">
        <v>18</v>
      </c>
      <c r="C13" s="34">
        <f>+FACTURACIÓN!L13-'C&amp;A'!I13+SINDICATO!J13+SINDICATO!I13+SINDICATO!H13+SINDICATO!G13+SINDICATO!F13</f>
        <v>4507.1199999999981</v>
      </c>
      <c r="D13" s="34">
        <v>0</v>
      </c>
      <c r="E13" s="34">
        <f t="shared" si="0"/>
        <v>4507.1199999999981</v>
      </c>
      <c r="F13" s="34">
        <f>+FACTURACIÓN!G13</f>
        <v>341.33</v>
      </c>
      <c r="G13" s="34">
        <f>+FACTURACIÓN!H13</f>
        <v>249.14147999999997</v>
      </c>
      <c r="H13" s="34">
        <f>+FACTURACIÓN!I13</f>
        <v>5.0845199999999995</v>
      </c>
      <c r="I13" s="34">
        <f>+FACTURACIÓN!J13</f>
        <v>296.2</v>
      </c>
      <c r="J13" s="35">
        <f>+FACTURACIÓN!K13</f>
        <v>508.452</v>
      </c>
      <c r="K13" s="35">
        <v>0</v>
      </c>
      <c r="L13" s="47">
        <f t="shared" si="1"/>
        <v>1400.2079999999999</v>
      </c>
      <c r="M13" s="47">
        <f t="shared" si="2"/>
        <v>3106.9119999999984</v>
      </c>
    </row>
    <row r="14" spans="1:14">
      <c r="A14" s="23" t="s">
        <v>28</v>
      </c>
      <c r="B14" s="22" t="s">
        <v>19</v>
      </c>
      <c r="C14" s="34">
        <f>+FACTURACIÓN!L14-'C&amp;A'!I14+SINDICATO!J14+SINDICATO!I14+SINDICATO!H14+SINDICATO!G14+SINDICATO!F14</f>
        <v>1445.0600000000002</v>
      </c>
      <c r="D14" s="34">
        <v>0</v>
      </c>
      <c r="E14" s="34">
        <f t="shared" si="0"/>
        <v>1445.0600000000002</v>
      </c>
      <c r="F14" s="34">
        <f>+FACTURACIÓN!G14</f>
        <v>0</v>
      </c>
      <c r="G14" s="34">
        <f>+FACTURACIÓN!H14</f>
        <v>99.100540000000009</v>
      </c>
      <c r="H14" s="34">
        <f>+FACTURACIÓN!I14</f>
        <v>2.0224600000000001</v>
      </c>
      <c r="I14" s="34">
        <f>+FACTURACIÓN!J14</f>
        <v>0</v>
      </c>
      <c r="J14" s="35">
        <f>+FACTURACIÓN!K14</f>
        <v>0</v>
      </c>
      <c r="K14" s="35">
        <v>0</v>
      </c>
      <c r="L14" s="47">
        <f t="shared" si="1"/>
        <v>101.123</v>
      </c>
      <c r="M14" s="47">
        <f t="shared" si="2"/>
        <v>1343.9370000000001</v>
      </c>
    </row>
    <row r="15" spans="1:14">
      <c r="A15" s="36"/>
      <c r="B15" s="28"/>
      <c r="C15" s="28" t="s">
        <v>53</v>
      </c>
      <c r="D15" s="28" t="s">
        <v>53</v>
      </c>
      <c r="E15" s="28" t="s">
        <v>53</v>
      </c>
      <c r="F15" s="28" t="s">
        <v>53</v>
      </c>
      <c r="G15" s="28" t="s">
        <v>53</v>
      </c>
      <c r="H15" s="28" t="s">
        <v>53</v>
      </c>
      <c r="I15" s="28" t="s">
        <v>53</v>
      </c>
      <c r="J15" s="28" t="s">
        <v>53</v>
      </c>
      <c r="K15" s="28" t="s">
        <v>53</v>
      </c>
      <c r="L15" s="28" t="s">
        <v>53</v>
      </c>
      <c r="M15" s="28" t="s">
        <v>53</v>
      </c>
      <c r="N15" s="28"/>
    </row>
    <row r="16" spans="1:14">
      <c r="A16" s="39" t="s">
        <v>6</v>
      </c>
      <c r="B16" s="22" t="s">
        <v>7</v>
      </c>
      <c r="C16" s="38">
        <f>SUM(C10:C15)</f>
        <v>9353.3099999999977</v>
      </c>
      <c r="D16" s="38">
        <f t="shared" ref="D16:M16" si="3">SUM(D10:D15)</f>
        <v>0</v>
      </c>
      <c r="E16" s="38">
        <f t="shared" si="3"/>
        <v>9353.3099999999977</v>
      </c>
      <c r="F16" s="38">
        <f t="shared" si="3"/>
        <v>341.33</v>
      </c>
      <c r="G16" s="38">
        <f t="shared" si="3"/>
        <v>348.24201999999997</v>
      </c>
      <c r="H16" s="38">
        <f t="shared" si="3"/>
        <v>7.1069800000000001</v>
      </c>
      <c r="I16" s="38">
        <f t="shared" si="3"/>
        <v>296.2</v>
      </c>
      <c r="J16" s="38">
        <f t="shared" si="3"/>
        <v>508.452</v>
      </c>
      <c r="K16" s="38">
        <f t="shared" si="3"/>
        <v>0</v>
      </c>
      <c r="L16" s="38">
        <f t="shared" si="3"/>
        <v>1501.3309999999999</v>
      </c>
      <c r="M16" s="38">
        <f t="shared" si="3"/>
        <v>7851.9789999999975</v>
      </c>
      <c r="N16" s="38"/>
    </row>
    <row r="18" spans="1:10">
      <c r="C18" s="22" t="s">
        <v>7</v>
      </c>
      <c r="D18" s="22" t="s">
        <v>7</v>
      </c>
      <c r="E18" s="22" t="s">
        <v>7</v>
      </c>
      <c r="F18" s="22"/>
      <c r="G18" s="22"/>
      <c r="H18" s="22"/>
      <c r="I18" s="22"/>
      <c r="J18" s="22"/>
    </row>
    <row r="19" spans="1:10">
      <c r="A19" s="23" t="s">
        <v>7</v>
      </c>
      <c r="B19" s="22" t="s">
        <v>7</v>
      </c>
      <c r="C19" s="37"/>
      <c r="D19" s="37"/>
      <c r="E19" s="37"/>
      <c r="F19" s="37"/>
      <c r="G19" s="37"/>
      <c r="H19" s="37"/>
      <c r="I19" s="37"/>
      <c r="J19" s="37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4"/>
  <sheetViews>
    <sheetView topLeftCell="A5" workbookViewId="0">
      <selection activeCell="C12" sqref="C12"/>
    </sheetView>
  </sheetViews>
  <sheetFormatPr baseColWidth="10" defaultRowHeight="15"/>
  <cols>
    <col min="1" max="1" width="11.85546875" style="19" bestFit="1" customWidth="1"/>
    <col min="2" max="2" width="24" style="19" bestFit="1" customWidth="1"/>
    <col min="3" max="3" width="10.42578125" style="19" bestFit="1" customWidth="1"/>
    <col min="4" max="16384" width="11.42578125" style="19"/>
  </cols>
  <sheetData>
    <row r="1" spans="1:3">
      <c r="A1" s="19" t="s">
        <v>29</v>
      </c>
    </row>
    <row r="7" spans="1:3">
      <c r="C7" s="19" t="s">
        <v>30</v>
      </c>
    </row>
    <row r="8" spans="1:3">
      <c r="A8" s="19" t="s">
        <v>31</v>
      </c>
      <c r="B8" s="19" t="s">
        <v>32</v>
      </c>
      <c r="C8" s="19" t="s">
        <v>33</v>
      </c>
    </row>
    <row r="9" spans="1:3">
      <c r="A9" s="19" t="s">
        <v>34</v>
      </c>
      <c r="B9" s="19" t="s">
        <v>35</v>
      </c>
      <c r="C9" s="19" t="s">
        <v>34</v>
      </c>
    </row>
    <row r="10" spans="1:3">
      <c r="A10" s="19" t="s">
        <v>24</v>
      </c>
      <c r="B10" s="19" t="s">
        <v>39</v>
      </c>
      <c r="C10" s="19">
        <v>0</v>
      </c>
    </row>
    <row r="11" spans="1:3">
      <c r="A11" s="19" t="s">
        <v>25</v>
      </c>
      <c r="B11" s="19" t="s">
        <v>40</v>
      </c>
      <c r="C11" s="19">
        <v>0</v>
      </c>
    </row>
    <row r="12" spans="1:3">
      <c r="A12" s="19" t="s">
        <v>36</v>
      </c>
      <c r="B12" s="19" t="s">
        <v>37</v>
      </c>
      <c r="C12" s="19">
        <v>155.96</v>
      </c>
    </row>
    <row r="13" spans="1:3">
      <c r="A13" s="19" t="s">
        <v>26</v>
      </c>
      <c r="B13" s="19" t="s">
        <v>41</v>
      </c>
      <c r="C13" s="19">
        <v>0</v>
      </c>
    </row>
    <row r="14" spans="1:3">
      <c r="A14" s="19" t="s">
        <v>27</v>
      </c>
      <c r="B14" s="19" t="s">
        <v>38</v>
      </c>
      <c r="C14" s="19">
        <v>0</v>
      </c>
    </row>
  </sheetData>
  <sortState ref="A10:D29">
    <sortCondition ref="B10:B2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A2" sqref="A2"/>
    </sheetView>
  </sheetViews>
  <sheetFormatPr baseColWidth="10" defaultRowHeight="15"/>
  <cols>
    <col min="1" max="2" width="11.5703125" bestFit="1" customWidth="1"/>
  </cols>
  <sheetData>
    <row r="1" spans="1:8">
      <c r="A1" s="21" t="s">
        <v>111</v>
      </c>
      <c r="B1" s="21"/>
      <c r="C1" s="21"/>
      <c r="D1" s="21"/>
      <c r="E1" s="21"/>
      <c r="F1" s="21"/>
      <c r="G1" s="21"/>
      <c r="H1" s="21"/>
    </row>
    <row r="2" spans="1:8">
      <c r="A2" s="98" t="s">
        <v>112</v>
      </c>
      <c r="B2" s="98"/>
      <c r="C2" s="98"/>
      <c r="D2" s="98"/>
      <c r="E2" s="98"/>
      <c r="F2" s="98"/>
      <c r="G2" s="98"/>
      <c r="H2" s="98"/>
    </row>
    <row r="3" spans="1:8">
      <c r="A3" s="98"/>
      <c r="B3" s="98"/>
      <c r="C3" s="98"/>
      <c r="D3" s="98"/>
      <c r="E3" s="98"/>
      <c r="F3" s="98"/>
      <c r="G3" s="98"/>
      <c r="H3" s="98"/>
    </row>
    <row r="4" spans="1:8">
      <c r="A4" s="98" t="s">
        <v>105</v>
      </c>
      <c r="B4" s="99" t="s">
        <v>106</v>
      </c>
      <c r="C4" s="98"/>
      <c r="D4" s="98"/>
      <c r="E4" s="98"/>
      <c r="F4" s="98"/>
      <c r="G4" s="98"/>
      <c r="H4" s="98"/>
    </row>
    <row r="5" spans="1:8">
      <c r="A5" s="98" t="s">
        <v>107</v>
      </c>
      <c r="B5" s="98"/>
      <c r="C5" s="98"/>
      <c r="D5" s="98"/>
      <c r="E5" s="98"/>
      <c r="F5" s="98"/>
      <c r="G5" s="98"/>
      <c r="H5" s="98"/>
    </row>
    <row r="6" spans="1:8">
      <c r="A6" s="98"/>
      <c r="B6" s="98"/>
      <c r="C6" s="98"/>
      <c r="D6" s="98"/>
      <c r="E6" s="98"/>
      <c r="F6" s="98"/>
      <c r="G6" s="98"/>
      <c r="H6" s="98"/>
    </row>
    <row r="7" spans="1:8">
      <c r="A7" s="100" t="s">
        <v>108</v>
      </c>
      <c r="B7" s="100" t="s">
        <v>109</v>
      </c>
      <c r="C7" s="98"/>
      <c r="D7" s="98"/>
      <c r="E7" s="98"/>
      <c r="F7" s="98"/>
      <c r="G7" s="98"/>
      <c r="H7" s="98"/>
    </row>
    <row r="8" spans="1:8">
      <c r="A8" s="98">
        <v>700070</v>
      </c>
      <c r="B8" s="101">
        <v>3100.45</v>
      </c>
      <c r="C8" s="98"/>
      <c r="D8" s="98"/>
      <c r="E8" s="98"/>
      <c r="F8" s="98"/>
      <c r="G8" s="98"/>
      <c r="H8" s="98"/>
    </row>
    <row r="9" spans="1:8">
      <c r="A9" s="98">
        <v>701070</v>
      </c>
      <c r="B9" s="101"/>
      <c r="C9" s="98"/>
      <c r="D9" s="98"/>
      <c r="E9" s="98"/>
      <c r="F9" s="98"/>
      <c r="G9" s="98"/>
      <c r="H9" s="98"/>
    </row>
    <row r="10" spans="1:8">
      <c r="A10" s="98">
        <v>702070</v>
      </c>
      <c r="B10" s="101"/>
      <c r="C10" s="98"/>
      <c r="D10" s="98"/>
      <c r="E10" s="98"/>
      <c r="F10" s="98"/>
      <c r="G10" s="98"/>
      <c r="H10" s="98"/>
    </row>
    <row r="11" spans="1:8">
      <c r="A11" s="98">
        <v>703070</v>
      </c>
      <c r="B11" s="101">
        <v>2576.89</v>
      </c>
      <c r="C11" s="98"/>
      <c r="D11" s="98"/>
      <c r="E11" s="98"/>
      <c r="F11" s="98"/>
      <c r="G11" s="98"/>
      <c r="H11" s="98"/>
    </row>
    <row r="12" spans="1:8">
      <c r="A12" s="98">
        <v>704070</v>
      </c>
      <c r="B12" s="101"/>
      <c r="C12" s="98"/>
      <c r="D12" s="98"/>
      <c r="E12" s="98"/>
      <c r="F12" s="98"/>
      <c r="G12" s="98"/>
      <c r="H12" s="98"/>
    </row>
    <row r="13" spans="1:8">
      <c r="A13" s="98">
        <v>705070</v>
      </c>
      <c r="B13" s="101">
        <v>6988.35</v>
      </c>
      <c r="C13" s="98"/>
      <c r="D13" s="98"/>
      <c r="E13" s="98"/>
      <c r="F13" s="98"/>
      <c r="G13" s="98"/>
      <c r="H13" s="98"/>
    </row>
    <row r="14" spans="1:8">
      <c r="A14" s="98" t="s">
        <v>110</v>
      </c>
      <c r="B14" s="101"/>
      <c r="C14" s="98"/>
      <c r="D14" s="98"/>
      <c r="E14" s="98"/>
      <c r="F14" s="98"/>
      <c r="G14" s="98"/>
      <c r="H14" s="98"/>
    </row>
    <row r="15" spans="1:8">
      <c r="A15" s="98"/>
      <c r="B15" s="101">
        <f>SUM(B8:B14)</f>
        <v>12665.69</v>
      </c>
      <c r="C15" s="98"/>
      <c r="D15" s="98"/>
      <c r="E15" s="98"/>
      <c r="F15" s="98"/>
      <c r="G15" s="98"/>
      <c r="H15" s="98"/>
    </row>
    <row r="16" spans="1:8">
      <c r="A16" s="98"/>
      <c r="B16" s="101">
        <f>B15*0.16</f>
        <v>2026.5104000000001</v>
      </c>
      <c r="C16" s="98"/>
      <c r="D16" s="98"/>
      <c r="E16" s="98"/>
      <c r="F16" s="98"/>
      <c r="G16" s="98"/>
      <c r="H16" s="98"/>
    </row>
    <row r="17" spans="1:8">
      <c r="A17" s="98"/>
      <c r="B17" s="101">
        <f>+B15+B16</f>
        <v>14692.200400000002</v>
      </c>
      <c r="C17" s="98"/>
      <c r="D17" s="98"/>
      <c r="E17" s="98"/>
      <c r="F17" s="98"/>
      <c r="G17" s="98"/>
      <c r="H17" s="98"/>
    </row>
    <row r="18" spans="1:8">
      <c r="A18" s="98"/>
      <c r="B18" s="101"/>
      <c r="C18" s="98"/>
      <c r="D18" s="98"/>
      <c r="E18" s="98"/>
      <c r="F18" s="98"/>
      <c r="G18" s="98"/>
      <c r="H18" s="98"/>
    </row>
    <row r="19" spans="1:8">
      <c r="A19" s="98"/>
      <c r="B19" s="101"/>
      <c r="C19" s="98"/>
      <c r="D19" s="98"/>
      <c r="E19" s="98"/>
      <c r="F19" s="98"/>
      <c r="G19" s="98"/>
      <c r="H19" s="98"/>
    </row>
    <row r="20" spans="1:8">
      <c r="A20" s="98"/>
      <c r="B20" s="101"/>
      <c r="C20" s="98"/>
      <c r="D20" s="98"/>
      <c r="E20" s="98"/>
      <c r="F20" s="98"/>
      <c r="G20" s="98"/>
      <c r="H20" s="98"/>
    </row>
    <row r="21" spans="1:8">
      <c r="A21" s="98"/>
      <c r="B21" s="98"/>
      <c r="C21" s="98"/>
      <c r="D21" s="98"/>
      <c r="E21" s="98"/>
      <c r="F21" s="98"/>
      <c r="G21" s="98"/>
      <c r="H21" s="98"/>
    </row>
    <row r="22" spans="1:8">
      <c r="A22" s="98"/>
      <c r="B22" s="98"/>
      <c r="C22" s="98"/>
      <c r="D22" s="98"/>
      <c r="E22" s="98"/>
      <c r="F22" s="98"/>
      <c r="G22" s="98"/>
      <c r="H22" s="98"/>
    </row>
    <row r="23" spans="1:8">
      <c r="A23" s="98"/>
      <c r="B23" s="98"/>
      <c r="C23" s="98"/>
      <c r="D23" s="98"/>
      <c r="E23" s="98"/>
      <c r="F23" s="98"/>
      <c r="G23" s="98"/>
      <c r="H23" s="98"/>
    </row>
    <row r="24" spans="1:8">
      <c r="A24" s="98"/>
      <c r="B24" s="98"/>
      <c r="C24" s="98"/>
      <c r="D24" s="98"/>
      <c r="E24" s="98"/>
      <c r="F24" s="98"/>
      <c r="G24" s="98"/>
      <c r="H24" s="98"/>
    </row>
    <row r="25" spans="1:8">
      <c r="A25" s="98"/>
      <c r="B25" s="98"/>
      <c r="C25" s="98"/>
      <c r="D25" s="98"/>
      <c r="E25" s="98"/>
      <c r="F25" s="98"/>
      <c r="G25" s="98"/>
      <c r="H25" s="9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FACTURACIÓN</vt:lpstr>
      <vt:lpstr>C&amp;A</vt:lpstr>
      <vt:lpstr>SINDICATO</vt:lpstr>
      <vt:lpstr>INFONAVIT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usuario</cp:lastModifiedBy>
  <cp:lastPrinted>2016-02-13T01:54:21Z</cp:lastPrinted>
  <dcterms:created xsi:type="dcterms:W3CDTF">2016-01-16T18:25:25Z</dcterms:created>
  <dcterms:modified xsi:type="dcterms:W3CDTF">2016-05-06T16:26:28Z</dcterms:modified>
</cp:coreProperties>
</file>