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  <sheet name="descuentos" sheetId="2" r:id="rId2"/>
    <sheet name="INFONAVIT" sheetId="3" r:id="rId3"/>
    <sheet name="COMPLEMENTO" sheetId="5" r:id="rId4"/>
  </sheets>
  <definedNames>
    <definedName name="_xlnm._FilterDatabase" localSheetId="3" hidden="1">COMPLEMENTO!$A$5:$AN$6</definedName>
    <definedName name="_xlnm._FilterDatabase" localSheetId="0" hidden="1">'FORMATO NOMINA'!$A$5:$AN$8</definedName>
  </definedNames>
  <calcPr calcId="124519"/>
</workbook>
</file>

<file path=xl/calcChain.xml><?xml version="1.0" encoding="utf-8"?>
<calcChain xmlns="http://schemas.openxmlformats.org/spreadsheetml/2006/main">
  <c r="AL8" i="4"/>
  <c r="Q9" i="5" l="1"/>
  <c r="V9" s="1"/>
  <c r="U9" l="1"/>
  <c r="AB9"/>
  <c r="AE9" l="1"/>
  <c r="AH9" s="1"/>
  <c r="AH10" s="1"/>
  <c r="AC9"/>
  <c r="AD9"/>
  <c r="AH11" l="1"/>
  <c r="AH12" s="1"/>
  <c r="AH7" l="1"/>
  <c r="AH8" s="1"/>
  <c r="AH14" s="1"/>
  <c r="Q8" i="4" l="1"/>
  <c r="AD8" s="1"/>
  <c r="AH8" l="1"/>
  <c r="AH7"/>
  <c r="AF8" l="1"/>
  <c r="AI8" s="1"/>
  <c r="K7"/>
  <c r="Q7" s="1"/>
  <c r="AD7" l="1"/>
  <c r="AF7"/>
  <c r="AI7" s="1"/>
  <c r="AG10"/>
  <c r="AC7"/>
  <c r="AK10"/>
  <c r="AJ10"/>
  <c r="Y10"/>
  <c r="X10"/>
  <c r="R10"/>
  <c r="P10"/>
  <c r="O10"/>
  <c r="N10"/>
  <c r="Z10" l="1"/>
  <c r="AE7"/>
  <c r="AL7" s="1"/>
  <c r="AA10"/>
  <c r="L10"/>
  <c r="K10"/>
  <c r="AH10" l="1"/>
  <c r="U10"/>
  <c r="V10"/>
  <c r="W10"/>
  <c r="Q10"/>
  <c r="AB10" l="1"/>
  <c r="AC10"/>
  <c r="AD10"/>
  <c r="AI10"/>
  <c r="AF10"/>
  <c r="AL10" l="1"/>
  <c r="AI11"/>
  <c r="AE10"/>
  <c r="D21" i="3" l="1"/>
  <c r="E21" s="1"/>
  <c r="G21" s="1"/>
  <c r="D20"/>
  <c r="E20" s="1"/>
  <c r="G20" s="1"/>
  <c r="D13"/>
  <c r="E13" s="1"/>
  <c r="G13" s="1"/>
  <c r="D12"/>
  <c r="E12" s="1"/>
  <c r="G12" s="1"/>
  <c r="D8"/>
  <c r="E8" s="1"/>
  <c r="G8" s="1"/>
  <c r="D26"/>
  <c r="E26" s="1"/>
  <c r="G26" s="1"/>
  <c r="D25"/>
  <c r="E25" s="1"/>
  <c r="G25" s="1"/>
  <c r="D24"/>
  <c r="E24" s="1"/>
  <c r="G24" s="1"/>
  <c r="D23"/>
  <c r="E23" s="1"/>
  <c r="G23" s="1"/>
  <c r="D22"/>
  <c r="E22" s="1"/>
  <c r="G22" s="1"/>
  <c r="D19"/>
  <c r="E19" s="1"/>
  <c r="G19" s="1"/>
  <c r="D18"/>
  <c r="E18" s="1"/>
  <c r="D17"/>
  <c r="E17" s="1"/>
  <c r="G17" s="1"/>
  <c r="D16"/>
  <c r="E16" s="1"/>
  <c r="G16" s="1"/>
  <c r="D15"/>
  <c r="E15" s="1"/>
  <c r="G15" s="1"/>
  <c r="D14"/>
  <c r="E14" s="1"/>
  <c r="G14" s="1"/>
  <c r="D11"/>
  <c r="E11" s="1"/>
  <c r="G11" s="1"/>
  <c r="D10"/>
  <c r="E10" s="1"/>
  <c r="G10" s="1"/>
  <c r="D9"/>
  <c r="E9" s="1"/>
  <c r="G9" s="1"/>
  <c r="D7"/>
  <c r="E7" s="1"/>
  <c r="G7" s="1"/>
  <c r="C9" i="2"/>
  <c r="C8"/>
  <c r="D28" i="3" l="1"/>
  <c r="G28"/>
</calcChain>
</file>

<file path=xl/sharedStrings.xml><?xml version="1.0" encoding="utf-8"?>
<sst xmlns="http://schemas.openxmlformats.org/spreadsheetml/2006/main" count="151" uniqueCount="93">
  <si>
    <t>Puesto</t>
  </si>
  <si>
    <t xml:space="preserve">García Espinoza Ma De la Luz </t>
  </si>
  <si>
    <t>Sánchez Villeda Ma. Del Rosario</t>
  </si>
  <si>
    <t xml:space="preserve">Garnica Téllez Adriana Miriam </t>
  </si>
  <si>
    <t>Padron Lorenzo Christian Josue</t>
  </si>
  <si>
    <t xml:space="preserve">Suarez Martínez Salvador </t>
  </si>
  <si>
    <t xml:space="preserve">Gómez López Jaime </t>
  </si>
  <si>
    <t>Islas Romero Juan Carlos</t>
  </si>
  <si>
    <t>Joachin Cardenas Epifanio</t>
  </si>
  <si>
    <t>Garcia Barrera Luis Alberto</t>
  </si>
  <si>
    <t>Bautista Valencia Jorge</t>
  </si>
  <si>
    <t xml:space="preserve">González Mejía Jesús Eduardo </t>
  </si>
  <si>
    <t>Godinez Aviles Efrén</t>
  </si>
  <si>
    <t>Farias Delgado Marco Polo</t>
  </si>
  <si>
    <t>Martinez Gaytan Erika</t>
  </si>
  <si>
    <t>Martinez Barragan Enoc</t>
  </si>
  <si>
    <t>Escamilla Hinojosa Ma. Esther</t>
  </si>
  <si>
    <t>TOTAL NOMINA</t>
  </si>
  <si>
    <t>Orozco Ordoñez Jose Domingo</t>
  </si>
  <si>
    <t>Rodriguez Ponce Zozimo Enoch</t>
  </si>
  <si>
    <t>Diaz Gutierrez Juan Francisco</t>
  </si>
  <si>
    <t>Cortes Trejo German</t>
  </si>
  <si>
    <t>Consultores &amp; Asesores Integrales S.C.</t>
  </si>
  <si>
    <t>Servicios Prestados a :  ALECSA PACHUCA S DE RL DE CV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</si>
  <si>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</si>
  <si>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</si>
  <si>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</si>
  <si>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</si>
  <si>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</si>
  <si>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</si>
  <si>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</si>
  <si>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Sueldo Quincenal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</si>
  <si>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</si>
  <si>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</si>
  <si>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</si>
  <si>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</si>
  <si>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</si>
  <si>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</si>
  <si>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</si>
  <si>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CORONA ESCOBAR GUADALUPE</t>
  </si>
  <si>
    <t>SOLIS MEDINA GUADALUPE BEATRIZ</t>
  </si>
  <si>
    <t>QUINCENAL</t>
  </si>
  <si>
    <t>ANUAL</t>
  </si>
  <si>
    <t>GASTOS MEDICOS MAYORES</t>
  </si>
  <si>
    <t>Descuentos Infonavit 2016</t>
  </si>
  <si>
    <t>25 %</t>
  </si>
  <si>
    <t>Leon Sanchez Ernesto</t>
  </si>
  <si>
    <t>%</t>
  </si>
  <si>
    <t>CF</t>
  </si>
  <si>
    <t>VSM</t>
  </si>
  <si>
    <t>MENSUAL</t>
  </si>
  <si>
    <t>BAJA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</si>
  <si>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</si>
  <si>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</si>
  <si>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</si>
  <si>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</si>
  <si>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</si>
  <si>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</si>
  <si>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</si>
  <si>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</si>
  <si>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</si>
  <si>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</si>
  <si>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sub   S/N</t>
  </si>
  <si>
    <t>CONSULTORES</t>
  </si>
  <si>
    <t>FIJO / VARIABLE</t>
  </si>
  <si>
    <t>SINDICATO</t>
  </si>
  <si>
    <t>COMISION</t>
  </si>
  <si>
    <t>Servicios Prestados a : QUERETARO MOTORS, SA</t>
  </si>
  <si>
    <t>HOJALATERIA</t>
  </si>
  <si>
    <t>HOJALATERO</t>
  </si>
  <si>
    <t>AHORRO CTM</t>
  </si>
  <si>
    <t>PRESTAMO CTM</t>
  </si>
  <si>
    <t>DISPERCION</t>
  </si>
  <si>
    <t>DIFERENCIA</t>
  </si>
  <si>
    <t>CUOTA SINDICAL 1%</t>
  </si>
  <si>
    <t>FONDO DE AHORRO 4.9%</t>
  </si>
  <si>
    <t>FECHA DE INICIO</t>
  </si>
  <si>
    <t>COACH</t>
  </si>
  <si>
    <t>CUENTA</t>
  </si>
  <si>
    <t>OBSERVACIONES</t>
  </si>
  <si>
    <t>RESENDIZ CAMPUZANO ISRAEL</t>
  </si>
  <si>
    <t>UNIFORMES</t>
  </si>
  <si>
    <t>Subsidio</t>
  </si>
  <si>
    <t>ESPECIALES</t>
  </si>
  <si>
    <t xml:space="preserve">AGUILAR PEREZ MARCOS ARTEMIO </t>
  </si>
  <si>
    <t>23/03/2016 AL 29/03/2016</t>
  </si>
  <si>
    <t>Periodo Semana 13</t>
  </si>
  <si>
    <t>Num. Cuenta</t>
  </si>
  <si>
    <t>DISPERSION</t>
  </si>
  <si>
    <t>Sueldo Semanal</t>
  </si>
  <si>
    <t>FALTAS</t>
  </si>
  <si>
    <t>Periodo Semana 28</t>
  </si>
  <si>
    <t>06/07/2016 AL 12/07/2016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</si>
</sst>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_);\-#,##0.00"/>
    <numFmt numFmtId="165" formatCode="dd/mm/yy"/>
  </numFmts>
  <fonts count="18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b/>
      <sz val="18"/>
      <color indexed="60"/>
      <name val="Verdana"/>
      <family val="2"/>
    </font>
    <font>
      <b/>
      <sz val="14"/>
      <color indexed="48"/>
      <name val="Verdana"/>
      <family val="2"/>
    </font>
    <font>
      <b/>
      <sz val="12"/>
      <color indexed="60"/>
      <name val="Verdana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name val="Calibri  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5">
    <xf numFmtId="0" fontId="0" fillId="0" borderId="0"/>
    <xf numFmtId="0" fontId="7" fillId="0" borderId="0"/>
    <xf numFmtId="43" fontId="1" fillId="0" borderId="0" applyFill="0" applyBorder="0" applyAlignment="0" applyProtection="0"/>
    <xf numFmtId="0" fontId="3" fillId="0" borderId="0"/>
    <xf numFmtId="0" fontId="1" fillId="0" borderId="0"/>
  </cellStyleXfs>
  <cellXfs count="110">
    <xf numFmtId="0" fontId="0" fillId="0" borderId="0" xfId="0"/>
    <xf numFmtId="0" fontId="4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left"/>
    </xf>
    <xf numFmtId="15" fontId="6" fillId="0" borderId="0" xfId="3" applyNumberFormat="1" applyFont="1" applyFill="1" applyAlignment="1" applyProtection="1">
      <alignment horizontal="left"/>
    </xf>
    <xf numFmtId="43" fontId="1" fillId="0" borderId="0" xfId="2"/>
    <xf numFmtId="0" fontId="2" fillId="0" borderId="1" xfId="0" applyFont="1" applyFill="1" applyBorder="1"/>
    <xf numFmtId="49" fontId="2" fillId="0" borderId="1" xfId="0" applyNumberFormat="1" applyFont="1" applyFill="1" applyBorder="1"/>
    <xf numFmtId="4" fontId="2" fillId="0" borderId="1" xfId="0" applyNumberFormat="1" applyFont="1" applyFill="1" applyBorder="1"/>
    <xf numFmtId="4" fontId="2" fillId="0" borderId="0" xfId="0" applyNumberFormat="1" applyFont="1" applyFill="1" applyBorder="1"/>
    <xf numFmtId="164" fontId="8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43" fontId="0" fillId="0" borderId="0" xfId="2" applyFont="1"/>
    <xf numFmtId="0" fontId="10" fillId="0" borderId="0" xfId="3" applyFont="1" applyFill="1" applyAlignment="1" applyProtection="1">
      <alignment horizontal="left"/>
    </xf>
    <xf numFmtId="0" fontId="10" fillId="0" borderId="0" xfId="3" applyFont="1" applyFill="1" applyAlignment="1" applyProtection="1">
      <alignment horizontal="center"/>
    </xf>
    <xf numFmtId="43" fontId="11" fillId="0" borderId="0" xfId="2" applyFont="1" applyFill="1" applyAlignment="1" applyProtection="1">
      <alignment horizontal="center"/>
    </xf>
    <xf numFmtId="43" fontId="12" fillId="0" borderId="0" xfId="2" applyFont="1" applyFill="1" applyAlignment="1" applyProtection="1">
      <alignment horizontal="center"/>
    </xf>
    <xf numFmtId="0" fontId="11" fillId="0" borderId="0" xfId="0" applyFont="1" applyFill="1" applyProtection="1"/>
    <xf numFmtId="0" fontId="11" fillId="0" borderId="0" xfId="0" applyFont="1" applyProtection="1"/>
    <xf numFmtId="0" fontId="13" fillId="0" borderId="0" xfId="3" applyFont="1" applyFill="1" applyAlignment="1" applyProtection="1">
      <alignment horizontal="left"/>
    </xf>
    <xf numFmtId="0" fontId="13" fillId="0" borderId="0" xfId="3" applyFont="1" applyFill="1" applyAlignment="1" applyProtection="1">
      <alignment horizontal="center"/>
    </xf>
    <xf numFmtId="15" fontId="10" fillId="0" borderId="0" xfId="3" applyNumberFormat="1" applyFont="1" applyFill="1" applyAlignment="1" applyProtection="1">
      <alignment horizontal="left"/>
    </xf>
    <xf numFmtId="15" fontId="10" fillId="0" borderId="0" xfId="3" applyNumberFormat="1" applyFont="1" applyFill="1" applyAlignment="1" applyProtection="1">
      <alignment horizontal="center"/>
    </xf>
    <xf numFmtId="0" fontId="12" fillId="0" borderId="0" xfId="0" applyFont="1"/>
    <xf numFmtId="43" fontId="11" fillId="0" borderId="0" xfId="2" applyFont="1"/>
    <xf numFmtId="43" fontId="12" fillId="0" borderId="0" xfId="2" applyFont="1"/>
    <xf numFmtId="43" fontId="11" fillId="0" borderId="0" xfId="2" applyFont="1" applyFill="1"/>
    <xf numFmtId="0" fontId="12" fillId="0" borderId="0" xfId="0" applyFont="1" applyFill="1"/>
    <xf numFmtId="0" fontId="11" fillId="0" borderId="1" xfId="0" applyFont="1" applyBorder="1"/>
    <xf numFmtId="0" fontId="11" fillId="0" borderId="0" xfId="0" applyFont="1" applyFill="1"/>
    <xf numFmtId="0" fontId="11" fillId="0" borderId="0" xfId="0" applyFont="1"/>
    <xf numFmtId="0" fontId="14" fillId="0" borderId="0" xfId="0" applyFont="1"/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Border="1"/>
    <xf numFmtId="43" fontId="12" fillId="8" borderId="2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vertical="center" wrapText="1"/>
    </xf>
    <xf numFmtId="43" fontId="1" fillId="0" borderId="0" xfId="2" applyProtection="1"/>
    <xf numFmtId="43" fontId="1" fillId="0" borderId="0" xfId="2" applyFill="1"/>
    <xf numFmtId="43" fontId="12" fillId="8" borderId="1" xfId="2" applyFont="1" applyFill="1" applyBorder="1" applyAlignment="1">
      <alignment horizontal="center" wrapText="1"/>
    </xf>
    <xf numFmtId="43" fontId="12" fillId="8" borderId="8" xfId="2" applyFont="1" applyFill="1" applyBorder="1" applyAlignment="1">
      <alignment horizontal="center" vertical="center" wrapText="1"/>
    </xf>
    <xf numFmtId="43" fontId="12" fillId="8" borderId="8" xfId="2" applyFont="1" applyFill="1" applyBorder="1" applyAlignment="1">
      <alignment horizontal="center" wrapText="1"/>
    </xf>
    <xf numFmtId="43" fontId="1" fillId="8" borderId="2" xfId="2" applyFill="1" applyBorder="1" applyAlignment="1">
      <alignment horizontal="center" vertical="center" wrapText="1"/>
    </xf>
    <xf numFmtId="0" fontId="12" fillId="0" borderId="6" xfId="0" applyFont="1" applyFill="1" applyBorder="1"/>
    <xf numFmtId="0" fontId="11" fillId="0" borderId="8" xfId="0" applyFont="1" applyFill="1" applyBorder="1"/>
    <xf numFmtId="43" fontId="11" fillId="0" borderId="8" xfId="2" applyFont="1" applyFill="1" applyBorder="1"/>
    <xf numFmtId="43" fontId="12" fillId="0" borderId="8" xfId="2" applyFont="1" applyFill="1" applyBorder="1"/>
    <xf numFmtId="0" fontId="11" fillId="0" borderId="7" xfId="0" applyFont="1" applyBorder="1"/>
    <xf numFmtId="0" fontId="11" fillId="2" borderId="7" xfId="0" applyFont="1" applyFill="1" applyBorder="1"/>
    <xf numFmtId="43" fontId="11" fillId="0" borderId="7" xfId="2" applyFont="1" applyBorder="1"/>
    <xf numFmtId="43" fontId="12" fillId="3" borderId="7" xfId="2" applyFont="1" applyFill="1" applyBorder="1"/>
    <xf numFmtId="43" fontId="11" fillId="4" borderId="7" xfId="2" applyFont="1" applyFill="1" applyBorder="1"/>
    <xf numFmtId="43" fontId="11" fillId="0" borderId="7" xfId="2" applyFont="1" applyFill="1" applyBorder="1" applyAlignment="1">
      <alignment horizontal="center"/>
    </xf>
    <xf numFmtId="43" fontId="11" fillId="6" borderId="7" xfId="2" applyFont="1" applyFill="1" applyBorder="1" applyAlignment="1">
      <alignment horizontal="center"/>
    </xf>
    <xf numFmtId="0" fontId="11" fillId="0" borderId="7" xfId="0" applyFont="1" applyFill="1" applyBorder="1"/>
    <xf numFmtId="43" fontId="11" fillId="11" borderId="7" xfId="2" applyFont="1" applyFill="1" applyBorder="1"/>
    <xf numFmtId="43" fontId="11" fillId="0" borderId="7" xfId="2" applyFont="1" applyFill="1" applyBorder="1"/>
    <xf numFmtId="0" fontId="12" fillId="0" borderId="7" xfId="0" applyFont="1" applyFill="1" applyBorder="1"/>
    <xf numFmtId="43" fontId="11" fillId="0" borderId="8" xfId="2" applyFont="1" applyFill="1" applyBorder="1" applyAlignment="1">
      <alignment horizontal="center"/>
    </xf>
    <xf numFmtId="0" fontId="12" fillId="0" borderId="7" xfId="0" applyFont="1" applyBorder="1"/>
    <xf numFmtId="43" fontId="12" fillId="0" borderId="7" xfId="2" applyFont="1" applyBorder="1"/>
    <xf numFmtId="43" fontId="12" fillId="12" borderId="7" xfId="2" applyFont="1" applyFill="1" applyBorder="1"/>
    <xf numFmtId="43" fontId="1" fillId="0" borderId="7" xfId="2" applyBorder="1"/>
    <xf numFmtId="43" fontId="11" fillId="5" borderId="7" xfId="2" applyFont="1" applyFill="1" applyBorder="1" applyAlignment="1">
      <alignment horizontal="center"/>
    </xf>
    <xf numFmtId="43" fontId="1" fillId="3" borderId="7" xfId="2" applyFill="1" applyBorder="1"/>
    <xf numFmtId="0" fontId="12" fillId="7" borderId="5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43" fontId="12" fillId="8" borderId="1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vertical="center" wrapText="1"/>
    </xf>
    <xf numFmtId="43" fontId="12" fillId="8" borderId="8" xfId="2" applyFont="1" applyFill="1" applyBorder="1" applyAlignment="1">
      <alignment horizontal="center" vertical="center" wrapText="1"/>
    </xf>
    <xf numFmtId="43" fontId="11" fillId="10" borderId="7" xfId="2" applyFont="1" applyFill="1" applyBorder="1"/>
    <xf numFmtId="43" fontId="15" fillId="8" borderId="2" xfId="2" applyFont="1" applyFill="1" applyBorder="1" applyAlignment="1">
      <alignment horizontal="center" vertical="center" wrapText="1"/>
    </xf>
    <xf numFmtId="43" fontId="16" fillId="0" borderId="0" xfId="2" applyFont="1" applyProtection="1"/>
    <xf numFmtId="43" fontId="16" fillId="0" borderId="0" xfId="2" applyFont="1"/>
    <xf numFmtId="43" fontId="16" fillId="0" borderId="0" xfId="2" applyFont="1" applyFill="1"/>
    <xf numFmtId="43" fontId="16" fillId="0" borderId="7" xfId="2" applyFont="1" applyBorder="1"/>
    <xf numFmtId="43" fontId="9" fillId="0" borderId="7" xfId="2" applyFont="1" applyFill="1" applyBorder="1"/>
    <xf numFmtId="0" fontId="10" fillId="0" borderId="0" xfId="3" applyFont="1" applyFill="1" applyAlignment="1" applyProtection="1">
      <alignment horizontal="center" vertical="center"/>
    </xf>
    <xf numFmtId="0" fontId="13" fillId="0" borderId="0" xfId="3" applyFont="1" applyFill="1" applyAlignment="1" applyProtection="1">
      <alignment horizontal="center" vertical="center"/>
    </xf>
    <xf numFmtId="15" fontId="10" fillId="0" borderId="0" xfId="3" applyNumberFormat="1" applyFont="1" applyFill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3" fontId="12" fillId="0" borderId="7" xfId="2" applyFont="1" applyFill="1" applyBorder="1"/>
    <xf numFmtId="43" fontId="17" fillId="0" borderId="7" xfId="2" applyFont="1" applyFill="1" applyBorder="1"/>
    <xf numFmtId="165" fontId="17" fillId="0" borderId="7" xfId="0" applyNumberFormat="1" applyFont="1" applyFill="1" applyBorder="1"/>
    <xf numFmtId="0" fontId="17" fillId="0" borderId="7" xfId="0" applyFont="1" applyFill="1" applyBorder="1" applyAlignment="1">
      <alignment wrapText="1"/>
    </xf>
    <xf numFmtId="4" fontId="17" fillId="0" borderId="7" xfId="0" applyNumberFormat="1" applyFont="1" applyFill="1" applyBorder="1" applyAlignment="1">
      <alignment wrapText="1"/>
    </xf>
    <xf numFmtId="43" fontId="1" fillId="0" borderId="7" xfId="2" applyFill="1" applyBorder="1" applyAlignment="1">
      <alignment horizontal="center" vertical="center"/>
    </xf>
    <xf numFmtId="43" fontId="12" fillId="8" borderId="2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vertical="center" wrapText="1"/>
    </xf>
    <xf numFmtId="43" fontId="12" fillId="8" borderId="8" xfId="2" applyFont="1" applyFill="1" applyBorder="1" applyAlignment="1">
      <alignment horizontal="center" vertical="center" wrapText="1"/>
    </xf>
    <xf numFmtId="3" fontId="12" fillId="8" borderId="2" xfId="0" applyNumberFormat="1" applyFont="1" applyFill="1" applyBorder="1" applyAlignment="1">
      <alignment horizontal="center"/>
    </xf>
    <xf numFmtId="3" fontId="12" fillId="8" borderId="8" xfId="0" applyNumberFormat="1" applyFont="1" applyFill="1" applyBorder="1" applyAlignment="1">
      <alignment horizontal="center"/>
    </xf>
    <xf numFmtId="3" fontId="12" fillId="8" borderId="1" xfId="0" applyNumberFormat="1" applyFont="1" applyFill="1" applyBorder="1"/>
    <xf numFmtId="3" fontId="12" fillId="8" borderId="2" xfId="0" applyNumberFormat="1" applyFont="1" applyFill="1" applyBorder="1"/>
    <xf numFmtId="43" fontId="12" fillId="8" borderId="1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wrapText="1"/>
    </xf>
    <xf numFmtId="43" fontId="11" fillId="8" borderId="2" xfId="2" applyFont="1" applyFill="1" applyBorder="1" applyAlignment="1">
      <alignment horizontal="center" vertical="center" wrapText="1"/>
    </xf>
    <xf numFmtId="43" fontId="11" fillId="8" borderId="8" xfId="2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43" fontId="15" fillId="8" borderId="3" xfId="2" applyFont="1" applyFill="1" applyBorder="1" applyAlignment="1">
      <alignment horizontal="center" wrapText="1"/>
    </xf>
    <xf numFmtId="43" fontId="15" fillId="8" borderId="4" xfId="2" applyFont="1" applyFill="1" applyBorder="1" applyAlignment="1">
      <alignment horizontal="center" wrapText="1"/>
    </xf>
    <xf numFmtId="43" fontId="1" fillId="7" borderId="5" xfId="2" applyFill="1" applyBorder="1" applyAlignment="1">
      <alignment horizontal="center"/>
    </xf>
    <xf numFmtId="43" fontId="1" fillId="8" borderId="3" xfId="2" applyFill="1" applyBorder="1" applyAlignment="1">
      <alignment horizontal="center" wrapText="1"/>
    </xf>
    <xf numFmtId="43" fontId="1" fillId="8" borderId="4" xfId="2" applyFill="1" applyBorder="1" applyAlignment="1">
      <alignment horizontal="center" wrapText="1"/>
    </xf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4B082"/>
      <color rgb="FFFF00FF"/>
      <color rgb="FF9999FF"/>
      <color rgb="FFBCD6EE"/>
      <color rgb="FF66CC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L24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7" sqref="A7"/>
    </sheetView>
  </sheetViews>
  <sheetFormatPr baseColWidth="10" defaultColWidth="11.5703125" defaultRowHeight="15"/>
  <cols>
    <col min="1" max="1" width="28.7109375" style="29" customWidth="1"/>
    <col min="2" max="2" width="39.140625" style="29" customWidth="1"/>
    <col min="3" max="3" width="8.140625" style="29" customWidth="1"/>
    <col min="4" max="4" width="8.85546875" style="29" customWidth="1"/>
    <col min="5" max="5" width="31.5703125" style="29" customWidth="1"/>
    <col min="6" max="6" width="20.140625" style="29" customWidth="1"/>
    <col min="7" max="7" width="13" style="29" customWidth="1"/>
    <col min="8" max="8" width="11.7109375" style="29" customWidth="1"/>
    <col min="9" max="9" width="17.140625" style="23" customWidth="1"/>
    <col min="10" max="10" width="11.7109375" style="83" customWidth="1"/>
    <col min="11" max="13" width="13.85546875" style="23" customWidth="1"/>
    <col min="14" max="16" width="13.5703125" style="23" customWidth="1"/>
    <col min="17" max="17" width="17" style="24" customWidth="1"/>
    <col min="18" max="20" width="13.5703125" style="23" customWidth="1"/>
    <col min="21" max="21" width="13.5703125" style="25" customWidth="1"/>
    <col min="22" max="22" width="19.28515625" style="25" customWidth="1"/>
    <col min="23" max="23" width="16.85546875" style="25" customWidth="1"/>
    <col min="24" max="24" width="16.140625" style="25" customWidth="1"/>
    <col min="25" max="28" width="13.5703125" style="23" customWidth="1"/>
    <col min="29" max="29" width="16.7109375" style="24" customWidth="1"/>
    <col min="30" max="30" width="16.7109375" style="23" customWidth="1"/>
    <col min="31" max="31" width="15.42578125" style="24" customWidth="1"/>
    <col min="32" max="34" width="13.5703125" style="23" customWidth="1"/>
    <col min="35" max="35" width="15.42578125" style="24" customWidth="1"/>
    <col min="36" max="36" width="15.28515625" style="73" hidden="1" customWidth="1"/>
    <col min="37" max="37" width="12.7109375" style="73" hidden="1" customWidth="1"/>
    <col min="38" max="38" width="11.5703125" style="4" hidden="1" customWidth="1"/>
    <col min="39" max="39" width="58.7109375" style="29" bestFit="1" customWidth="1"/>
    <col min="40" max="40" width="101.7109375" style="29" bestFit="1" customWidth="1"/>
    <col min="41" max="54" width="11.5703125" style="28"/>
    <col min="55" max="16384" width="11.5703125" style="29"/>
  </cols>
  <sheetData>
    <row r="1" spans="1:194" s="17" customFormat="1">
      <c r="A1" s="12" t="s">
        <v>22</v>
      </c>
      <c r="B1" s="12"/>
      <c r="C1" s="12"/>
      <c r="D1" s="12"/>
      <c r="E1" s="13"/>
      <c r="F1" s="13"/>
      <c r="G1" s="13"/>
      <c r="H1" s="13"/>
      <c r="I1" s="14"/>
      <c r="J1" s="77"/>
      <c r="K1" s="14"/>
      <c r="L1" s="14"/>
      <c r="M1" s="14"/>
      <c r="N1" s="14"/>
      <c r="O1" s="14"/>
      <c r="P1" s="14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5"/>
      <c r="AD1" s="14"/>
      <c r="AE1" s="15"/>
      <c r="AF1" s="14"/>
      <c r="AG1" s="14"/>
      <c r="AH1" s="14"/>
      <c r="AI1" s="15"/>
      <c r="AJ1" s="72"/>
      <c r="AK1" s="72"/>
      <c r="AL1" s="3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</row>
    <row r="2" spans="1:194" s="17" customFormat="1">
      <c r="A2" s="18" t="s">
        <v>67</v>
      </c>
      <c r="B2" s="18"/>
      <c r="C2" s="18"/>
      <c r="D2" s="18"/>
      <c r="E2" s="19"/>
      <c r="F2" s="19"/>
      <c r="G2" s="19"/>
      <c r="H2" s="19"/>
      <c r="I2" s="14"/>
      <c r="J2" s="78"/>
      <c r="K2" s="14"/>
      <c r="L2" s="14"/>
      <c r="M2" s="14"/>
      <c r="N2" s="14"/>
      <c r="O2" s="14"/>
      <c r="P2" s="14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5"/>
      <c r="AD2" s="14"/>
      <c r="AE2" s="15"/>
      <c r="AF2" s="14"/>
      <c r="AG2" s="14"/>
      <c r="AH2" s="14"/>
      <c r="AI2" s="15"/>
      <c r="AJ2" s="72"/>
      <c r="AK2" s="72"/>
      <c r="AL2" s="3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</row>
    <row r="3" spans="1:194" s="17" customFormat="1">
      <c r="A3" s="20" t="s">
        <v>91</v>
      </c>
      <c r="B3" s="20"/>
      <c r="C3" s="20"/>
      <c r="D3" s="20"/>
      <c r="E3" s="21"/>
      <c r="F3" s="21"/>
      <c r="G3" s="21"/>
      <c r="H3" s="21"/>
      <c r="I3" s="14"/>
      <c r="J3" s="79"/>
      <c r="K3" s="14"/>
      <c r="L3" s="14"/>
      <c r="M3" s="14"/>
      <c r="N3" s="14"/>
      <c r="O3" s="14"/>
      <c r="P3" s="14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5"/>
      <c r="AD3" s="14"/>
      <c r="AE3" s="15"/>
      <c r="AF3" s="14"/>
      <c r="AG3" s="14"/>
      <c r="AH3" s="14"/>
      <c r="AI3" s="15"/>
      <c r="AJ3" s="72"/>
      <c r="AK3" s="72"/>
      <c r="AL3" s="3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1:194" s="22" customFormat="1">
      <c r="A4" s="22" t="s">
        <v>92</v>
      </c>
      <c r="I4" s="23"/>
      <c r="J4" s="80"/>
      <c r="K4" s="23"/>
      <c r="L4" s="23"/>
      <c r="M4" s="23"/>
      <c r="N4" s="23"/>
      <c r="O4" s="23"/>
      <c r="P4" s="23"/>
      <c r="Q4" s="24"/>
      <c r="R4" s="23"/>
      <c r="S4" s="23"/>
      <c r="T4" s="23"/>
      <c r="U4" s="25"/>
      <c r="V4" s="25"/>
      <c r="W4" s="25"/>
      <c r="X4" s="25"/>
      <c r="Y4" s="23"/>
      <c r="Z4" s="23"/>
      <c r="AA4" s="23"/>
      <c r="AB4" s="23"/>
      <c r="AC4" s="24"/>
      <c r="AD4" s="23"/>
      <c r="AE4" s="24"/>
      <c r="AF4" s="23"/>
      <c r="AG4" s="23"/>
      <c r="AH4" s="23"/>
      <c r="AI4" s="24"/>
      <c r="AJ4" s="73"/>
      <c r="AK4" s="73"/>
      <c r="AL4" s="4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</row>
    <row r="5" spans="1:194" s="22" customFormat="1" ht="28.5" customHeight="1">
      <c r="A5" s="93" t="s">
        <v>36</v>
      </c>
      <c r="B5" s="95" t="s">
        <v>37</v>
      </c>
      <c r="C5" s="93" t="s">
        <v>77</v>
      </c>
      <c r="D5" s="95" t="s">
        <v>38</v>
      </c>
      <c r="E5" s="95" t="s">
        <v>0</v>
      </c>
      <c r="F5" s="93" t="s">
        <v>76</v>
      </c>
      <c r="G5" s="97" t="s">
        <v>64</v>
      </c>
      <c r="H5" s="97" t="s">
        <v>62</v>
      </c>
      <c r="I5" s="99" t="s">
        <v>63</v>
      </c>
      <c r="J5" s="91" t="s">
        <v>65</v>
      </c>
      <c r="K5" s="97" t="s">
        <v>89</v>
      </c>
      <c r="L5" s="91" t="s">
        <v>66</v>
      </c>
      <c r="M5" s="35"/>
      <c r="N5" s="97" t="s">
        <v>32</v>
      </c>
      <c r="O5" s="97" t="s">
        <v>33</v>
      </c>
      <c r="P5" s="97" t="s">
        <v>60</v>
      </c>
      <c r="Q5" s="97" t="s">
        <v>34</v>
      </c>
      <c r="R5" s="97" t="s">
        <v>35</v>
      </c>
      <c r="S5" s="90"/>
      <c r="T5" s="34"/>
      <c r="U5" s="101" t="s">
        <v>70</v>
      </c>
      <c r="V5" s="101" t="s">
        <v>75</v>
      </c>
      <c r="W5" s="101" t="s">
        <v>74</v>
      </c>
      <c r="X5" s="101" t="s">
        <v>71</v>
      </c>
      <c r="Y5" s="97" t="s">
        <v>28</v>
      </c>
      <c r="Z5" s="97" t="s">
        <v>53</v>
      </c>
      <c r="AA5" s="97" t="s">
        <v>52</v>
      </c>
      <c r="AB5" s="97" t="s">
        <v>30</v>
      </c>
      <c r="AC5" s="97" t="s">
        <v>61</v>
      </c>
      <c r="AD5" s="97" t="s">
        <v>25</v>
      </c>
      <c r="AE5" s="97" t="s">
        <v>29</v>
      </c>
      <c r="AF5" s="97" t="s">
        <v>24</v>
      </c>
      <c r="AG5" s="97" t="s">
        <v>26</v>
      </c>
      <c r="AH5" s="38"/>
      <c r="AI5" s="97" t="s">
        <v>27</v>
      </c>
      <c r="AJ5" s="105" t="s">
        <v>88</v>
      </c>
      <c r="AK5" s="106"/>
      <c r="AL5" s="107" t="s">
        <v>73</v>
      </c>
      <c r="AM5" s="103" t="s">
        <v>78</v>
      </c>
      <c r="AN5" s="103" t="s">
        <v>79</v>
      </c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</row>
    <row r="6" spans="1:194" s="32" customFormat="1" ht="39" customHeight="1">
      <c r="A6" s="94"/>
      <c r="B6" s="96"/>
      <c r="C6" s="94"/>
      <c r="D6" s="96"/>
      <c r="E6" s="96"/>
      <c r="F6" s="94"/>
      <c r="G6" s="98"/>
      <c r="H6" s="98"/>
      <c r="I6" s="100"/>
      <c r="J6" s="92"/>
      <c r="K6" s="98"/>
      <c r="L6" s="92"/>
      <c r="M6" s="39" t="s">
        <v>82</v>
      </c>
      <c r="N6" s="98"/>
      <c r="O6" s="98"/>
      <c r="P6" s="98"/>
      <c r="Q6" s="98"/>
      <c r="R6" s="98"/>
      <c r="S6" s="40" t="s">
        <v>90</v>
      </c>
      <c r="T6" s="40" t="s">
        <v>81</v>
      </c>
      <c r="U6" s="102"/>
      <c r="V6" s="102"/>
      <c r="W6" s="102"/>
      <c r="X6" s="102"/>
      <c r="Y6" s="98"/>
      <c r="Z6" s="98"/>
      <c r="AA6" s="98"/>
      <c r="AB6" s="98"/>
      <c r="AC6" s="98"/>
      <c r="AD6" s="98"/>
      <c r="AE6" s="98"/>
      <c r="AF6" s="98"/>
      <c r="AG6" s="98"/>
      <c r="AH6" s="34"/>
      <c r="AI6" s="98"/>
      <c r="AJ6" s="71" t="s">
        <v>63</v>
      </c>
      <c r="AK6" s="71" t="s">
        <v>65</v>
      </c>
      <c r="AL6" s="107"/>
      <c r="AM6" s="103"/>
      <c r="AN6" s="103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</row>
    <row r="7" spans="1:194" s="28" customFormat="1">
      <c r="A7" s="53" t="s">
        <v>68</v>
      </c>
      <c r="B7" s="53" t="s">
        <v>80</v>
      </c>
      <c r="C7" s="53"/>
      <c r="D7" s="53"/>
      <c r="E7" s="53" t="s">
        <v>69</v>
      </c>
      <c r="F7" s="86">
        <v>42422</v>
      </c>
      <c r="G7" s="53"/>
      <c r="H7" s="53"/>
      <c r="I7" s="55"/>
      <c r="J7" s="89"/>
      <c r="K7" s="55">
        <f t="shared" ref="K7" si="0">+I7+J7</f>
        <v>0</v>
      </c>
      <c r="L7" s="55">
        <v>3988</v>
      </c>
      <c r="M7" s="55"/>
      <c r="N7" s="55"/>
      <c r="O7" s="55"/>
      <c r="P7" s="76"/>
      <c r="Q7" s="84">
        <f t="shared" ref="Q7" si="1">SUM(K7:O7)-P7</f>
        <v>3988</v>
      </c>
      <c r="R7" s="55"/>
      <c r="S7" s="55"/>
      <c r="T7" s="55"/>
      <c r="U7" s="55">
        <v>0</v>
      </c>
      <c r="V7" s="55"/>
      <c r="W7" s="55"/>
      <c r="X7" s="55"/>
      <c r="Y7" s="51"/>
      <c r="Z7" s="51"/>
      <c r="AA7" s="53"/>
      <c r="AB7" s="53">
        <v>0</v>
      </c>
      <c r="AC7" s="84">
        <f t="shared" ref="AC7" si="2">+Q7-SUM(R7:AB7)</f>
        <v>3988</v>
      </c>
      <c r="AD7" s="51">
        <f t="shared" ref="AD7" si="3">IF(Q7&gt;2250,Q7*0.1,0)</f>
        <v>398.8</v>
      </c>
      <c r="AE7" s="84">
        <f t="shared" ref="AE7" si="4">+AC7-AD7</f>
        <v>3589.2</v>
      </c>
      <c r="AF7" s="51">
        <f t="shared" ref="AF7" si="5">IF(Q7&lt;2250,Q7*0.1,0)</f>
        <v>0</v>
      </c>
      <c r="AG7" s="51">
        <v>10.23</v>
      </c>
      <c r="AH7" s="51">
        <f t="shared" ref="AH7" si="6">+V7</f>
        <v>0</v>
      </c>
      <c r="AI7" s="84">
        <f t="shared" ref="AI7:AI8" si="7">+Q7+AF7+AG7+AH7</f>
        <v>3998.23</v>
      </c>
      <c r="AJ7" s="87"/>
      <c r="AK7" s="88"/>
      <c r="AL7" s="85">
        <f t="shared" ref="AL7" si="8">+AJ7+AK7-AE7</f>
        <v>-3589.2</v>
      </c>
      <c r="AM7" s="53"/>
      <c r="AN7" s="56"/>
    </row>
    <row r="8" spans="1:194" s="28" customFormat="1">
      <c r="A8" s="56"/>
      <c r="B8" s="53"/>
      <c r="C8" s="53"/>
      <c r="D8" s="53"/>
      <c r="E8" s="53"/>
      <c r="F8" s="53"/>
      <c r="G8" s="53"/>
      <c r="H8" s="53"/>
      <c r="I8" s="55"/>
      <c r="J8" s="89"/>
      <c r="K8" s="55"/>
      <c r="L8" s="55"/>
      <c r="M8" s="55"/>
      <c r="N8" s="55"/>
      <c r="O8" s="55"/>
      <c r="P8" s="76"/>
      <c r="Q8" s="84">
        <f t="shared" ref="Q8" si="9">SUM(K8:O8)-P8</f>
        <v>0</v>
      </c>
      <c r="R8" s="55"/>
      <c r="S8" s="55"/>
      <c r="T8" s="55"/>
      <c r="U8" s="55"/>
      <c r="V8" s="55"/>
      <c r="W8" s="55"/>
      <c r="X8" s="55"/>
      <c r="Y8" s="51"/>
      <c r="Z8" s="51"/>
      <c r="AA8" s="51"/>
      <c r="AB8" s="51"/>
      <c r="AC8" s="84"/>
      <c r="AD8" s="51">
        <f t="shared" ref="AD8" si="10">IF(Q8&gt;2250,Q8*0.1,0)</f>
        <v>0</v>
      </c>
      <c r="AE8" s="84"/>
      <c r="AF8" s="51">
        <f t="shared" ref="AF8" si="11">IF(Q8&lt;3500,Q8*0.1,0)</f>
        <v>0</v>
      </c>
      <c r="AG8" s="51"/>
      <c r="AH8" s="51">
        <f t="shared" ref="AH8" si="12">+V8</f>
        <v>0</v>
      </c>
      <c r="AI8" s="84">
        <f t="shared" si="7"/>
        <v>0</v>
      </c>
      <c r="AJ8" s="55"/>
      <c r="AK8" s="55"/>
      <c r="AL8" s="85">
        <f t="shared" ref="AL8" si="13">+AJ8+AK8-AE8</f>
        <v>0</v>
      </c>
      <c r="AM8" s="53"/>
      <c r="AN8" s="53"/>
    </row>
    <row r="9" spans="1:194" s="28" customFormat="1">
      <c r="A9" s="42"/>
      <c r="B9" s="43"/>
      <c r="C9" s="43"/>
      <c r="D9" s="43"/>
      <c r="E9" s="43"/>
      <c r="F9" s="43"/>
      <c r="G9" s="43"/>
      <c r="H9" s="43"/>
      <c r="I9" s="44"/>
      <c r="J9" s="81"/>
      <c r="K9" s="44"/>
      <c r="L9" s="44"/>
      <c r="M9" s="44"/>
      <c r="N9" s="44"/>
      <c r="O9" s="44"/>
      <c r="P9" s="44"/>
      <c r="Q9" s="45"/>
      <c r="R9" s="44"/>
      <c r="S9" s="44"/>
      <c r="T9" s="44"/>
      <c r="U9" s="44"/>
      <c r="V9" s="44"/>
      <c r="W9" s="44"/>
      <c r="X9" s="44"/>
      <c r="Y9" s="57"/>
      <c r="Z9" s="57"/>
      <c r="AA9" s="57"/>
      <c r="AB9" s="57"/>
      <c r="AC9" s="45"/>
      <c r="AD9" s="57"/>
      <c r="AE9" s="45"/>
      <c r="AF9" s="57"/>
      <c r="AG9" s="57"/>
      <c r="AH9" s="57"/>
      <c r="AI9" s="45"/>
      <c r="AJ9" s="74"/>
      <c r="AK9" s="74"/>
      <c r="AL9" s="37"/>
    </row>
    <row r="10" spans="1:194">
      <c r="B10" s="58" t="s">
        <v>17</v>
      </c>
      <c r="C10" s="58"/>
      <c r="D10" s="58"/>
      <c r="E10" s="58"/>
      <c r="F10" s="58"/>
      <c r="G10" s="58"/>
      <c r="H10" s="58"/>
      <c r="I10" s="48"/>
      <c r="J10" s="82"/>
      <c r="K10" s="59">
        <f>SUM(K7:K9)</f>
        <v>0</v>
      </c>
      <c r="L10" s="59">
        <f>SUM(L7:L9)</f>
        <v>3988</v>
      </c>
      <c r="M10" s="59"/>
      <c r="N10" s="59">
        <f>SUM(N7:N9)</f>
        <v>0</v>
      </c>
      <c r="O10" s="59">
        <f>SUM(O7:O9)</f>
        <v>0</v>
      </c>
      <c r="P10" s="59">
        <f>SUM(P7:P9)</f>
        <v>0</v>
      </c>
      <c r="Q10" s="59">
        <f>SUM(Q7:Q9)</f>
        <v>3988</v>
      </c>
      <c r="R10" s="59">
        <f>SUM(R7:R9)</f>
        <v>0</v>
      </c>
      <c r="S10" s="59"/>
      <c r="T10" s="59"/>
      <c r="U10" s="60">
        <f>SUM(U7:U9)</f>
        <v>0</v>
      </c>
      <c r="V10" s="60">
        <f>SUM(V7:V9)</f>
        <v>0</v>
      </c>
      <c r="W10" s="60">
        <f>SUM(W7:W9)</f>
        <v>0</v>
      </c>
      <c r="X10" s="60">
        <f>SUM(X7:X9)</f>
        <v>0</v>
      </c>
      <c r="Y10" s="59">
        <f>SUM(Y7:Y9)</f>
        <v>0</v>
      </c>
      <c r="Z10" s="59">
        <f>SUM(Z7:Z9)</f>
        <v>0</v>
      </c>
      <c r="AA10" s="59">
        <f>SUM(AA7:AA9)</f>
        <v>0</v>
      </c>
      <c r="AB10" s="59">
        <f>SUM(AB7:AB9)</f>
        <v>0</v>
      </c>
      <c r="AC10" s="59">
        <f>SUM(AC7:AC9)</f>
        <v>3988</v>
      </c>
      <c r="AD10" s="59">
        <f>SUM(AD7:AD9)</f>
        <v>398.8</v>
      </c>
      <c r="AE10" s="59">
        <f>SUM(AE7:AE9)</f>
        <v>3589.2</v>
      </c>
      <c r="AF10" s="59">
        <f>SUM(AF7:AF9)</f>
        <v>0</v>
      </c>
      <c r="AG10" s="59">
        <f>SUM(AG7:AG9)</f>
        <v>10.23</v>
      </c>
      <c r="AH10" s="59">
        <f>SUM(AH7:AH9)</f>
        <v>0</v>
      </c>
      <c r="AI10" s="59">
        <f>SUM(AI7:AI9)</f>
        <v>3998.23</v>
      </c>
      <c r="AJ10" s="75">
        <f>SUM(AJ7:AJ9)</f>
        <v>0</v>
      </c>
      <c r="AK10" s="75">
        <f>SUM(AK7:AK9)</f>
        <v>0</v>
      </c>
      <c r="AL10" s="61">
        <f>SUM(AL7:AL9)</f>
        <v>-3589.2</v>
      </c>
      <c r="AM10" s="46"/>
      <c r="AN10" s="46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</row>
    <row r="11" spans="1:194">
      <c r="AI11" s="24">
        <f>AI10*0.16</f>
        <v>639.71680000000003</v>
      </c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</row>
    <row r="12" spans="1:194"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</row>
    <row r="13" spans="1:194">
      <c r="A13" s="29" t="s">
        <v>54</v>
      </c>
      <c r="B13" s="23"/>
      <c r="C13" s="23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</row>
    <row r="14" spans="1:194">
      <c r="A14" s="29" t="s">
        <v>55</v>
      </c>
      <c r="B14" s="23"/>
      <c r="C14" s="23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</row>
    <row r="15" spans="1:194">
      <c r="A15" s="29" t="s">
        <v>56</v>
      </c>
      <c r="B15" s="23"/>
      <c r="C15" s="23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</row>
    <row r="16" spans="1:194">
      <c r="A16" s="29" t="s">
        <v>57</v>
      </c>
      <c r="B16" s="23"/>
      <c r="C16" s="23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</row>
    <row r="17" spans="1:194">
      <c r="A17" s="29" t="s">
        <v>58</v>
      </c>
      <c r="B17" s="23"/>
      <c r="C17" s="23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</row>
    <row r="18" spans="1:194">
      <c r="A18" s="29" t="s">
        <v>59</v>
      </c>
      <c r="B18" s="23"/>
      <c r="C18" s="23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</row>
    <row r="19" spans="1:194"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</row>
    <row r="20" spans="1:194"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</row>
    <row r="22" spans="1:194">
      <c r="B22" s="27"/>
      <c r="C22" s="33"/>
    </row>
    <row r="23" spans="1:194">
      <c r="B23" s="27"/>
      <c r="C23" s="33"/>
    </row>
    <row r="24" spans="1:194">
      <c r="B24" s="27"/>
      <c r="C24" s="33"/>
    </row>
  </sheetData>
  <sheetProtection selectLockedCells="1" selectUnlockedCells="1"/>
  <autoFilter ref="A5:AN8">
    <filterColumn colId="35" showButton="0"/>
    <sortState ref="A8:AN94">
      <sortCondition ref="B5:B94"/>
    </sortState>
  </autoFilter>
  <mergeCells count="35">
    <mergeCell ref="AN5:AN6"/>
    <mergeCell ref="AI5:AI6"/>
    <mergeCell ref="AJ5:AK5"/>
    <mergeCell ref="AL5:AL6"/>
    <mergeCell ref="AM5:AM6"/>
    <mergeCell ref="AB5:AB6"/>
    <mergeCell ref="AC5:AC6"/>
    <mergeCell ref="AD5:AD6"/>
    <mergeCell ref="AE5:AE6"/>
    <mergeCell ref="AF5:AF6"/>
    <mergeCell ref="AG5:AG6"/>
    <mergeCell ref="V5:V6"/>
    <mergeCell ref="W5:W6"/>
    <mergeCell ref="X5:X6"/>
    <mergeCell ref="Y5:Y6"/>
    <mergeCell ref="Z5:Z6"/>
    <mergeCell ref="AA5:AA6"/>
    <mergeCell ref="N5:N6"/>
    <mergeCell ref="O5:O6"/>
    <mergeCell ref="P5:P6"/>
    <mergeCell ref="Q5:Q6"/>
    <mergeCell ref="R5:R6"/>
    <mergeCell ref="U5:U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6:C9"/>
  <sheetViews>
    <sheetView workbookViewId="0">
      <selection activeCell="B6" sqref="B6"/>
    </sheetView>
  </sheetViews>
  <sheetFormatPr baseColWidth="10" defaultColWidth="11.5703125" defaultRowHeight="12.75"/>
  <cols>
    <col min="1" max="1" width="35" customWidth="1"/>
  </cols>
  <sheetData>
    <row r="6" spans="1:3">
      <c r="A6" t="s">
        <v>43</v>
      </c>
    </row>
    <row r="7" spans="1:3">
      <c r="B7" t="s">
        <v>42</v>
      </c>
      <c r="C7" t="s">
        <v>41</v>
      </c>
    </row>
    <row r="8" spans="1:3">
      <c r="A8" t="s">
        <v>39</v>
      </c>
      <c r="B8" s="4">
        <v>14667.23</v>
      </c>
      <c r="C8" s="4">
        <f>+B8/24</f>
        <v>611.13458333333335</v>
      </c>
    </row>
    <row r="9" spans="1:3">
      <c r="A9" t="s">
        <v>40</v>
      </c>
      <c r="B9" s="4">
        <v>24343.57</v>
      </c>
      <c r="C9" s="4">
        <f>+B9/24</f>
        <v>1014.3154166666667</v>
      </c>
    </row>
  </sheetData>
  <sheetProtection selectLockedCells="1" selectUnlockedCells="1"/>
  <pageMargins left="0.32708333333333334" right="8.4027777777777785E-2" top="0.29097222222222224" bottom="0.35277777777777775" header="2.5694444444444443E-2" footer="8.7499999999999994E-2"/>
  <pageSetup scale="42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zoomScale="90" zoomScaleNormal="90" workbookViewId="0">
      <selection activeCell="A46" sqref="A46"/>
    </sheetView>
  </sheetViews>
  <sheetFormatPr baseColWidth="10" defaultRowHeight="12.75"/>
  <cols>
    <col min="1" max="1" width="38.5703125" customWidth="1"/>
    <col min="2" max="2" width="6.28515625" bestFit="1" customWidth="1"/>
    <col min="3" max="3" width="10.140625" bestFit="1" customWidth="1"/>
    <col min="4" max="7" width="11.42578125" style="4"/>
  </cols>
  <sheetData>
    <row r="1" spans="1:7" ht="22.5">
      <c r="A1" s="1" t="s">
        <v>22</v>
      </c>
      <c r="B1" s="1"/>
    </row>
    <row r="2" spans="1:7" ht="18">
      <c r="A2" s="2" t="s">
        <v>23</v>
      </c>
      <c r="B2" s="2"/>
    </row>
    <row r="3" spans="1:7" ht="15">
      <c r="A3" s="3" t="s">
        <v>44</v>
      </c>
      <c r="B3" s="3"/>
    </row>
    <row r="5" spans="1:7">
      <c r="C5" s="4">
        <v>73.400000000000006</v>
      </c>
      <c r="D5" s="11" t="s">
        <v>50</v>
      </c>
    </row>
    <row r="6" spans="1:7" ht="15">
      <c r="A6" s="5" t="s">
        <v>5</v>
      </c>
      <c r="B6" s="5" t="s">
        <v>47</v>
      </c>
      <c r="C6" s="6" t="s">
        <v>45</v>
      </c>
      <c r="G6" s="4">
        <v>316.81</v>
      </c>
    </row>
    <row r="7" spans="1:7" ht="15">
      <c r="A7" s="5" t="s">
        <v>10</v>
      </c>
      <c r="B7" s="5" t="s">
        <v>49</v>
      </c>
      <c r="C7" s="7">
        <v>9.6059999999999999</v>
      </c>
      <c r="D7" s="4">
        <f>+C7*$C$5</f>
        <v>705.08040000000005</v>
      </c>
      <c r="E7" s="4">
        <f>+D7/2</f>
        <v>352.54020000000003</v>
      </c>
      <c r="F7" s="4">
        <v>7.5</v>
      </c>
      <c r="G7" s="4">
        <f>SUM(E7:F7)</f>
        <v>360.04020000000003</v>
      </c>
    </row>
    <row r="8" spans="1:7" ht="15">
      <c r="A8" s="5" t="s">
        <v>21</v>
      </c>
      <c r="B8" s="10" t="s">
        <v>48</v>
      </c>
      <c r="C8" s="8">
        <v>3150</v>
      </c>
      <c r="D8" s="4">
        <f>+C8</f>
        <v>3150</v>
      </c>
      <c r="E8" s="4">
        <f t="shared" ref="E8:E26" si="0">+D8/2</f>
        <v>1575</v>
      </c>
      <c r="F8" s="4">
        <v>7.5</v>
      </c>
      <c r="G8" s="4">
        <f t="shared" ref="G8:G26" si="1">SUM(E8:F8)</f>
        <v>1582.5</v>
      </c>
    </row>
    <row r="9" spans="1:7" ht="15">
      <c r="A9" s="5" t="s">
        <v>20</v>
      </c>
      <c r="B9" s="5" t="s">
        <v>49</v>
      </c>
      <c r="C9" s="7">
        <v>26.9648</v>
      </c>
      <c r="D9" s="4">
        <f>+C9*$C$5</f>
        <v>1979.2163200000002</v>
      </c>
      <c r="E9" s="4">
        <f t="shared" si="0"/>
        <v>989.60816000000011</v>
      </c>
      <c r="F9" s="4">
        <v>7.5</v>
      </c>
      <c r="G9" s="4">
        <f t="shared" si="1"/>
        <v>997.10816000000011</v>
      </c>
    </row>
    <row r="10" spans="1:7" ht="15">
      <c r="A10" s="5" t="s">
        <v>16</v>
      </c>
      <c r="B10" s="5" t="s">
        <v>49</v>
      </c>
      <c r="C10" s="7">
        <v>9.6671999999999993</v>
      </c>
      <c r="D10" s="4">
        <f>+C10*$C$5</f>
        <v>709.57248000000004</v>
      </c>
      <c r="E10" s="4">
        <f t="shared" si="0"/>
        <v>354.78624000000002</v>
      </c>
      <c r="F10" s="4">
        <v>7.5</v>
      </c>
      <c r="G10" s="4">
        <f t="shared" si="1"/>
        <v>362.28624000000002</v>
      </c>
    </row>
    <row r="11" spans="1:7" ht="15">
      <c r="A11" s="5" t="s">
        <v>13</v>
      </c>
      <c r="B11" s="5" t="s">
        <v>49</v>
      </c>
      <c r="C11" s="7">
        <v>27.998000000000001</v>
      </c>
      <c r="D11" s="4">
        <f>+C11*$C$5</f>
        <v>2055.0532000000003</v>
      </c>
      <c r="E11" s="4">
        <f t="shared" si="0"/>
        <v>1027.5266000000001</v>
      </c>
      <c r="F11" s="4">
        <v>7.5</v>
      </c>
      <c r="G11" s="4">
        <f t="shared" si="1"/>
        <v>1035.0266000000001</v>
      </c>
    </row>
    <row r="12" spans="1:7" ht="15">
      <c r="A12" s="5" t="s">
        <v>9</v>
      </c>
      <c r="B12" s="5" t="s">
        <v>48</v>
      </c>
      <c r="C12" s="9">
        <v>455.65</v>
      </c>
      <c r="D12" s="4">
        <f>+C12</f>
        <v>455.65</v>
      </c>
      <c r="E12" s="4">
        <f t="shared" si="0"/>
        <v>227.82499999999999</v>
      </c>
      <c r="F12" s="4">
        <v>7.5</v>
      </c>
      <c r="G12" s="4">
        <f t="shared" si="1"/>
        <v>235.32499999999999</v>
      </c>
    </row>
    <row r="13" spans="1:7" ht="15">
      <c r="A13" s="5" t="s">
        <v>1</v>
      </c>
      <c r="B13" s="5" t="s">
        <v>48</v>
      </c>
      <c r="C13" s="9">
        <v>733.79</v>
      </c>
      <c r="D13" s="4">
        <f>+C13</f>
        <v>733.79</v>
      </c>
      <c r="E13" s="4">
        <f t="shared" si="0"/>
        <v>366.89499999999998</v>
      </c>
      <c r="F13" s="4">
        <v>7.5</v>
      </c>
      <c r="G13" s="4">
        <f t="shared" si="1"/>
        <v>374.39499999999998</v>
      </c>
    </row>
    <row r="14" spans="1:7" ht="15">
      <c r="A14" s="5" t="s">
        <v>3</v>
      </c>
      <c r="B14" s="5" t="s">
        <v>49</v>
      </c>
      <c r="C14" s="7">
        <v>9.6059999999999999</v>
      </c>
      <c r="D14" s="4">
        <f t="shared" ref="D14:D19" si="2">+C14*$C$5</f>
        <v>705.08040000000005</v>
      </c>
      <c r="E14" s="4">
        <f t="shared" si="0"/>
        <v>352.54020000000003</v>
      </c>
      <c r="F14" s="4">
        <v>7.5</v>
      </c>
      <c r="G14" s="4">
        <f t="shared" si="1"/>
        <v>360.04020000000003</v>
      </c>
    </row>
    <row r="15" spans="1:7" ht="15">
      <c r="A15" s="5" t="s">
        <v>12</v>
      </c>
      <c r="B15" s="5" t="s">
        <v>49</v>
      </c>
      <c r="C15" s="7">
        <v>12.3424</v>
      </c>
      <c r="D15" s="4">
        <f t="shared" si="2"/>
        <v>905.93216000000007</v>
      </c>
      <c r="E15" s="4">
        <f t="shared" si="0"/>
        <v>452.96608000000003</v>
      </c>
      <c r="F15" s="4">
        <v>7.5</v>
      </c>
      <c r="G15" s="4">
        <f t="shared" si="1"/>
        <v>460.46608000000003</v>
      </c>
    </row>
    <row r="16" spans="1:7" ht="15">
      <c r="A16" s="5" t="s">
        <v>6</v>
      </c>
      <c r="B16" s="5" t="s">
        <v>49</v>
      </c>
      <c r="C16" s="7">
        <v>25.064</v>
      </c>
      <c r="D16" s="4">
        <f t="shared" si="2"/>
        <v>1839.6976000000002</v>
      </c>
      <c r="E16" s="4">
        <f t="shared" si="0"/>
        <v>919.8488000000001</v>
      </c>
      <c r="F16" s="4">
        <v>7.5</v>
      </c>
      <c r="G16" s="4">
        <f t="shared" si="1"/>
        <v>927.3488000000001</v>
      </c>
    </row>
    <row r="17" spans="1:7" ht="15">
      <c r="A17" s="5" t="s">
        <v>11</v>
      </c>
      <c r="B17" s="5" t="s">
        <v>49</v>
      </c>
      <c r="C17" s="7">
        <v>31.19</v>
      </c>
      <c r="D17" s="4">
        <f t="shared" si="2"/>
        <v>2289.3460000000005</v>
      </c>
      <c r="E17" s="4">
        <f t="shared" si="0"/>
        <v>1144.6730000000002</v>
      </c>
      <c r="F17" s="4">
        <v>7.5</v>
      </c>
      <c r="G17" s="4">
        <f t="shared" si="1"/>
        <v>1152.1730000000002</v>
      </c>
    </row>
    <row r="18" spans="1:7" ht="15">
      <c r="A18" s="5" t="s">
        <v>7</v>
      </c>
      <c r="B18" s="5" t="s">
        <v>49</v>
      </c>
      <c r="C18" s="7">
        <v>16.537600000000001</v>
      </c>
      <c r="D18" s="4">
        <f t="shared" si="2"/>
        <v>1213.8598400000001</v>
      </c>
      <c r="E18" s="4">
        <f t="shared" si="0"/>
        <v>606.92992000000004</v>
      </c>
      <c r="F18" s="4">
        <v>7.5</v>
      </c>
      <c r="G18" s="11" t="s">
        <v>51</v>
      </c>
    </row>
    <row r="19" spans="1:7" ht="15">
      <c r="A19" s="5" t="s">
        <v>8</v>
      </c>
      <c r="B19" s="5" t="s">
        <v>49</v>
      </c>
      <c r="C19" s="7">
        <v>7.6</v>
      </c>
      <c r="D19" s="4">
        <f t="shared" si="2"/>
        <v>557.84</v>
      </c>
      <c r="E19" s="4">
        <f t="shared" si="0"/>
        <v>278.92</v>
      </c>
      <c r="F19" s="4">
        <v>7.5</v>
      </c>
      <c r="G19" s="4">
        <f t="shared" si="1"/>
        <v>286.42</v>
      </c>
    </row>
    <row r="20" spans="1:7" ht="15">
      <c r="A20" s="5" t="s">
        <v>46</v>
      </c>
      <c r="B20" s="5"/>
      <c r="C20" s="7">
        <v>539.76</v>
      </c>
      <c r="D20" s="4">
        <f>+C20</f>
        <v>539.76</v>
      </c>
      <c r="E20" s="4">
        <f t="shared" si="0"/>
        <v>269.88</v>
      </c>
      <c r="F20" s="4">
        <v>7.5</v>
      </c>
      <c r="G20" s="4">
        <f t="shared" si="1"/>
        <v>277.38</v>
      </c>
    </row>
    <row r="21" spans="1:7" ht="15">
      <c r="A21" s="5" t="s">
        <v>15</v>
      </c>
      <c r="B21" s="5" t="s">
        <v>48</v>
      </c>
      <c r="C21" s="9">
        <v>1045.56</v>
      </c>
      <c r="D21" s="4">
        <f>+C21</f>
        <v>1045.56</v>
      </c>
      <c r="E21" s="4">
        <f t="shared" si="0"/>
        <v>522.78</v>
      </c>
      <c r="F21" s="4">
        <v>7.5</v>
      </c>
      <c r="G21" s="4">
        <f t="shared" si="1"/>
        <v>530.28</v>
      </c>
    </row>
    <row r="22" spans="1:7" ht="15">
      <c r="A22" s="5" t="s">
        <v>14</v>
      </c>
      <c r="B22" s="5" t="s">
        <v>49</v>
      </c>
      <c r="C22" s="7">
        <v>22.815200000000001</v>
      </c>
      <c r="D22" s="4">
        <f>+C22*$C$5</f>
        <v>1674.6356800000001</v>
      </c>
      <c r="E22" s="4">
        <f t="shared" si="0"/>
        <v>837.31784000000005</v>
      </c>
      <c r="F22" s="4">
        <v>7.5</v>
      </c>
      <c r="G22" s="4">
        <f t="shared" si="1"/>
        <v>844.81784000000005</v>
      </c>
    </row>
    <row r="23" spans="1:7" ht="15">
      <c r="A23" s="5" t="s">
        <v>18</v>
      </c>
      <c r="B23" s="5" t="s">
        <v>49</v>
      </c>
      <c r="C23" s="7">
        <v>38.243200000000002</v>
      </c>
      <c r="D23" s="4">
        <f>+C23*$C$5</f>
        <v>2807.0508800000002</v>
      </c>
      <c r="E23" s="4">
        <f t="shared" si="0"/>
        <v>1403.5254400000001</v>
      </c>
      <c r="F23" s="4">
        <v>7.5</v>
      </c>
      <c r="G23" s="4">
        <f t="shared" si="1"/>
        <v>1411.0254400000001</v>
      </c>
    </row>
    <row r="24" spans="1:7" ht="15">
      <c r="A24" s="5" t="s">
        <v>4</v>
      </c>
      <c r="B24" s="5" t="s">
        <v>49</v>
      </c>
      <c r="C24" s="7">
        <v>19.181999999999999</v>
      </c>
      <c r="D24" s="4">
        <f>+C24*$C$5</f>
        <v>1407.9588000000001</v>
      </c>
      <c r="E24" s="4">
        <f t="shared" si="0"/>
        <v>703.97940000000006</v>
      </c>
      <c r="F24" s="4">
        <v>7.5</v>
      </c>
      <c r="G24" s="4">
        <f t="shared" si="1"/>
        <v>711.47940000000006</v>
      </c>
    </row>
    <row r="25" spans="1:7" ht="15">
      <c r="A25" s="5" t="s">
        <v>19</v>
      </c>
      <c r="B25" s="5" t="s">
        <v>49</v>
      </c>
      <c r="C25" s="7">
        <v>26.478000000000002</v>
      </c>
      <c r="D25" s="4">
        <f>+C25*$C$5</f>
        <v>1943.4852000000003</v>
      </c>
      <c r="E25" s="4">
        <f t="shared" si="0"/>
        <v>971.74260000000015</v>
      </c>
      <c r="F25" s="4">
        <v>7.5</v>
      </c>
      <c r="G25" s="4">
        <f t="shared" si="1"/>
        <v>979.24260000000015</v>
      </c>
    </row>
    <row r="26" spans="1:7" ht="15">
      <c r="A26" s="5" t="s">
        <v>2</v>
      </c>
      <c r="B26" s="5" t="s">
        <v>49</v>
      </c>
      <c r="C26" s="7">
        <v>44.414000000000001</v>
      </c>
      <c r="D26" s="4">
        <f>+C26*$C$5</f>
        <v>3259.9876000000004</v>
      </c>
      <c r="E26" s="4">
        <f t="shared" si="0"/>
        <v>1629.9938000000002</v>
      </c>
      <c r="F26" s="4">
        <v>7.5</v>
      </c>
      <c r="G26" s="4">
        <f t="shared" si="1"/>
        <v>1637.4938000000002</v>
      </c>
    </row>
    <row r="28" spans="1:7">
      <c r="D28" s="4">
        <f>SUM(D6:D27)</f>
        <v>29978.556559999997</v>
      </c>
      <c r="G28" s="4">
        <f>SUM(G6:G27)</f>
        <v>14841.658359999999</v>
      </c>
    </row>
  </sheetData>
  <pageMargins left="0.70866141732283472" right="0.70866141732283472" top="0.74803149606299213" bottom="0.74803149606299213" header="0.31496062992125984" footer="0.31496062992125984"/>
  <pageSetup scale="91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L1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3" sqref="C23"/>
    </sheetView>
  </sheetViews>
  <sheetFormatPr baseColWidth="10" defaultColWidth="11.5703125" defaultRowHeight="15"/>
  <cols>
    <col min="1" max="1" width="28.7109375" style="29" customWidth="1"/>
    <col min="2" max="2" width="39.140625" style="29" customWidth="1"/>
    <col min="3" max="3" width="8.140625" style="29" bestFit="1" customWidth="1"/>
    <col min="4" max="4" width="8.85546875" style="29" customWidth="1"/>
    <col min="5" max="5" width="31.5703125" style="29" customWidth="1"/>
    <col min="6" max="6" width="20.140625" style="29" bestFit="1" customWidth="1"/>
    <col min="7" max="7" width="13" style="29" bestFit="1" customWidth="1"/>
    <col min="8" max="8" width="11.7109375" style="29" customWidth="1"/>
    <col min="9" max="9" width="17.140625" style="23" customWidth="1"/>
    <col min="10" max="10" width="11.7109375" style="29" customWidth="1"/>
    <col min="11" max="13" width="13.85546875" style="23" customWidth="1"/>
    <col min="14" max="16" width="13.5703125" style="23" customWidth="1"/>
    <col min="17" max="17" width="17" style="24" customWidth="1"/>
    <col min="18" max="19" width="13.5703125" style="23" customWidth="1"/>
    <col min="20" max="20" width="13.5703125" style="25" customWidth="1"/>
    <col min="21" max="21" width="19.28515625" style="25" customWidth="1"/>
    <col min="22" max="22" width="16.85546875" style="25" customWidth="1"/>
    <col min="23" max="23" width="16.140625" style="25" customWidth="1"/>
    <col min="24" max="27" width="13.5703125" style="23" customWidth="1"/>
    <col min="28" max="28" width="16.7109375" style="24" customWidth="1"/>
    <col min="29" max="29" width="16.7109375" style="23" customWidth="1"/>
    <col min="30" max="30" width="15.42578125" style="24" customWidth="1"/>
    <col min="31" max="33" width="13.5703125" style="23" customWidth="1"/>
    <col min="34" max="34" width="15.42578125" style="24" customWidth="1"/>
    <col min="35" max="35" width="15.28515625" style="4" hidden="1" customWidth="1"/>
    <col min="36" max="37" width="11.5703125" style="4" hidden="1" customWidth="1"/>
    <col min="38" max="38" width="13.85546875" style="29" hidden="1" customWidth="1"/>
    <col min="39" max="39" width="13.85546875" style="29" customWidth="1"/>
    <col min="40" max="40" width="38.28515625" style="29" bestFit="1" customWidth="1"/>
    <col min="41" max="54" width="11.5703125" style="28"/>
    <col min="55" max="16384" width="11.5703125" style="29"/>
  </cols>
  <sheetData>
    <row r="1" spans="1:194" s="17" customFormat="1">
      <c r="A1" s="12" t="s">
        <v>22</v>
      </c>
      <c r="B1" s="12"/>
      <c r="C1" s="12"/>
      <c r="D1" s="12"/>
      <c r="E1" s="13"/>
      <c r="F1" s="13"/>
      <c r="G1" s="13"/>
      <c r="H1" s="13"/>
      <c r="I1" s="14"/>
      <c r="J1" s="13"/>
      <c r="K1" s="14"/>
      <c r="L1" s="14"/>
      <c r="M1" s="14"/>
      <c r="N1" s="14"/>
      <c r="O1" s="14"/>
      <c r="P1" s="14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5"/>
      <c r="AC1" s="14"/>
      <c r="AD1" s="15"/>
      <c r="AE1" s="14"/>
      <c r="AF1" s="14"/>
      <c r="AG1" s="14"/>
      <c r="AH1" s="15"/>
      <c r="AI1" s="36"/>
      <c r="AJ1" s="36"/>
      <c r="AK1" s="3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</row>
    <row r="2" spans="1:194" s="17" customFormat="1">
      <c r="A2" s="18" t="s">
        <v>67</v>
      </c>
      <c r="B2" s="18"/>
      <c r="C2" s="18"/>
      <c r="D2" s="18"/>
      <c r="E2" s="19"/>
      <c r="F2" s="19"/>
      <c r="G2" s="19"/>
      <c r="H2" s="19"/>
      <c r="I2" s="14"/>
      <c r="J2" s="19"/>
      <c r="K2" s="14"/>
      <c r="L2" s="14"/>
      <c r="M2" s="14"/>
      <c r="N2" s="14"/>
      <c r="O2" s="14"/>
      <c r="P2" s="14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5"/>
      <c r="AC2" s="14"/>
      <c r="AD2" s="15"/>
      <c r="AE2" s="14"/>
      <c r="AF2" s="14"/>
      <c r="AG2" s="14"/>
      <c r="AH2" s="15"/>
      <c r="AI2" s="36"/>
      <c r="AJ2" s="36"/>
      <c r="AK2" s="3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</row>
    <row r="3" spans="1:194" s="17" customFormat="1">
      <c r="A3" s="20" t="s">
        <v>86</v>
      </c>
      <c r="B3" s="20"/>
      <c r="C3" s="20"/>
      <c r="D3" s="20"/>
      <c r="E3" s="21"/>
      <c r="F3" s="21"/>
      <c r="G3" s="21"/>
      <c r="H3" s="21"/>
      <c r="I3" s="14"/>
      <c r="J3" s="21"/>
      <c r="K3" s="14"/>
      <c r="L3" s="14"/>
      <c r="M3" s="14"/>
      <c r="N3" s="14"/>
      <c r="O3" s="14"/>
      <c r="P3" s="14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5"/>
      <c r="AC3" s="14"/>
      <c r="AD3" s="15"/>
      <c r="AE3" s="14"/>
      <c r="AF3" s="14"/>
      <c r="AG3" s="14"/>
      <c r="AH3" s="15"/>
      <c r="AI3" s="36"/>
      <c r="AJ3" s="36"/>
      <c r="AK3" s="3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1:194" s="22" customFormat="1">
      <c r="A4" s="22" t="s">
        <v>85</v>
      </c>
      <c r="I4" s="23"/>
      <c r="K4" s="23"/>
      <c r="L4" s="23"/>
      <c r="M4" s="23"/>
      <c r="N4" s="23"/>
      <c r="O4" s="23"/>
      <c r="P4" s="23"/>
      <c r="Q4" s="24"/>
      <c r="R4" s="23"/>
      <c r="S4" s="23"/>
      <c r="T4" s="25"/>
      <c r="U4" s="25"/>
      <c r="V4" s="25"/>
      <c r="W4" s="25"/>
      <c r="X4" s="23"/>
      <c r="Y4" s="23"/>
      <c r="Z4" s="23"/>
      <c r="AA4" s="23"/>
      <c r="AB4" s="24"/>
      <c r="AC4" s="23"/>
      <c r="AD4" s="24"/>
      <c r="AE4" s="23"/>
      <c r="AF4" s="23"/>
      <c r="AG4" s="23"/>
      <c r="AH4" s="24"/>
      <c r="AI4" s="4"/>
      <c r="AJ4" s="4"/>
      <c r="AK4" s="4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</row>
    <row r="5" spans="1:194" s="22" customFormat="1" ht="28.5" customHeight="1">
      <c r="A5" s="93" t="s">
        <v>36</v>
      </c>
      <c r="B5" s="95" t="s">
        <v>37</v>
      </c>
      <c r="C5" s="93"/>
      <c r="D5" s="95" t="s">
        <v>38</v>
      </c>
      <c r="E5" s="95" t="s">
        <v>0</v>
      </c>
      <c r="F5" s="93" t="s">
        <v>76</v>
      </c>
      <c r="G5" s="97" t="s">
        <v>64</v>
      </c>
      <c r="H5" s="97" t="s">
        <v>62</v>
      </c>
      <c r="I5" s="99" t="s">
        <v>63</v>
      </c>
      <c r="J5" s="91" t="s">
        <v>65</v>
      </c>
      <c r="K5" s="97" t="s">
        <v>31</v>
      </c>
      <c r="L5" s="91" t="s">
        <v>66</v>
      </c>
      <c r="M5" s="68"/>
      <c r="N5" s="97" t="s">
        <v>32</v>
      </c>
      <c r="O5" s="97" t="s">
        <v>33</v>
      </c>
      <c r="P5" s="97" t="s">
        <v>60</v>
      </c>
      <c r="Q5" s="97" t="s">
        <v>34</v>
      </c>
      <c r="R5" s="97" t="s">
        <v>35</v>
      </c>
      <c r="S5" s="67"/>
      <c r="T5" s="101" t="s">
        <v>70</v>
      </c>
      <c r="U5" s="101" t="s">
        <v>75</v>
      </c>
      <c r="V5" s="101" t="s">
        <v>74</v>
      </c>
      <c r="W5" s="101" t="s">
        <v>71</v>
      </c>
      <c r="X5" s="97" t="s">
        <v>28</v>
      </c>
      <c r="Y5" s="97" t="s">
        <v>53</v>
      </c>
      <c r="Z5" s="97" t="s">
        <v>52</v>
      </c>
      <c r="AA5" s="97" t="s">
        <v>30</v>
      </c>
      <c r="AB5" s="97" t="s">
        <v>61</v>
      </c>
      <c r="AC5" s="97" t="s">
        <v>25</v>
      </c>
      <c r="AD5" s="97" t="s">
        <v>29</v>
      </c>
      <c r="AE5" s="97" t="s">
        <v>24</v>
      </c>
      <c r="AF5" s="97" t="s">
        <v>26</v>
      </c>
      <c r="AG5" s="66"/>
      <c r="AH5" s="97" t="s">
        <v>27</v>
      </c>
      <c r="AI5" s="108" t="s">
        <v>72</v>
      </c>
      <c r="AJ5" s="109"/>
      <c r="AK5" s="107" t="s">
        <v>73</v>
      </c>
      <c r="AL5" s="103" t="s">
        <v>78</v>
      </c>
      <c r="AM5" s="64"/>
      <c r="AN5" s="103" t="s">
        <v>79</v>
      </c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</row>
    <row r="6" spans="1:194" s="32" customFormat="1" ht="39" customHeight="1">
      <c r="A6" s="94"/>
      <c r="B6" s="96"/>
      <c r="C6" s="94"/>
      <c r="D6" s="96"/>
      <c r="E6" s="96"/>
      <c r="F6" s="94"/>
      <c r="G6" s="98"/>
      <c r="H6" s="98"/>
      <c r="I6" s="100"/>
      <c r="J6" s="92"/>
      <c r="K6" s="98"/>
      <c r="L6" s="92"/>
      <c r="M6" s="69" t="s">
        <v>82</v>
      </c>
      <c r="N6" s="98"/>
      <c r="O6" s="98"/>
      <c r="P6" s="98"/>
      <c r="Q6" s="98"/>
      <c r="R6" s="98"/>
      <c r="S6" s="40" t="s">
        <v>81</v>
      </c>
      <c r="T6" s="102"/>
      <c r="U6" s="102"/>
      <c r="V6" s="102"/>
      <c r="W6" s="102"/>
      <c r="X6" s="98"/>
      <c r="Y6" s="98"/>
      <c r="Z6" s="98"/>
      <c r="AA6" s="98"/>
      <c r="AB6" s="98"/>
      <c r="AC6" s="98"/>
      <c r="AD6" s="98"/>
      <c r="AE6" s="98"/>
      <c r="AF6" s="98"/>
      <c r="AG6" s="67"/>
      <c r="AH6" s="98"/>
      <c r="AI6" s="41" t="s">
        <v>63</v>
      </c>
      <c r="AJ6" s="41" t="s">
        <v>65</v>
      </c>
      <c r="AK6" s="107"/>
      <c r="AL6" s="103"/>
      <c r="AM6" s="64" t="s">
        <v>87</v>
      </c>
      <c r="AN6" s="103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</row>
    <row r="7" spans="1:194">
      <c r="AH7" s="24" t="e">
        <f>#REF!*0.16</f>
        <v>#REF!</v>
      </c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</row>
    <row r="8" spans="1:194">
      <c r="A8" s="104" t="s">
        <v>83</v>
      </c>
      <c r="B8" s="104"/>
      <c r="C8" s="65"/>
      <c r="D8" s="46"/>
      <c r="E8" s="46"/>
      <c r="F8" s="46"/>
      <c r="G8" s="46"/>
      <c r="H8" s="46"/>
      <c r="I8" s="48"/>
      <c r="J8" s="46"/>
      <c r="K8" s="48"/>
      <c r="L8" s="48"/>
      <c r="M8" s="48"/>
      <c r="N8" s="48"/>
      <c r="O8" s="48"/>
      <c r="P8" s="48"/>
      <c r="Q8" s="59"/>
      <c r="R8" s="48"/>
      <c r="S8" s="48"/>
      <c r="T8" s="55"/>
      <c r="U8" s="55"/>
      <c r="V8" s="55"/>
      <c r="W8" s="55"/>
      <c r="X8" s="48"/>
      <c r="Y8" s="48"/>
      <c r="Z8" s="48"/>
      <c r="AA8" s="48"/>
      <c r="AB8" s="59"/>
      <c r="AC8" s="48"/>
      <c r="AD8" s="59"/>
      <c r="AE8" s="48"/>
      <c r="AF8" s="48"/>
      <c r="AG8" s="48"/>
      <c r="AH8" s="59" t="e">
        <f>+#REF!+AH7</f>
        <v>#REF!</v>
      </c>
      <c r="AI8" s="61"/>
      <c r="AJ8" s="61"/>
      <c r="AK8" s="61"/>
      <c r="AL8" s="46"/>
      <c r="AM8" s="46"/>
      <c r="AN8" s="46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</row>
    <row r="9" spans="1:194" hidden="1">
      <c r="A9" s="56"/>
      <c r="B9" s="46" t="s">
        <v>84</v>
      </c>
      <c r="C9" s="46"/>
      <c r="D9" s="47"/>
      <c r="E9" s="46"/>
      <c r="F9" s="46"/>
      <c r="G9" s="46"/>
      <c r="H9" s="46"/>
      <c r="I9" s="48"/>
      <c r="J9" s="46"/>
      <c r="K9" s="48"/>
      <c r="L9" s="70">
        <v>533.29999999999995</v>
      </c>
      <c r="M9" s="48"/>
      <c r="N9" s="48"/>
      <c r="O9" s="48"/>
      <c r="P9" s="48"/>
      <c r="Q9" s="49">
        <f>SUM(K9:P9)</f>
        <v>533.29999999999995</v>
      </c>
      <c r="R9" s="50"/>
      <c r="S9" s="50"/>
      <c r="T9" s="55"/>
      <c r="U9" s="54">
        <f>Q9*4.9%</f>
        <v>26.131699999999999</v>
      </c>
      <c r="V9" s="54">
        <f>Q9*1%</f>
        <v>5.3329999999999993</v>
      </c>
      <c r="W9" s="55"/>
      <c r="X9" s="62"/>
      <c r="Y9" s="62"/>
      <c r="Z9" s="62"/>
      <c r="AA9" s="62"/>
      <c r="AB9" s="49">
        <f>+Q9-R9</f>
        <v>533.29999999999995</v>
      </c>
      <c r="AC9" s="51">
        <f>+AB9*0.05</f>
        <v>26.664999999999999</v>
      </c>
      <c r="AD9" s="49">
        <f>+AB9-X9-AA9</f>
        <v>533.29999999999995</v>
      </c>
      <c r="AE9" s="52">
        <f>IF(AB9&lt;3000,AB9*0.1,0)</f>
        <v>53.33</v>
      </c>
      <c r="AF9" s="51">
        <v>0</v>
      </c>
      <c r="AG9" s="51"/>
      <c r="AH9" s="49">
        <f>+AB9+AE9+AF9</f>
        <v>586.63</v>
      </c>
      <c r="AI9" s="63"/>
      <c r="AJ9" s="63"/>
      <c r="AK9" s="63"/>
      <c r="AL9" s="46"/>
      <c r="AM9" s="46"/>
      <c r="AN9" s="46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</row>
    <row r="10" spans="1:194">
      <c r="AH10" s="24">
        <f>SUM(AH9:AH9)</f>
        <v>586.63</v>
      </c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</row>
    <row r="11" spans="1:194">
      <c r="B11" s="30"/>
      <c r="C11" s="30"/>
      <c r="D11" s="30"/>
      <c r="AH11" s="24">
        <f>+AH10*0.16</f>
        <v>93.860799999999998</v>
      </c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</row>
    <row r="12" spans="1:194">
      <c r="B12" s="30"/>
      <c r="C12" s="30"/>
      <c r="D12" s="30"/>
      <c r="AH12" s="24">
        <f>+AH10+AH11</f>
        <v>680.49080000000004</v>
      </c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</row>
    <row r="13" spans="1:194">
      <c r="B13" s="30"/>
      <c r="C13" s="30"/>
      <c r="D13" s="30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</row>
    <row r="14" spans="1:194">
      <c r="B14" s="30"/>
      <c r="C14" s="30"/>
      <c r="D14" s="30"/>
      <c r="AH14" s="24" t="e">
        <f>+AH8+AH12</f>
        <v>#REF!</v>
      </c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</row>
    <row r="15" spans="1:194"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</row>
    <row r="16" spans="1:194"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</row>
    <row r="17" spans="55:194"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</row>
    <row r="18" spans="55:194"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</row>
    <row r="19" spans="55:194"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</row>
  </sheetData>
  <sheetProtection selectLockedCells="1" selectUnlockedCells="1"/>
  <autoFilter ref="A5:AN6">
    <filterColumn colId="34" showButton="0"/>
    <sortState ref="A8:AN94">
      <sortCondition ref="B5:B94"/>
    </sortState>
  </autoFilter>
  <mergeCells count="36">
    <mergeCell ref="AH5:AH6"/>
    <mergeCell ref="AI5:AJ5"/>
    <mergeCell ref="AK5:AK6"/>
    <mergeCell ref="AL5:AL6"/>
    <mergeCell ref="AN5:AN6"/>
    <mergeCell ref="A8:B8"/>
    <mergeCell ref="AA5:AA6"/>
    <mergeCell ref="AB5:AB6"/>
    <mergeCell ref="AC5:AC6"/>
    <mergeCell ref="AD5:AD6"/>
    <mergeCell ref="N5:N6"/>
    <mergeCell ref="O5:O6"/>
    <mergeCell ref="P5:P6"/>
    <mergeCell ref="Q5:Q6"/>
    <mergeCell ref="R5:R6"/>
    <mergeCell ref="T5:T6"/>
    <mergeCell ref="G5:G6"/>
    <mergeCell ref="H5:H6"/>
    <mergeCell ref="I5:I6"/>
    <mergeCell ref="J5:J6"/>
    <mergeCell ref="K5:K6"/>
    <mergeCell ref="AE5:AE6"/>
    <mergeCell ref="AF5:AF6"/>
    <mergeCell ref="U5:U6"/>
    <mergeCell ref="V5:V6"/>
    <mergeCell ref="W5:W6"/>
    <mergeCell ref="X5:X6"/>
    <mergeCell ref="Y5:Y6"/>
    <mergeCell ref="Z5:Z6"/>
    <mergeCell ref="L5:L6"/>
    <mergeCell ref="A5:A6"/>
    <mergeCell ref="B5:B6"/>
    <mergeCell ref="C5:C6"/>
    <mergeCell ref="D5:D6"/>
    <mergeCell ref="E5:E6"/>
    <mergeCell ref="F5:F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FORMATO NOMINA</vt:lpstr>
      <vt:lpstr>descuentos</vt:lpstr>
      <vt:lpstr>INFONAVIT</vt:lpstr>
      <vt:lpstr>COMPLEMENTO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2016-07-18T16:13:32Z</dcterms:modified>
</cp:coreProperties>
</file>