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$\Grupo LMJS\QUERETARO MOTORS\NOMINA\NOMINA 2016\QUINCENAL\"/>
    </mc:Choice>
  </mc:AlternateContent>
  <bookViews>
    <workbookView xWindow="0" yWindow="0" windowWidth="28800" windowHeight="11445" tabRatio="739" activeTab="2"/>
  </bookViews>
  <sheets>
    <sheet name="Datos Base Servicio" sheetId="2" r:id="rId1"/>
    <sheet name="Datos Base de Ventas" sheetId="7" r:id="rId2"/>
    <sheet name="Nomina" sheetId="3" r:id="rId3"/>
    <sheet name="JR" sheetId="29" r:id="rId4"/>
    <sheet name="GG" sheetId="27" r:id="rId5"/>
    <sheet name="GV" sheetId="28" r:id="rId6"/>
    <sheet name="Control" sheetId="23" r:id="rId7"/>
    <sheet name="MR" sheetId="20" r:id="rId8"/>
    <sheet name="GS" sheetId="18" r:id="rId9"/>
    <sheet name="Citas" sheetId="30" r:id="rId10"/>
    <sheet name="GR" sheetId="16" r:id="rId11"/>
    <sheet name="Bodega" sheetId="17" r:id="rId12"/>
    <sheet name="Champion" sheetId="11" r:id="rId13"/>
    <sheet name="FAC" sheetId="15" r:id="rId14"/>
    <sheet name="SSI" sheetId="22" r:id="rId15"/>
    <sheet name="F&amp;I" sheetId="14" r:id="rId16"/>
    <sheet name="ENT" sheetId="12" r:id="rId17"/>
    <sheet name="CAR" sheetId="9" r:id="rId18"/>
    <sheet name="AR" sheetId="6" r:id="rId19"/>
    <sheet name="AG" sheetId="5" r:id="rId20"/>
    <sheet name="HYP" sheetId="25" r:id="rId21"/>
    <sheet name="VAL" sheetId="26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28" i="2"/>
  <c r="B12" i="7"/>
  <c r="B2" i="2"/>
  <c r="A27" i="14" l="1"/>
  <c r="A24" i="28"/>
  <c r="A10" i="28"/>
  <c r="A37" i="27"/>
  <c r="B5" i="7"/>
  <c r="G28" i="3" l="1"/>
  <c r="E28" i="3"/>
  <c r="C16" i="30"/>
  <c r="D22" i="30" s="1"/>
  <c r="E22" i="30" s="1"/>
  <c r="C1" i="30"/>
  <c r="D23" i="30" l="1"/>
  <c r="E23" i="30" s="1"/>
  <c r="D19" i="30"/>
  <c r="E19" i="30" s="1"/>
  <c r="D24" i="30"/>
  <c r="E24" i="30" s="1"/>
  <c r="D21" i="30"/>
  <c r="E21" i="30" s="1"/>
  <c r="D12" i="30"/>
  <c r="E12" i="30" s="1"/>
  <c r="D11" i="30"/>
  <c r="E11" i="30" s="1"/>
  <c r="D10" i="30"/>
  <c r="E10" i="30" s="1"/>
  <c r="D9" i="30"/>
  <c r="E9" i="30" s="1"/>
  <c r="C19" i="29"/>
  <c r="C20" i="29" s="1"/>
  <c r="C21" i="29" s="1"/>
  <c r="C22" i="29" s="1"/>
  <c r="C23" i="29" s="1"/>
  <c r="C24" i="29" s="1"/>
  <c r="C25" i="29" s="1"/>
  <c r="C3" i="30" l="1"/>
  <c r="B20" i="2"/>
  <c r="D20" i="30" l="1"/>
  <c r="E20" i="30" s="1"/>
  <c r="E25" i="30" s="1"/>
  <c r="D8" i="30"/>
  <c r="E8" i="30" s="1"/>
  <c r="E13" i="30" s="1"/>
  <c r="E29" i="30"/>
  <c r="F21" i="3" s="1"/>
  <c r="H21" i="3" s="1"/>
  <c r="B28" i="29"/>
  <c r="C17" i="29"/>
  <c r="B14" i="29"/>
  <c r="A18" i="29"/>
  <c r="C5" i="29"/>
  <c r="B5" i="29"/>
  <c r="A6" i="29" s="1"/>
  <c r="B6" i="29" s="1"/>
  <c r="A7" i="29" s="1"/>
  <c r="B7" i="29" s="1"/>
  <c r="A8" i="29" s="1"/>
  <c r="B8" i="29" s="1"/>
  <c r="A9" i="29" s="1"/>
  <c r="B9" i="29" s="1"/>
  <c r="A10" i="29" s="1"/>
  <c r="B10" i="29" s="1"/>
  <c r="A5" i="29"/>
  <c r="B1" i="29"/>
  <c r="D4" i="29" s="1"/>
  <c r="E4" i="29" s="1"/>
  <c r="B29" i="2"/>
  <c r="D32" i="29" l="1"/>
  <c r="E32" i="29" s="1"/>
  <c r="D33" i="29"/>
  <c r="E33" i="29" s="1"/>
  <c r="B18" i="29"/>
  <c r="D18" i="29" s="1"/>
  <c r="C18" i="29"/>
  <c r="D17" i="29"/>
  <c r="E17" i="29" s="1"/>
  <c r="D31" i="29"/>
  <c r="E31" i="29" s="1"/>
  <c r="C6" i="29"/>
  <c r="C7" i="29" s="1"/>
  <c r="C8" i="29" s="1"/>
  <c r="C9" i="29" s="1"/>
  <c r="C10" i="29" s="1"/>
  <c r="A19" i="29"/>
  <c r="A11" i="29"/>
  <c r="D10" i="29"/>
  <c r="D6" i="29"/>
  <c r="D5" i="29"/>
  <c r="E34" i="29" l="1"/>
  <c r="D19" i="29"/>
  <c r="E18" i="29"/>
  <c r="C11" i="29"/>
  <c r="B19" i="29"/>
  <c r="A20" i="29" s="1"/>
  <c r="B11" i="29"/>
  <c r="D39" i="28"/>
  <c r="D38" i="28"/>
  <c r="B30" i="28"/>
  <c r="D35" i="28" s="1"/>
  <c r="C17" i="28"/>
  <c r="C16" i="28"/>
  <c r="C3" i="28"/>
  <c r="C2" i="28"/>
  <c r="D20" i="29" l="1"/>
  <c r="D11" i="29"/>
  <c r="A12" i="29"/>
  <c r="D12" i="29" s="1"/>
  <c r="C12" i="29"/>
  <c r="E12" i="29" s="1"/>
  <c r="B20" i="29"/>
  <c r="A21" i="29" s="1"/>
  <c r="E19" i="29"/>
  <c r="D7" i="29"/>
  <c r="D40" i="28"/>
  <c r="C4" i="28"/>
  <c r="C18" i="28"/>
  <c r="D33" i="28"/>
  <c r="D34" i="28"/>
  <c r="C20" i="14"/>
  <c r="C19" i="14"/>
  <c r="D9" i="28" l="1"/>
  <c r="D12" i="28"/>
  <c r="D11" i="28"/>
  <c r="D10" i="28"/>
  <c r="D13" i="28" s="1"/>
  <c r="D21" i="29"/>
  <c r="D43" i="28"/>
  <c r="D46" i="28"/>
  <c r="D45" i="28"/>
  <c r="D44" i="28"/>
  <c r="B21" i="29"/>
  <c r="A22" i="29" s="1"/>
  <c r="E20" i="29"/>
  <c r="D9" i="29"/>
  <c r="D8" i="29"/>
  <c r="D25" i="28"/>
  <c r="D24" i="28"/>
  <c r="D23" i="28"/>
  <c r="D26" i="28"/>
  <c r="D36" i="28"/>
  <c r="C21" i="14"/>
  <c r="D26" i="14" s="1"/>
  <c r="E26" i="14" s="1"/>
  <c r="C62" i="27"/>
  <c r="C61" i="27"/>
  <c r="B44" i="27"/>
  <c r="B43" i="27"/>
  <c r="E50" i="27"/>
  <c r="C30" i="27"/>
  <c r="C29" i="27"/>
  <c r="A23" i="27"/>
  <c r="C15" i="27"/>
  <c r="C14" i="27"/>
  <c r="B65" i="27"/>
  <c r="E68" i="27" s="1"/>
  <c r="B56" i="27"/>
  <c r="B55" i="27"/>
  <c r="C18" i="27"/>
  <c r="B3" i="27"/>
  <c r="D22" i="29" l="1"/>
  <c r="E21" i="29"/>
  <c r="B22" i="29"/>
  <c r="A23" i="29" s="1"/>
  <c r="D47" i="28"/>
  <c r="D27" i="28"/>
  <c r="B45" i="27"/>
  <c r="D49" i="27" s="1"/>
  <c r="E49" i="27" s="1"/>
  <c r="E51" i="27" s="1"/>
  <c r="C31" i="27"/>
  <c r="C16" i="27"/>
  <c r="E70" i="27"/>
  <c r="B57" i="27"/>
  <c r="E69" i="27"/>
  <c r="H10" i="3"/>
  <c r="H9" i="3"/>
  <c r="D23" i="29" l="1"/>
  <c r="B23" i="29"/>
  <c r="A24" i="29" s="1"/>
  <c r="E22" i="29"/>
  <c r="D50" i="28"/>
  <c r="F8" i="3" s="1"/>
  <c r="D28" i="14"/>
  <c r="E28" i="14" s="1"/>
  <c r="D62" i="27"/>
  <c r="E62" i="27" s="1"/>
  <c r="D61" i="27"/>
  <c r="E61" i="27" s="1"/>
  <c r="D38" i="27"/>
  <c r="E38" i="27" s="1"/>
  <c r="D37" i="27"/>
  <c r="E37" i="27" s="1"/>
  <c r="D36" i="27"/>
  <c r="E36" i="27" s="1"/>
  <c r="D25" i="27"/>
  <c r="E25" i="27" s="1"/>
  <c r="D23" i="27"/>
  <c r="E23" i="27" s="1"/>
  <c r="D39" i="27"/>
  <c r="D24" i="27"/>
  <c r="E24" i="27" s="1"/>
  <c r="D22" i="27"/>
  <c r="E22" i="27" s="1"/>
  <c r="E71" i="27"/>
  <c r="C8" i="14"/>
  <c r="C6" i="14"/>
  <c r="C5" i="14" s="1"/>
  <c r="C4" i="14" s="1"/>
  <c r="D24" i="29" l="1"/>
  <c r="B24" i="29"/>
  <c r="A25" i="29" s="1"/>
  <c r="D25" i="29" s="1"/>
  <c r="E23" i="29"/>
  <c r="D29" i="14"/>
  <c r="E29" i="14" s="1"/>
  <c r="E63" i="27"/>
  <c r="E39" i="27"/>
  <c r="E40" i="27" s="1"/>
  <c r="E26" i="27"/>
  <c r="B17" i="2"/>
  <c r="B15" i="2"/>
  <c r="B33" i="2"/>
  <c r="B10" i="2"/>
  <c r="E24" i="29" l="1"/>
  <c r="B16" i="2"/>
  <c r="B4" i="27" s="1"/>
  <c r="B5" i="27" s="1"/>
  <c r="B27" i="5"/>
  <c r="B26" i="5"/>
  <c r="E25" i="29" l="1"/>
  <c r="E26" i="29" s="1"/>
  <c r="E8" i="27"/>
  <c r="E9" i="27"/>
  <c r="E10" i="27"/>
  <c r="E11" i="27"/>
  <c r="B20" i="26"/>
  <c r="B19" i="26"/>
  <c r="B5" i="26"/>
  <c r="B4" i="26"/>
  <c r="E12" i="27" l="1"/>
  <c r="E74" i="27" s="1"/>
  <c r="F7" i="3" s="1"/>
  <c r="B6" i="26"/>
  <c r="B7" i="26" s="1"/>
  <c r="D12" i="26" s="1"/>
  <c r="E12" i="26" s="1"/>
  <c r="B21" i="26"/>
  <c r="D11" i="26" l="1"/>
  <c r="E11" i="26" s="1"/>
  <c r="D14" i="26"/>
  <c r="E14" i="26" s="1"/>
  <c r="D10" i="26"/>
  <c r="E10" i="26" s="1"/>
  <c r="D13" i="26"/>
  <c r="E13" i="26" s="1"/>
  <c r="E28" i="26"/>
  <c r="E27" i="26"/>
  <c r="E26" i="26"/>
  <c r="E25" i="26"/>
  <c r="D16" i="25"/>
  <c r="E21" i="25" s="1"/>
  <c r="B5" i="25"/>
  <c r="B4" i="25"/>
  <c r="E15" i="26" l="1"/>
  <c r="E29" i="26"/>
  <c r="D21" i="25"/>
  <c r="D20" i="25"/>
  <c r="B6" i="25"/>
  <c r="D12" i="25" s="1"/>
  <c r="E12" i="25" s="1"/>
  <c r="E20" i="25"/>
  <c r="B15" i="16"/>
  <c r="B14" i="16"/>
  <c r="B23" i="18"/>
  <c r="B22" i="18"/>
  <c r="B15" i="17"/>
  <c r="B14" i="17"/>
  <c r="B22" i="23"/>
  <c r="D25" i="23" s="1"/>
  <c r="E25" i="23" s="1"/>
  <c r="A10" i="23"/>
  <c r="B9" i="23" s="1"/>
  <c r="B5" i="23"/>
  <c r="B4" i="23"/>
  <c r="B3" i="23"/>
  <c r="B4" i="22"/>
  <c r="E9" i="22" s="1"/>
  <c r="B4" i="20"/>
  <c r="B3" i="20"/>
  <c r="B5" i="20"/>
  <c r="E32" i="26" l="1"/>
  <c r="F14" i="3" s="1"/>
  <c r="H14" i="3" s="1"/>
  <c r="D13" i="25"/>
  <c r="E13" i="25" s="1"/>
  <c r="D11" i="25"/>
  <c r="E11" i="25" s="1"/>
  <c r="D10" i="25"/>
  <c r="E10" i="25" s="1"/>
  <c r="D9" i="25"/>
  <c r="E9" i="25" s="1"/>
  <c r="D19" i="25"/>
  <c r="E19" i="25" s="1"/>
  <c r="E22" i="25" s="1"/>
  <c r="B6" i="23"/>
  <c r="D9" i="23" s="1"/>
  <c r="E9" i="23" s="1"/>
  <c r="A11" i="23"/>
  <c r="E7" i="22"/>
  <c r="E8" i="22"/>
  <c r="B6" i="20"/>
  <c r="B65" i="18"/>
  <c r="B64" i="18"/>
  <c r="B3" i="18"/>
  <c r="C52" i="18"/>
  <c r="D58" i="18" s="1"/>
  <c r="E58" i="18" s="1"/>
  <c r="B44" i="18"/>
  <c r="C33" i="18"/>
  <c r="D39" i="18" s="1"/>
  <c r="E39" i="18" s="1"/>
  <c r="A10" i="18"/>
  <c r="A11" i="18" s="1"/>
  <c r="B9" i="18"/>
  <c r="B5" i="18"/>
  <c r="B4" i="18"/>
  <c r="B29" i="17"/>
  <c r="E33" i="17" s="1"/>
  <c r="B5" i="17"/>
  <c r="B4" i="17"/>
  <c r="B29" i="16"/>
  <c r="E34" i="16" s="1"/>
  <c r="B5" i="16"/>
  <c r="B4" i="16"/>
  <c r="C4" i="15"/>
  <c r="D8" i="15" s="1"/>
  <c r="E8" i="15" s="1"/>
  <c r="B13" i="15"/>
  <c r="E19" i="15" s="1"/>
  <c r="H1048576" i="3"/>
  <c r="B11" i="14"/>
  <c r="E14" i="14" l="1"/>
  <c r="F13" i="3"/>
  <c r="E14" i="25"/>
  <c r="E25" i="25" s="1"/>
  <c r="F12" i="3" s="1"/>
  <c r="H12" i="3" s="1"/>
  <c r="D9" i="15"/>
  <c r="E9" i="15" s="1"/>
  <c r="D10" i="15"/>
  <c r="E10" i="15" s="1"/>
  <c r="D11" i="15"/>
  <c r="E11" i="15" s="1"/>
  <c r="D7" i="15"/>
  <c r="E7" i="15" s="1"/>
  <c r="E16" i="15"/>
  <c r="E18" i="15"/>
  <c r="D9" i="20"/>
  <c r="E9" i="20" s="1"/>
  <c r="D11" i="20"/>
  <c r="E11" i="20" s="1"/>
  <c r="D10" i="20"/>
  <c r="E10" i="20" s="1"/>
  <c r="D27" i="23"/>
  <c r="E27" i="23" s="1"/>
  <c r="D26" i="23"/>
  <c r="E26" i="23" s="1"/>
  <c r="B10" i="23"/>
  <c r="D10" i="23" s="1"/>
  <c r="E10" i="23" s="1"/>
  <c r="A12" i="23"/>
  <c r="E10" i="22"/>
  <c r="E12" i="22" s="1"/>
  <c r="F27" i="3" s="1"/>
  <c r="H27" i="3" s="1"/>
  <c r="E17" i="15"/>
  <c r="B66" i="18"/>
  <c r="D57" i="18"/>
  <c r="E57" i="18" s="1"/>
  <c r="B16" i="17"/>
  <c r="E25" i="17" s="1"/>
  <c r="D59" i="18"/>
  <c r="E59" i="18" s="1"/>
  <c r="D41" i="18"/>
  <c r="E41" i="18" s="1"/>
  <c r="D47" i="18"/>
  <c r="E47" i="18" s="1"/>
  <c r="D40" i="18"/>
  <c r="E40" i="18" s="1"/>
  <c r="D38" i="18"/>
  <c r="E38" i="18" s="1"/>
  <c r="A12" i="18"/>
  <c r="A13" i="18" s="1"/>
  <c r="A14" i="18" s="1"/>
  <c r="A15" i="18" s="1"/>
  <c r="A16" i="18" s="1"/>
  <c r="A17" i="18" s="1"/>
  <c r="A18" i="18" s="1"/>
  <c r="B10" i="18"/>
  <c r="B24" i="18"/>
  <c r="B6" i="18"/>
  <c r="D55" i="18" s="1"/>
  <c r="E55" i="18" s="1"/>
  <c r="E34" i="17"/>
  <c r="E32" i="17"/>
  <c r="E32" i="16"/>
  <c r="E33" i="16"/>
  <c r="B16" i="16"/>
  <c r="E23" i="16" s="1"/>
  <c r="C1" i="14"/>
  <c r="D27" i="14" s="1"/>
  <c r="E27" i="14" s="1"/>
  <c r="E30" i="14" s="1"/>
  <c r="E15" i="14" l="1"/>
  <c r="E6" i="14"/>
  <c r="E5" i="14"/>
  <c r="E8" i="14"/>
  <c r="E4" i="14"/>
  <c r="E7" i="14"/>
  <c r="E16" i="14"/>
  <c r="D73" i="18"/>
  <c r="E73" i="18" s="1"/>
  <c r="D36" i="18"/>
  <c r="E36" i="18" s="1"/>
  <c r="E12" i="15"/>
  <c r="D56" i="18"/>
  <c r="E56" i="18" s="1"/>
  <c r="E60" i="18" s="1"/>
  <c r="E20" i="15"/>
  <c r="E13" i="20"/>
  <c r="F26" i="3" s="1"/>
  <c r="H26" i="3" s="1"/>
  <c r="D49" i="18"/>
  <c r="E49" i="18" s="1"/>
  <c r="D72" i="18"/>
  <c r="E72" i="18" s="1"/>
  <c r="E28" i="23"/>
  <c r="D70" i="18"/>
  <c r="E70" i="18" s="1"/>
  <c r="B11" i="23"/>
  <c r="D11" i="23" s="1"/>
  <c r="E11" i="23" s="1"/>
  <c r="A13" i="23"/>
  <c r="D71" i="18"/>
  <c r="E71" i="18" s="1"/>
  <c r="E22" i="17"/>
  <c r="E24" i="17"/>
  <c r="E20" i="17"/>
  <c r="E21" i="17"/>
  <c r="E23" i="17"/>
  <c r="E19" i="17"/>
  <c r="E35" i="17"/>
  <c r="E35" i="16"/>
  <c r="D48" i="18"/>
  <c r="E48" i="18" s="1"/>
  <c r="D37" i="18"/>
  <c r="E37" i="18" s="1"/>
  <c r="D27" i="18"/>
  <c r="E27" i="18" s="1"/>
  <c r="D30" i="18"/>
  <c r="E30" i="18" s="1"/>
  <c r="D29" i="18"/>
  <c r="E29" i="18" s="1"/>
  <c r="D28" i="18"/>
  <c r="E28" i="18" s="1"/>
  <c r="B16" i="18"/>
  <c r="D16" i="18" s="1"/>
  <c r="E16" i="18" s="1"/>
  <c r="D9" i="18"/>
  <c r="E9" i="18" s="1"/>
  <c r="D10" i="18"/>
  <c r="E10" i="18" s="1"/>
  <c r="B11" i="18"/>
  <c r="D11" i="18" s="1"/>
  <c r="E11" i="18" s="1"/>
  <c r="D18" i="18"/>
  <c r="E18" i="18" s="1"/>
  <c r="B17" i="18"/>
  <c r="D17" i="18" s="1"/>
  <c r="E17" i="18" s="1"/>
  <c r="B12" i="18"/>
  <c r="D12" i="18" s="1"/>
  <c r="E12" i="18" s="1"/>
  <c r="B14" i="18"/>
  <c r="D14" i="18" s="1"/>
  <c r="E14" i="18" s="1"/>
  <c r="B13" i="18"/>
  <c r="D13" i="18" s="1"/>
  <c r="E13" i="18" s="1"/>
  <c r="B15" i="18"/>
  <c r="D15" i="18" s="1"/>
  <c r="E15" i="18" s="1"/>
  <c r="E25" i="16"/>
  <c r="E21" i="16"/>
  <c r="E19" i="16"/>
  <c r="E24" i="16"/>
  <c r="E22" i="16"/>
  <c r="E20" i="16"/>
  <c r="B13" i="12"/>
  <c r="E19" i="12" s="1"/>
  <c r="C4" i="12"/>
  <c r="D9" i="12" s="1"/>
  <c r="E9" i="12" s="1"/>
  <c r="B23" i="11"/>
  <c r="E28" i="11" s="1"/>
  <c r="C12" i="11"/>
  <c r="E17" i="11" s="1"/>
  <c r="C3" i="11"/>
  <c r="E10" i="11" s="1"/>
  <c r="D16" i="9"/>
  <c r="E21" i="9" s="1"/>
  <c r="B5" i="9"/>
  <c r="B4" i="9"/>
  <c r="B26" i="9"/>
  <c r="E17" i="14" l="1"/>
  <c r="H7" i="3"/>
  <c r="E23" i="15"/>
  <c r="F6" i="3" s="1"/>
  <c r="H6" i="3" s="1"/>
  <c r="E42" i="18"/>
  <c r="E50" i="18"/>
  <c r="E74" i="18"/>
  <c r="B12" i="23"/>
  <c r="D12" i="23" s="1"/>
  <c r="E12" i="23" s="1"/>
  <c r="A14" i="23"/>
  <c r="D8" i="12"/>
  <c r="E8" i="12" s="1"/>
  <c r="D10" i="12"/>
  <c r="E10" i="12" s="1"/>
  <c r="E18" i="12"/>
  <c r="D7" i="12"/>
  <c r="E7" i="12" s="1"/>
  <c r="D11" i="12"/>
  <c r="E11" i="12" s="1"/>
  <c r="E20" i="12"/>
  <c r="E16" i="12"/>
  <c r="E26" i="17"/>
  <c r="E27" i="11"/>
  <c r="E18" i="11"/>
  <c r="E26" i="11"/>
  <c r="E7" i="11"/>
  <c r="E8" i="11"/>
  <c r="E15" i="11"/>
  <c r="E19" i="11"/>
  <c r="E9" i="11"/>
  <c r="E16" i="11"/>
  <c r="E20" i="11"/>
  <c r="E6" i="11"/>
  <c r="E19" i="18"/>
  <c r="E31" i="18"/>
  <c r="E26" i="16"/>
  <c r="E9" i="14"/>
  <c r="E17" i="12"/>
  <c r="E20" i="9"/>
  <c r="B6" i="9"/>
  <c r="D11" i="9" s="1"/>
  <c r="E11" i="9" s="1"/>
  <c r="E19" i="9"/>
  <c r="B5" i="6"/>
  <c r="B4" i="6"/>
  <c r="D16" i="5"/>
  <c r="E21" i="5" s="1"/>
  <c r="B5" i="5"/>
  <c r="B4" i="5"/>
  <c r="E32" i="14" l="1"/>
  <c r="F4" i="3" s="1"/>
  <c r="H4" i="3" s="1"/>
  <c r="E21" i="12"/>
  <c r="B13" i="23"/>
  <c r="D13" i="23" s="1"/>
  <c r="E13" i="23" s="1"/>
  <c r="A15" i="23"/>
  <c r="E12" i="12"/>
  <c r="E76" i="18"/>
  <c r="F24" i="3" s="1"/>
  <c r="B3" i="17"/>
  <c r="B6" i="17" s="1"/>
  <c r="B3" i="16"/>
  <c r="B6" i="16" s="1"/>
  <c r="D13" i="9"/>
  <c r="E13" i="9" s="1"/>
  <c r="B6" i="6"/>
  <c r="E13" i="6" s="1"/>
  <c r="E22" i="9"/>
  <c r="E29" i="11"/>
  <c r="D10" i="9"/>
  <c r="E10" i="9" s="1"/>
  <c r="E14" i="6"/>
  <c r="D12" i="9"/>
  <c r="E12" i="9" s="1"/>
  <c r="B28" i="5"/>
  <c r="E34" i="5" s="1"/>
  <c r="B27" i="9"/>
  <c r="B28" i="9" s="1"/>
  <c r="D9" i="9"/>
  <c r="E9" i="9" s="1"/>
  <c r="E21" i="11"/>
  <c r="E11" i="11"/>
  <c r="B6" i="5"/>
  <c r="D10" i="5" s="1"/>
  <c r="E10" i="5" s="1"/>
  <c r="E20" i="5"/>
  <c r="E19" i="5"/>
  <c r="F3" i="3" l="1"/>
  <c r="F5" i="3"/>
  <c r="F23" i="3"/>
  <c r="H23" i="3" s="1"/>
  <c r="E24" i="12"/>
  <c r="B14" i="23"/>
  <c r="D14" i="23" s="1"/>
  <c r="E14" i="23" s="1"/>
  <c r="A16" i="23"/>
  <c r="E15" i="6"/>
  <c r="E10" i="16"/>
  <c r="E9" i="16"/>
  <c r="E11" i="16"/>
  <c r="E10" i="17"/>
  <c r="E9" i="17"/>
  <c r="E11" i="17"/>
  <c r="E11" i="6"/>
  <c r="E31" i="11"/>
  <c r="E9" i="6"/>
  <c r="E10" i="6"/>
  <c r="E12" i="6"/>
  <c r="D13" i="5"/>
  <c r="E13" i="5" s="1"/>
  <c r="E22" i="5"/>
  <c r="E14" i="9"/>
  <c r="D12" i="5"/>
  <c r="E12" i="5" s="1"/>
  <c r="D9" i="5"/>
  <c r="E9" i="5" s="1"/>
  <c r="E34" i="9"/>
  <c r="E35" i="9"/>
  <c r="E32" i="9"/>
  <c r="E33" i="9"/>
  <c r="D11" i="5"/>
  <c r="E11" i="5" s="1"/>
  <c r="E33" i="5"/>
  <c r="E32" i="5"/>
  <c r="E35" i="5"/>
  <c r="H8" i="3" l="1"/>
  <c r="F2" i="3"/>
  <c r="H5" i="3"/>
  <c r="H3" i="3"/>
  <c r="B15" i="23"/>
  <c r="D15" i="23" s="1"/>
  <c r="E15" i="23" s="1"/>
  <c r="A17" i="23"/>
  <c r="E12" i="16"/>
  <c r="E38" i="16" s="1"/>
  <c r="E16" i="6"/>
  <c r="E19" i="6" s="1"/>
  <c r="F15" i="3" s="1"/>
  <c r="H15" i="3" s="1"/>
  <c r="E12" i="17"/>
  <c r="E38" i="17" s="1"/>
  <c r="F16" i="3" s="1"/>
  <c r="E14" i="5"/>
  <c r="E36" i="9"/>
  <c r="E38" i="9" s="1"/>
  <c r="E36" i="5"/>
  <c r="H2" i="3" l="1"/>
  <c r="F11" i="3"/>
  <c r="H13" i="3"/>
  <c r="H16" i="3"/>
  <c r="B16" i="23"/>
  <c r="D16" i="23" s="1"/>
  <c r="E16" i="23" s="1"/>
  <c r="A18" i="23"/>
  <c r="F17" i="3"/>
  <c r="H17" i="3" s="1"/>
  <c r="F18" i="3"/>
  <c r="H18" i="3" s="1"/>
  <c r="E38" i="5"/>
  <c r="F20" i="3" s="1"/>
  <c r="H11" i="3" l="1"/>
  <c r="F19" i="3"/>
  <c r="H19" i="3" s="1"/>
  <c r="H20" i="3"/>
  <c r="F23" i="5"/>
  <c r="B17" i="23"/>
  <c r="D17" i="23" s="1"/>
  <c r="E17" i="23" s="1"/>
  <c r="D18" i="23"/>
  <c r="E18" i="23" s="1"/>
  <c r="E19" i="23" l="1"/>
  <c r="E31" i="23" s="1"/>
  <c r="F22" i="3" s="1"/>
  <c r="H22" i="3" l="1"/>
  <c r="H24" i="3"/>
  <c r="E5" i="29" l="1"/>
  <c r="E6" i="29" l="1"/>
  <c r="E7" i="29" l="1"/>
  <c r="E8" i="29" l="1"/>
  <c r="E9" i="29" l="1"/>
  <c r="E10" i="29" l="1"/>
  <c r="E11" i="29"/>
  <c r="E13" i="29" l="1"/>
  <c r="E37" i="29" s="1"/>
  <c r="F25" i="3" s="1"/>
  <c r="F28" i="3" s="1"/>
  <c r="H25" i="3" l="1"/>
  <c r="H28" i="3" s="1"/>
</calcChain>
</file>

<file path=xl/sharedStrings.xml><?xml version="1.0" encoding="utf-8"?>
<sst xmlns="http://schemas.openxmlformats.org/spreadsheetml/2006/main" count="565" uniqueCount="192">
  <si>
    <t>Superior</t>
  </si>
  <si>
    <t>% Comision</t>
  </si>
  <si>
    <t>Multiplicador</t>
  </si>
  <si>
    <t>Comision</t>
  </si>
  <si>
    <t>TOTAL DE CARTERA SERVICIO, REFACCIONES Y HOJALATERIA Y PINTURA</t>
  </si>
  <si>
    <t>VENTA DE SERVICIO, REFACCIONES Y HOJALATERIA Y PINTURA</t>
  </si>
  <si>
    <t>DIAS VENTA DE CARTERA DE SERVICIO, REFACCIONES Y HOJALATERIA Y PINTURA</t>
  </si>
  <si>
    <t>CARTERA</t>
  </si>
  <si>
    <t xml:space="preserve">DIAS VENTA   </t>
  </si>
  <si>
    <t>VENTAS</t>
  </si>
  <si>
    <t xml:space="preserve"> </t>
  </si>
  <si>
    <t>Inferior</t>
  </si>
  <si>
    <t>Comisiones:</t>
  </si>
  <si>
    <t>Total</t>
  </si>
  <si>
    <t>Guadalupe Espindola</t>
  </si>
  <si>
    <t>Base</t>
  </si>
  <si>
    <t>Comisiones</t>
  </si>
  <si>
    <t>UNIDADES ENTREGADAS EN EL MES</t>
  </si>
  <si>
    <t>CSI DE VENTAS IPSOS BIMSA</t>
  </si>
  <si>
    <t>Lim. Inferior</t>
  </si>
  <si>
    <t>Lim. Superior</t>
  </si>
  <si>
    <t>UNIDADES ENTREGADAS</t>
  </si>
  <si>
    <t xml:space="preserve">CSI VENTAS </t>
  </si>
  <si>
    <t>VENTAS DE GARANTIAS EN SERVICIO</t>
  </si>
  <si>
    <t>COSTO DE GARANTIAS EN SERVICIO</t>
  </si>
  <si>
    <t>DURACION EN DIAS DE LAS GARANTIAS EN SERVICIO</t>
  </si>
  <si>
    <t>ADMINISTRADOR DE GARANTIAS</t>
  </si>
  <si>
    <t>COSTO</t>
  </si>
  <si>
    <t>UTILIDAD BRUTA DE VENTAS DE GARANTIA</t>
  </si>
  <si>
    <t>DURACION DE LAS GARANTIAS EN SERVICIO</t>
  </si>
  <si>
    <t>AG</t>
  </si>
  <si>
    <t>Hoja</t>
  </si>
  <si>
    <t>Administrador Garantias</t>
  </si>
  <si>
    <t>INVENTARIO CONTABLE DE REFACCIONES</t>
  </si>
  <si>
    <t>DIAS VENTA INVENTARIO DE REFACCIONES</t>
  </si>
  <si>
    <t>INVENTARIO</t>
  </si>
  <si>
    <t xml:space="preserve">DIAS VENTA </t>
  </si>
  <si>
    <t>Yolanda Aguilar Rosas</t>
  </si>
  <si>
    <t>AR</t>
  </si>
  <si>
    <t>VENTAS DE HOJALATERIA Y PINTURA</t>
  </si>
  <si>
    <t>COSTO DE HOJALATERIA Y PINTURA</t>
  </si>
  <si>
    <t>DURACION EN DIAS DE HOJALATERIA Y PINTURA</t>
  </si>
  <si>
    <t>ADMINISTRADOR DE CARTERA DE SERVICIO</t>
  </si>
  <si>
    <t>UTILIDAD BRUTA DE HYP</t>
  </si>
  <si>
    <t>DURACION DE HYP EN SERVICIO</t>
  </si>
  <si>
    <t>Administrador Cartera HYP</t>
  </si>
  <si>
    <t>Citas Concretadas</t>
  </si>
  <si>
    <t>Retencion de Clientes a 5 años</t>
  </si>
  <si>
    <t>Retencion de Clientes</t>
  </si>
  <si>
    <t>CSI Servicio</t>
  </si>
  <si>
    <t>CHAMPION</t>
  </si>
  <si>
    <t>Christian Gallegos Romero</t>
  </si>
  <si>
    <t>ENTREGAS DE AUTOS NUEVOS</t>
  </si>
  <si>
    <t>Arizbeth Lizardi</t>
  </si>
  <si>
    <t>ENT</t>
  </si>
  <si>
    <t xml:space="preserve">Entregas de Autos </t>
  </si>
  <si>
    <t>J de Jesus Santiago Don Diego</t>
  </si>
  <si>
    <t>Auxiliar de Entregas</t>
  </si>
  <si>
    <t>UTILIDAD BRUTA DE PVAS</t>
  </si>
  <si>
    <t>UTILIDAD DE BRUTA DE PVA</t>
  </si>
  <si>
    <t>CSI VENTAS</t>
  </si>
  <si>
    <t>F&amp;I</t>
  </si>
  <si>
    <t>UNIDADES FACTURADAS</t>
  </si>
  <si>
    <t>FACTURACION DE AUTOS NUEVOS Y SEMINUEVOS</t>
  </si>
  <si>
    <t>Jessica Juarez</t>
  </si>
  <si>
    <t>FAC</t>
  </si>
  <si>
    <t>Facturacion de Autos</t>
  </si>
  <si>
    <t>COSTO DE SERVICIO Y REFACCIONES</t>
  </si>
  <si>
    <t>DESCUENTOS DE SERVICIO Y REFACCIONES</t>
  </si>
  <si>
    <t>DESCUENTOS</t>
  </si>
  <si>
    <t>UTILIDAD BRUTA DE SERVICIO Y REFACCIONES</t>
  </si>
  <si>
    <t>GR</t>
  </si>
  <si>
    <t>Gerente de Refacciones</t>
  </si>
  <si>
    <t>Idalid Sanchez</t>
  </si>
  <si>
    <t>Guadalupe Mandujano</t>
  </si>
  <si>
    <t>Bodega</t>
  </si>
  <si>
    <t>Encargado de Bodega</t>
  </si>
  <si>
    <t>Armando Espinoza</t>
  </si>
  <si>
    <t>GS</t>
  </si>
  <si>
    <t>Gerente de Servicio</t>
  </si>
  <si>
    <t>Eduardo Pajaro</t>
  </si>
  <si>
    <t>SubGerente de Servicio</t>
  </si>
  <si>
    <t>Mostrador Servicio Refacciones</t>
  </si>
  <si>
    <t>Josue Flores Catarino</t>
  </si>
  <si>
    <t>Mostrador Refacciones Publico</t>
  </si>
  <si>
    <t>Angelica Gonzalez Molinero</t>
  </si>
  <si>
    <t>Mariuri Gutierrez Olvera</t>
  </si>
  <si>
    <t>Control y Tabulacion</t>
  </si>
  <si>
    <t>Erick Martinez Cabrera</t>
  </si>
  <si>
    <t>Jesus Hernandez Carpio</t>
  </si>
  <si>
    <t>VENTAS MOSTRADOR DE REFACCIONES DE CLIENTES</t>
  </si>
  <si>
    <t>COSTO MOSTRADOR DE REFACCIONES DE CLIENTES</t>
  </si>
  <si>
    <t>UTILIDAD BRUTA DE MOSTRADOR DE REFACCIONES</t>
  </si>
  <si>
    <t>MR</t>
  </si>
  <si>
    <t>SSI</t>
  </si>
  <si>
    <t>Control</t>
  </si>
  <si>
    <t>Extras</t>
  </si>
  <si>
    <t>GG</t>
  </si>
  <si>
    <t>DIAS VENTA INVENTARIO REFACCIONES</t>
  </si>
  <si>
    <t xml:space="preserve">RESULTADO DE LA OPERACIÓN </t>
  </si>
  <si>
    <t>RESULTADO DE LA OPERACIÓN DE LA AGENCIA</t>
  </si>
  <si>
    <t>RELACION VENTAS VS CARTERA</t>
  </si>
  <si>
    <t>DIAS VENTA</t>
  </si>
  <si>
    <t>CARTERA DE LA AGENCIA</t>
  </si>
  <si>
    <t>DIAS VENTA INVENTARIO AUTOS NUEVOS</t>
  </si>
  <si>
    <t>INVENTARIO DE AUTOS NUEVOS</t>
  </si>
  <si>
    <t>INVENTARIO DE SEMINUEVOS</t>
  </si>
  <si>
    <t>COSTO AUTOS NUEVOS</t>
  </si>
  <si>
    <t>COSTO INTERCAMBIOS</t>
  </si>
  <si>
    <t>COSTO SEMINUEVOS</t>
  </si>
  <si>
    <t>CSI Ventas</t>
  </si>
  <si>
    <t>Fernando Villalba</t>
  </si>
  <si>
    <t>Gerente General</t>
  </si>
  <si>
    <t>Armano Olvera</t>
  </si>
  <si>
    <t>HYP</t>
  </si>
  <si>
    <t>Jefe de HYP</t>
  </si>
  <si>
    <t>Juan Carlos Gomez Trujillo</t>
  </si>
  <si>
    <t>SYR</t>
  </si>
  <si>
    <t>AUTOS</t>
  </si>
  <si>
    <t>Area</t>
  </si>
  <si>
    <t>Juan Carlos Olvera Gonzalez</t>
  </si>
  <si>
    <t>REF</t>
  </si>
  <si>
    <t>Valuador de Siniestros</t>
  </si>
  <si>
    <t>Auxiliar Refacciones</t>
  </si>
  <si>
    <t>VAL</t>
  </si>
  <si>
    <t>VALUADORES</t>
  </si>
  <si>
    <t>UB</t>
  </si>
  <si>
    <t>MARGEN</t>
  </si>
  <si>
    <t>Juan Carlos Juarez Bautista</t>
  </si>
  <si>
    <t>ENT/1.2</t>
  </si>
  <si>
    <t>Maria Elena Ferrer Gonzalez</t>
  </si>
  <si>
    <t>Auxiliar Contable</t>
  </si>
  <si>
    <t>TOTAL DE CARTERA DE GARANTIAS</t>
  </si>
  <si>
    <t xml:space="preserve">DIAS VENTA CARTERA DE GARANTIAS </t>
  </si>
  <si>
    <t>UB GARANTIAS EN SERVICIO</t>
  </si>
  <si>
    <t>UB HOJALATERIA Y PINTURA</t>
  </si>
  <si>
    <t>UB MOSTRADOR DE REFACCIONES DE CLIENTES</t>
  </si>
  <si>
    <t>VENTAS DE REFACCIONES SYR</t>
  </si>
  <si>
    <t>COSTO DE REFACCIONES SYR</t>
  </si>
  <si>
    <t>UB REFACCIONES SYR</t>
  </si>
  <si>
    <t>VENTAS DE REFACCIONES TOTAL</t>
  </si>
  <si>
    <t>COSTO DE REFACCIONES TOTAL</t>
  </si>
  <si>
    <t>UB REFACCIONES TOTAL</t>
  </si>
  <si>
    <t>* NO MODIFICAR SE LLENAN CON LOS DATOS DE ABAJO</t>
  </si>
  <si>
    <t>CAR</t>
  </si>
  <si>
    <t>GS/2</t>
  </si>
  <si>
    <t>AG/3</t>
  </si>
  <si>
    <t>VENTAS TOTALES DE LA AGENCIA</t>
  </si>
  <si>
    <t>* No ingresar Venta de Industrial</t>
  </si>
  <si>
    <t>Fernanda Juarez Talavera</t>
  </si>
  <si>
    <t>Maricela Trejo</t>
  </si>
  <si>
    <t>Asistente Entregas</t>
  </si>
  <si>
    <t xml:space="preserve">Lizbeth Gonzalez </t>
  </si>
  <si>
    <t>Sin Comision</t>
  </si>
  <si>
    <t>F&amp;I / 2</t>
  </si>
  <si>
    <t>Auxiliar de F&amp;I</t>
  </si>
  <si>
    <t>OBJETIVO ENTREGAS DE LOS COACHES</t>
  </si>
  <si>
    <t>OBJETIVO ENTREGAS DE F&amp;I</t>
  </si>
  <si>
    <t>ENTREGAS F&amp;I</t>
  </si>
  <si>
    <t>ENTREGAS</t>
  </si>
  <si>
    <t>*Utilizar el periodo de la fecha de corte</t>
  </si>
  <si>
    <t>*Utilizar el periodo de la fecha de cortes</t>
  </si>
  <si>
    <t>OBJETIVO ENTREGAS COACHES</t>
  </si>
  <si>
    <t>ENTREGAS DE LOS COACHES</t>
  </si>
  <si>
    <t>ALCANCE</t>
  </si>
  <si>
    <t>OBJETIVO ENTREGAS COACHES F&amp;I</t>
  </si>
  <si>
    <t>ENTREGAS DE LOS COACHES F&amp;I</t>
  </si>
  <si>
    <t>GV</t>
  </si>
  <si>
    <t>OBJETIVO DE DIAS ENTRE FACTURA Y ENTREGA</t>
  </si>
  <si>
    <t>Dias entre factura y entrega</t>
  </si>
  <si>
    <t>Dias</t>
  </si>
  <si>
    <t>Alcance</t>
  </si>
  <si>
    <t>Gerente de Ventas</t>
  </si>
  <si>
    <t>UB Bruta Extras</t>
  </si>
  <si>
    <t>Utilidad Bruta de Venta de Extras en Servicio</t>
  </si>
  <si>
    <t>Utilidad Bruta de Servicios de Poliza en Servicio</t>
  </si>
  <si>
    <t>UB Bruta Poliza</t>
  </si>
  <si>
    <t>JR</t>
  </si>
  <si>
    <t>Jesus Octavio Molina Ramirez</t>
  </si>
  <si>
    <t>Jefe de Recepcion</t>
  </si>
  <si>
    <t>UB Servicio</t>
  </si>
  <si>
    <t xml:space="preserve">Mayra Pacheco </t>
  </si>
  <si>
    <t xml:space="preserve">Citas </t>
  </si>
  <si>
    <t xml:space="preserve">Jefe de Citas </t>
  </si>
  <si>
    <t>UB DE SERVICIO Y REFACCIONES</t>
  </si>
  <si>
    <t>Tomar este dato del estado de resultado de la matriz</t>
  </si>
  <si>
    <t>BAJA</t>
  </si>
  <si>
    <t>Mayra Pascual</t>
  </si>
  <si>
    <t>Paso a SSI en lugar de Mariuri</t>
  </si>
  <si>
    <t>paso a encargado de garantias</t>
  </si>
  <si>
    <t>baja, pasa Catarino</t>
  </si>
  <si>
    <t>Pasa Elizabeth Gonzalez antes Asistente de entregas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</si>
</sst>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000%"/>
    <numFmt numFmtId="166" formatCode="0.0000000%"/>
    <numFmt numFmtId="167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4" fontId="0" fillId="0" borderId="0" xfId="0" applyNumberFormat="1"/>
    <xf numFmtId="44" fontId="0" fillId="0" borderId="0" xfId="1" applyFont="1"/>
    <xf numFmtId="44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0" xfId="1" applyNumberFormat="1" applyFont="1"/>
    <xf numFmtId="9" fontId="0" fillId="0" borderId="0" xfId="2" applyFont="1"/>
    <xf numFmtId="164" fontId="0" fillId="0" borderId="0" xfId="2" applyNumberFormat="1" applyFont="1"/>
    <xf numFmtId="165" fontId="0" fillId="0" borderId="0" xfId="2" applyNumberFormat="1" applyFont="1"/>
    <xf numFmtId="0" fontId="0" fillId="0" borderId="0" xfId="0" applyFont="1"/>
    <xf numFmtId="10" fontId="0" fillId="0" borderId="0" xfId="1" applyNumberFormat="1" applyFont="1"/>
    <xf numFmtId="9" fontId="0" fillId="0" borderId="0" xfId="1" applyNumberFormat="1" applyFont="1"/>
    <xf numFmtId="166" fontId="0" fillId="0" borderId="0" xfId="2" applyNumberFormat="1" applyFont="1"/>
    <xf numFmtId="10" fontId="0" fillId="0" borderId="0" xfId="2" applyNumberFormat="1" applyFont="1"/>
    <xf numFmtId="164" fontId="0" fillId="0" borderId="0" xfId="1" applyNumberFormat="1" applyFont="1"/>
    <xf numFmtId="167" fontId="0" fillId="0" borderId="0" xfId="3" applyNumberFormat="1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/>
    </xf>
    <xf numFmtId="44" fontId="0" fillId="0" borderId="0" xfId="1" applyFont="1" applyAlignment="1">
      <alignment horizontal="center"/>
    </xf>
    <xf numFmtId="44" fontId="0" fillId="0" borderId="0" xfId="0" applyNumberFormat="1" applyAlignment="1">
      <alignment horizontal="center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7"/>
  <sheetViews>
    <sheetView workbookViewId="0">
      <selection activeCell="C6" sqref="C6"/>
    </sheetView>
  </sheetViews>
  <sheetFormatPr baseColWidth="10" defaultRowHeight="15" x14ac:dyDescent="0.25"/>
  <cols>
    <col min="1" max="1" width="71" customWidth="1"/>
    <col min="2" max="2" width="14.140625" bestFit="1" customWidth="1"/>
  </cols>
  <sheetData>
    <row r="2" spans="1:3" x14ac:dyDescent="0.25">
      <c r="A2" t="s">
        <v>4</v>
      </c>
      <c r="B2" s="2">
        <f>2566027+368629+103765</f>
        <v>3038421</v>
      </c>
    </row>
    <row r="3" spans="1:3" x14ac:dyDescent="0.25">
      <c r="A3" t="s">
        <v>5</v>
      </c>
      <c r="B3" s="2">
        <v>5039374</v>
      </c>
      <c r="C3" t="s">
        <v>185</v>
      </c>
    </row>
    <row r="4" spans="1:3" x14ac:dyDescent="0.25">
      <c r="A4" t="s">
        <v>67</v>
      </c>
      <c r="B4" s="2">
        <v>3558999</v>
      </c>
      <c r="C4" t="s">
        <v>185</v>
      </c>
    </row>
    <row r="5" spans="1:3" x14ac:dyDescent="0.25">
      <c r="A5" t="s">
        <v>184</v>
      </c>
      <c r="B5" s="2">
        <f>B3-B4</f>
        <v>1480375</v>
      </c>
    </row>
    <row r="6" spans="1:3" x14ac:dyDescent="0.25">
      <c r="A6" t="s">
        <v>68</v>
      </c>
      <c r="B6" s="2">
        <v>0</v>
      </c>
    </row>
    <row r="7" spans="1:3" x14ac:dyDescent="0.25">
      <c r="B7" s="2"/>
    </row>
    <row r="8" spans="1:3" x14ac:dyDescent="0.25">
      <c r="A8" t="s">
        <v>132</v>
      </c>
      <c r="B8" s="2">
        <v>0</v>
      </c>
    </row>
    <row r="9" spans="1:3" x14ac:dyDescent="0.25">
      <c r="A9" t="s">
        <v>23</v>
      </c>
      <c r="B9" s="2">
        <v>296170</v>
      </c>
    </row>
    <row r="10" spans="1:3" x14ac:dyDescent="0.25">
      <c r="A10" t="s">
        <v>24</v>
      </c>
      <c r="B10" s="2">
        <f>B9-B11</f>
        <v>227696</v>
      </c>
    </row>
    <row r="11" spans="1:3" x14ac:dyDescent="0.25">
      <c r="A11" t="s">
        <v>134</v>
      </c>
      <c r="B11" s="2">
        <v>68474</v>
      </c>
    </row>
    <row r="12" spans="1:3" x14ac:dyDescent="0.25">
      <c r="A12" t="s">
        <v>25</v>
      </c>
      <c r="B12">
        <v>2.5499999999999998</v>
      </c>
    </row>
    <row r="14" spans="1:3" x14ac:dyDescent="0.25">
      <c r="A14" t="s">
        <v>33</v>
      </c>
      <c r="B14" s="2">
        <v>2375003</v>
      </c>
    </row>
    <row r="15" spans="1:3" x14ac:dyDescent="0.25">
      <c r="A15" t="s">
        <v>140</v>
      </c>
      <c r="B15" s="2">
        <f>B29+B32</f>
        <v>2978472</v>
      </c>
      <c r="C15" t="s">
        <v>143</v>
      </c>
    </row>
    <row r="16" spans="1:3" x14ac:dyDescent="0.25">
      <c r="A16" t="s">
        <v>141</v>
      </c>
      <c r="B16" s="2">
        <f>B28+B33</f>
        <v>2188401</v>
      </c>
      <c r="C16" t="s">
        <v>143</v>
      </c>
    </row>
    <row r="17" spans="1:3" x14ac:dyDescent="0.25">
      <c r="A17" t="s">
        <v>142</v>
      </c>
      <c r="B17" s="2">
        <f t="shared" ref="B17" si="0">B30+B34</f>
        <v>888071</v>
      </c>
      <c r="C17" t="s">
        <v>143</v>
      </c>
    </row>
    <row r="18" spans="1:3" x14ac:dyDescent="0.25">
      <c r="B18" s="2"/>
    </row>
    <row r="19" spans="1:3" x14ac:dyDescent="0.25">
      <c r="A19" t="s">
        <v>39</v>
      </c>
      <c r="B19" s="2">
        <v>2047703</v>
      </c>
    </row>
    <row r="20" spans="1:3" x14ac:dyDescent="0.25">
      <c r="A20" t="s">
        <v>40</v>
      </c>
      <c r="B20" s="2">
        <f>B19-B21</f>
        <v>1073934</v>
      </c>
    </row>
    <row r="21" spans="1:3" x14ac:dyDescent="0.25">
      <c r="A21" t="s">
        <v>135</v>
      </c>
      <c r="B21" s="2">
        <v>973769</v>
      </c>
    </row>
    <row r="22" spans="1:3" x14ac:dyDescent="0.25">
      <c r="A22" t="s">
        <v>41</v>
      </c>
      <c r="B22" s="7">
        <v>7.51</v>
      </c>
    </row>
    <row r="24" spans="1:3" x14ac:dyDescent="0.25">
      <c r="A24" t="s">
        <v>46</v>
      </c>
      <c r="B24">
        <v>324</v>
      </c>
    </row>
    <row r="25" spans="1:3" x14ac:dyDescent="0.25">
      <c r="A25" t="s">
        <v>47</v>
      </c>
      <c r="B25" s="4">
        <v>0.47199999999999998</v>
      </c>
    </row>
    <row r="26" spans="1:3" x14ac:dyDescent="0.25">
      <c r="A26" t="s">
        <v>49</v>
      </c>
      <c r="B26" s="4">
        <v>0.90700000000000003</v>
      </c>
    </row>
    <row r="28" spans="1:3" x14ac:dyDescent="0.25">
      <c r="A28" t="s">
        <v>90</v>
      </c>
      <c r="B28" s="2">
        <f>162014+51500</f>
        <v>213514</v>
      </c>
      <c r="C28" t="s">
        <v>148</v>
      </c>
    </row>
    <row r="29" spans="1:3" x14ac:dyDescent="0.25">
      <c r="A29" t="s">
        <v>91</v>
      </c>
      <c r="B29" s="2">
        <f>B28-B30</f>
        <v>164514</v>
      </c>
      <c r="C29" t="s">
        <v>148</v>
      </c>
    </row>
    <row r="30" spans="1:3" x14ac:dyDescent="0.25">
      <c r="A30" t="s">
        <v>136</v>
      </c>
      <c r="B30" s="2">
        <v>49000</v>
      </c>
    </row>
    <row r="32" spans="1:3" x14ac:dyDescent="0.25">
      <c r="A32" t="s">
        <v>137</v>
      </c>
      <c r="B32" s="2">
        <v>2813958</v>
      </c>
    </row>
    <row r="33" spans="1:2" x14ac:dyDescent="0.25">
      <c r="A33" t="s">
        <v>138</v>
      </c>
      <c r="B33" s="2">
        <f>B32-B34</f>
        <v>1974887</v>
      </c>
    </row>
    <row r="34" spans="1:2" x14ac:dyDescent="0.25">
      <c r="A34" t="s">
        <v>139</v>
      </c>
      <c r="B34" s="2">
        <v>839071</v>
      </c>
    </row>
    <row r="36" spans="1:2" x14ac:dyDescent="0.25">
      <c r="A36" t="s">
        <v>174</v>
      </c>
      <c r="B36" s="2">
        <v>204458</v>
      </c>
    </row>
    <row r="37" spans="1:2" x14ac:dyDescent="0.25">
      <c r="A37" t="s">
        <v>175</v>
      </c>
      <c r="B37" s="2">
        <v>236121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8"/>
  <sheetViews>
    <sheetView workbookViewId="0">
      <selection activeCell="B29" sqref="B29"/>
    </sheetView>
  </sheetViews>
  <sheetFormatPr baseColWidth="10" defaultRowHeight="15" x14ac:dyDescent="0.25"/>
  <cols>
    <col min="1" max="1" width="42.7109375" customWidth="1"/>
    <col min="2" max="2" width="15.140625" bestFit="1" customWidth="1"/>
  </cols>
  <sheetData>
    <row r="2" spans="1:2" x14ac:dyDescent="0.25">
      <c r="A2" t="s">
        <v>17</v>
      </c>
      <c r="B2">
        <v>152</v>
      </c>
    </row>
    <row r="3" spans="1:2" x14ac:dyDescent="0.25">
      <c r="A3" t="s">
        <v>18</v>
      </c>
      <c r="B3" s="4">
        <v>0.91900000000000004</v>
      </c>
    </row>
    <row r="5" spans="1:2" x14ac:dyDescent="0.25">
      <c r="A5" t="s">
        <v>58</v>
      </c>
      <c r="B5" s="2">
        <f>807131-285000</f>
        <v>522131</v>
      </c>
    </row>
    <row r="7" spans="1:2" x14ac:dyDescent="0.25">
      <c r="A7" t="s">
        <v>62</v>
      </c>
      <c r="B7">
        <v>142</v>
      </c>
    </row>
    <row r="9" spans="1:2" x14ac:dyDescent="0.25">
      <c r="A9" t="s">
        <v>100</v>
      </c>
      <c r="B9" s="2">
        <v>340807</v>
      </c>
    </row>
    <row r="11" spans="1:2" x14ac:dyDescent="0.25">
      <c r="A11" t="s">
        <v>147</v>
      </c>
      <c r="B11" s="2">
        <v>41495021</v>
      </c>
    </row>
    <row r="12" spans="1:2" x14ac:dyDescent="0.25">
      <c r="A12" t="s">
        <v>103</v>
      </c>
      <c r="B12" s="2">
        <f>21624391.5-510243-527235</f>
        <v>20586913.5</v>
      </c>
    </row>
    <row r="14" spans="1:2" x14ac:dyDescent="0.25">
      <c r="A14" t="s">
        <v>107</v>
      </c>
      <c r="B14" s="2">
        <v>23018471</v>
      </c>
    </row>
    <row r="15" spans="1:2" x14ac:dyDescent="0.25">
      <c r="A15" t="s">
        <v>108</v>
      </c>
      <c r="B15" s="2">
        <v>7431902</v>
      </c>
    </row>
    <row r="16" spans="1:2" x14ac:dyDescent="0.25">
      <c r="A16" t="s">
        <v>109</v>
      </c>
      <c r="B16" s="2">
        <v>3468079</v>
      </c>
    </row>
    <row r="17" spans="1:3" x14ac:dyDescent="0.25">
      <c r="A17" t="s">
        <v>105</v>
      </c>
      <c r="B17" s="2">
        <v>57412902</v>
      </c>
    </row>
    <row r="18" spans="1:3" x14ac:dyDescent="0.25">
      <c r="A18" t="s">
        <v>106</v>
      </c>
      <c r="B18" s="2">
        <v>3425900</v>
      </c>
    </row>
    <row r="20" spans="1:3" x14ac:dyDescent="0.25">
      <c r="A20" t="s">
        <v>157</v>
      </c>
      <c r="B20">
        <v>62</v>
      </c>
      <c r="C20" t="s">
        <v>160</v>
      </c>
    </row>
    <row r="21" spans="1:3" x14ac:dyDescent="0.25">
      <c r="A21" t="s">
        <v>158</v>
      </c>
      <c r="B21" s="7">
        <v>89</v>
      </c>
    </row>
    <row r="24" spans="1:3" x14ac:dyDescent="0.25">
      <c r="A24" t="s">
        <v>156</v>
      </c>
      <c r="B24">
        <v>135</v>
      </c>
      <c r="C24" t="s">
        <v>161</v>
      </c>
    </row>
    <row r="25" spans="1:3" x14ac:dyDescent="0.25">
      <c r="A25" t="s">
        <v>159</v>
      </c>
      <c r="B25">
        <v>148</v>
      </c>
    </row>
    <row r="27" spans="1:3" x14ac:dyDescent="0.25">
      <c r="A27" t="s">
        <v>168</v>
      </c>
      <c r="B27">
        <v>10</v>
      </c>
    </row>
    <row r="28" spans="1:3" x14ac:dyDescent="0.25">
      <c r="A28" t="s">
        <v>169</v>
      </c>
      <c r="B28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6"/>
  <sheetViews>
    <sheetView tabSelected="1" workbookViewId="0">
      <selection activeCell="I28" sqref="I28"/>
    </sheetView>
  </sheetViews>
  <sheetFormatPr baseColWidth="10" defaultRowHeight="15" x14ac:dyDescent="0.25"/>
  <cols>
    <col min="1" max="1" width="39.28515625" customWidth="1"/>
    <col min="2" max="2" width="11.85546875" customWidth="1"/>
    <col min="3" max="3" width="17.85546875" customWidth="1"/>
    <col min="4" max="4" width="32.85546875" customWidth="1"/>
    <col min="5" max="5" width="13.28515625" customWidth="1"/>
    <col min="6" max="6" width="12.5703125" bestFit="1" customWidth="1"/>
    <col min="7" max="7" width="13.140625" customWidth="1"/>
    <col min="8" max="8" width="13" customWidth="1"/>
  </cols>
  <sheetData>
    <row r="1" spans="1:10" x14ac:dyDescent="0.25">
      <c r="B1" t="s">
        <v>119</v>
      </c>
      <c r="C1" t="s">
        <v>31</v>
      </c>
      <c r="E1" t="s">
        <v>15</v>
      </c>
      <c r="F1" t="s">
        <v>16</v>
      </c>
      <c r="G1" t="s">
        <v>96</v>
      </c>
      <c r="H1" t="s">
        <v>13</v>
      </c>
    </row>
    <row r="2" spans="1:10" x14ac:dyDescent="0.25">
      <c r="A2" s="11" t="s">
        <v>53</v>
      </c>
      <c r="B2" s="11" t="s">
        <v>118</v>
      </c>
      <c r="C2" t="s">
        <v>54</v>
      </c>
      <c r="D2" t="s">
        <v>55</v>
      </c>
      <c r="E2" s="3">
        <v>9000</v>
      </c>
      <c r="F2" s="3">
        <f>ENT!E24</f>
        <v>8776</v>
      </c>
      <c r="G2" s="3">
        <v>0</v>
      </c>
      <c r="H2" s="3">
        <f t="shared" ref="H2" si="0">SUM(E2:G2)</f>
        <v>17776</v>
      </c>
      <c r="J2" t="s">
        <v>10</v>
      </c>
    </row>
    <row r="3" spans="1:10" x14ac:dyDescent="0.25">
      <c r="A3" t="s">
        <v>56</v>
      </c>
      <c r="B3" s="11" t="s">
        <v>118</v>
      </c>
      <c r="C3" t="s">
        <v>129</v>
      </c>
      <c r="D3" t="s">
        <v>57</v>
      </c>
      <c r="E3" s="3">
        <v>3500</v>
      </c>
      <c r="F3" s="3">
        <f>'F&amp;I'!E32/2</f>
        <v>6396.1047500000004</v>
      </c>
      <c r="G3" s="3">
        <v>0</v>
      </c>
      <c r="H3" s="3">
        <f t="shared" ref="H3:H27" si="1">SUM(E3:G3)</f>
        <v>9896.1047500000004</v>
      </c>
    </row>
    <row r="4" spans="1:10" x14ac:dyDescent="0.25">
      <c r="A4" t="s">
        <v>85</v>
      </c>
      <c r="B4" s="11" t="s">
        <v>118</v>
      </c>
      <c r="C4" t="s">
        <v>61</v>
      </c>
      <c r="D4" t="s">
        <v>61</v>
      </c>
      <c r="E4" s="2">
        <v>7000</v>
      </c>
      <c r="F4" s="2">
        <f>'F&amp;I'!E32</f>
        <v>12792.209500000001</v>
      </c>
      <c r="G4" s="3">
        <v>0</v>
      </c>
      <c r="H4" s="3">
        <f t="shared" si="1"/>
        <v>19792.209500000001</v>
      </c>
    </row>
    <row r="5" spans="1:10" x14ac:dyDescent="0.25">
      <c r="A5" s="11" t="s">
        <v>149</v>
      </c>
      <c r="B5" s="11" t="s">
        <v>118</v>
      </c>
      <c r="C5" t="s">
        <v>154</v>
      </c>
      <c r="D5" t="s">
        <v>155</v>
      </c>
      <c r="E5" s="3">
        <v>6000</v>
      </c>
      <c r="F5" s="3">
        <f>'F&amp;I'!E32/2</f>
        <v>6396.1047500000004</v>
      </c>
      <c r="G5" s="3">
        <v>0</v>
      </c>
      <c r="H5" s="3">
        <f t="shared" si="1"/>
        <v>12396.10475</v>
      </c>
      <c r="I5" t="s">
        <v>186</v>
      </c>
    </row>
    <row r="6" spans="1:10" x14ac:dyDescent="0.25">
      <c r="A6" t="s">
        <v>64</v>
      </c>
      <c r="B6" s="11" t="s">
        <v>118</v>
      </c>
      <c r="C6" t="s">
        <v>65</v>
      </c>
      <c r="D6" t="s">
        <v>66</v>
      </c>
      <c r="E6" s="3">
        <v>8000</v>
      </c>
      <c r="F6" s="3">
        <f>FAC!E23</f>
        <v>4556</v>
      </c>
      <c r="G6" s="3">
        <v>0</v>
      </c>
      <c r="H6" s="3">
        <f t="shared" si="1"/>
        <v>12556</v>
      </c>
      <c r="I6" t="s">
        <v>187</v>
      </c>
    </row>
    <row r="7" spans="1:10" x14ac:dyDescent="0.25">
      <c r="A7" t="s">
        <v>111</v>
      </c>
      <c r="B7" s="11" t="s">
        <v>118</v>
      </c>
      <c r="C7" t="s">
        <v>97</v>
      </c>
      <c r="D7" t="s">
        <v>112</v>
      </c>
      <c r="E7" s="3">
        <v>40000</v>
      </c>
      <c r="F7" s="3">
        <f>GG!E74</f>
        <v>39820.612499999996</v>
      </c>
      <c r="G7" s="3">
        <v>5000</v>
      </c>
      <c r="H7" s="3">
        <f t="shared" si="1"/>
        <v>84820.612499999988</v>
      </c>
    </row>
    <row r="8" spans="1:10" x14ac:dyDescent="0.25">
      <c r="A8" t="s">
        <v>51</v>
      </c>
      <c r="B8" t="s">
        <v>118</v>
      </c>
      <c r="C8" t="s">
        <v>167</v>
      </c>
      <c r="D8" t="s">
        <v>172</v>
      </c>
      <c r="E8" s="3">
        <v>7000</v>
      </c>
      <c r="F8" s="3">
        <f>GV!D50</f>
        <v>16500</v>
      </c>
      <c r="G8" s="3">
        <v>-10000</v>
      </c>
      <c r="H8" s="3">
        <f t="shared" si="1"/>
        <v>13500</v>
      </c>
    </row>
    <row r="9" spans="1:10" x14ac:dyDescent="0.25">
      <c r="A9" s="11" t="s">
        <v>150</v>
      </c>
      <c r="B9" s="11" t="s">
        <v>118</v>
      </c>
      <c r="C9" t="s">
        <v>153</v>
      </c>
      <c r="D9" t="s">
        <v>151</v>
      </c>
      <c r="E9" s="2">
        <v>6000</v>
      </c>
      <c r="F9" s="3">
        <v>0</v>
      </c>
      <c r="G9" s="3">
        <v>0</v>
      </c>
      <c r="H9" s="3">
        <f t="shared" si="1"/>
        <v>6000</v>
      </c>
    </row>
    <row r="10" spans="1:10" x14ac:dyDescent="0.25">
      <c r="A10" t="s">
        <v>152</v>
      </c>
      <c r="B10" s="11" t="s">
        <v>118</v>
      </c>
      <c r="C10" t="s">
        <v>153</v>
      </c>
      <c r="D10" t="s">
        <v>151</v>
      </c>
      <c r="E10" s="2">
        <v>6000</v>
      </c>
      <c r="F10" s="2">
        <v>0</v>
      </c>
      <c r="G10" s="3">
        <v>0</v>
      </c>
      <c r="H10" s="3">
        <f t="shared" si="1"/>
        <v>6000</v>
      </c>
      <c r="I10" t="s">
        <v>188</v>
      </c>
    </row>
    <row r="11" spans="1:10" x14ac:dyDescent="0.25">
      <c r="A11" t="s">
        <v>14</v>
      </c>
      <c r="B11" t="s">
        <v>114</v>
      </c>
      <c r="C11" t="s">
        <v>144</v>
      </c>
      <c r="D11" t="s">
        <v>45</v>
      </c>
      <c r="E11" s="3">
        <v>7000</v>
      </c>
      <c r="F11" s="3">
        <f>CAR!E38</f>
        <v>10275.24165</v>
      </c>
      <c r="G11" s="3">
        <v>0</v>
      </c>
      <c r="H11" s="3">
        <f t="shared" si="1"/>
        <v>17275.24165</v>
      </c>
    </row>
    <row r="12" spans="1:10" x14ac:dyDescent="0.25">
      <c r="A12" t="s">
        <v>113</v>
      </c>
      <c r="B12" s="11" t="s">
        <v>114</v>
      </c>
      <c r="C12" t="s">
        <v>114</v>
      </c>
      <c r="D12" t="s">
        <v>115</v>
      </c>
      <c r="E12" s="3">
        <v>5000</v>
      </c>
      <c r="F12" s="3">
        <f>HYP!E25</f>
        <v>26389.139900000002</v>
      </c>
      <c r="G12" s="3">
        <v>0</v>
      </c>
      <c r="H12" s="3">
        <f t="shared" si="1"/>
        <v>31389.139900000002</v>
      </c>
    </row>
    <row r="13" spans="1:10" x14ac:dyDescent="0.25">
      <c r="A13" t="s">
        <v>120</v>
      </c>
      <c r="B13" t="s">
        <v>114</v>
      </c>
      <c r="C13" t="s">
        <v>124</v>
      </c>
      <c r="D13" t="s">
        <v>122</v>
      </c>
      <c r="E13" s="3">
        <v>7500</v>
      </c>
      <c r="F13" s="3">
        <f>VAL!E32</f>
        <v>2000</v>
      </c>
      <c r="G13" s="3">
        <v>0</v>
      </c>
      <c r="H13" s="3">
        <f t="shared" si="1"/>
        <v>9500</v>
      </c>
    </row>
    <row r="14" spans="1:10" x14ac:dyDescent="0.25">
      <c r="A14" t="s">
        <v>128</v>
      </c>
      <c r="B14" t="s">
        <v>114</v>
      </c>
      <c r="C14" t="s">
        <v>124</v>
      </c>
      <c r="D14" t="s">
        <v>122</v>
      </c>
      <c r="E14" s="3">
        <v>7500</v>
      </c>
      <c r="F14" s="3">
        <f>VAL!E32</f>
        <v>2000</v>
      </c>
      <c r="G14" s="3">
        <v>0</v>
      </c>
      <c r="H14" s="3">
        <f t="shared" si="1"/>
        <v>9500</v>
      </c>
    </row>
    <row r="15" spans="1:10" x14ac:dyDescent="0.25">
      <c r="A15" t="s">
        <v>83</v>
      </c>
      <c r="B15" t="s">
        <v>121</v>
      </c>
      <c r="C15" t="s">
        <v>38</v>
      </c>
      <c r="D15" t="s">
        <v>82</v>
      </c>
      <c r="E15" s="3">
        <v>5500</v>
      </c>
      <c r="F15" s="3">
        <f>AR!E19</f>
        <v>2750</v>
      </c>
      <c r="G15" s="3">
        <v>0</v>
      </c>
      <c r="H15" s="3">
        <f t="shared" si="1"/>
        <v>8250</v>
      </c>
      <c r="I15" t="s">
        <v>189</v>
      </c>
    </row>
    <row r="16" spans="1:10" x14ac:dyDescent="0.25">
      <c r="A16" t="s">
        <v>89</v>
      </c>
      <c r="B16" t="s">
        <v>121</v>
      </c>
      <c r="C16" t="s">
        <v>75</v>
      </c>
      <c r="D16" t="s">
        <v>123</v>
      </c>
      <c r="E16" s="3">
        <v>4000</v>
      </c>
      <c r="F16" s="3">
        <f>Bodega!E38</f>
        <v>3250</v>
      </c>
      <c r="G16" s="3">
        <v>0</v>
      </c>
      <c r="H16" s="3">
        <f t="shared" si="1"/>
        <v>7250</v>
      </c>
    </row>
    <row r="17" spans="1:9" x14ac:dyDescent="0.25">
      <c r="A17" t="s">
        <v>74</v>
      </c>
      <c r="B17" t="s">
        <v>121</v>
      </c>
      <c r="C17" t="s">
        <v>75</v>
      </c>
      <c r="D17" t="s">
        <v>76</v>
      </c>
      <c r="E17" s="2">
        <v>2950</v>
      </c>
      <c r="F17" s="2">
        <f>Bodega!E38</f>
        <v>3250</v>
      </c>
      <c r="G17" s="3">
        <v>0</v>
      </c>
      <c r="H17" s="3">
        <f t="shared" si="1"/>
        <v>6200</v>
      </c>
    </row>
    <row r="18" spans="1:9" x14ac:dyDescent="0.25">
      <c r="A18" t="s">
        <v>73</v>
      </c>
      <c r="B18" s="11" t="s">
        <v>121</v>
      </c>
      <c r="C18" t="s">
        <v>71</v>
      </c>
      <c r="D18" t="s">
        <v>72</v>
      </c>
      <c r="E18" s="2">
        <v>7000</v>
      </c>
      <c r="F18" s="2">
        <f>GR!E38</f>
        <v>15000</v>
      </c>
      <c r="G18" s="3">
        <v>0</v>
      </c>
      <c r="H18" s="3">
        <f t="shared" si="1"/>
        <v>22000</v>
      </c>
    </row>
    <row r="19" spans="1:9" x14ac:dyDescent="0.25">
      <c r="A19" t="s">
        <v>37</v>
      </c>
      <c r="B19" t="s">
        <v>117</v>
      </c>
      <c r="C19" t="s">
        <v>30</v>
      </c>
      <c r="D19" t="s">
        <v>32</v>
      </c>
      <c r="E19" s="3">
        <v>7500</v>
      </c>
      <c r="F19" s="3">
        <f>AG!E38</f>
        <v>2211.8500000000004</v>
      </c>
      <c r="G19" s="3">
        <v>0</v>
      </c>
      <c r="H19" s="3">
        <f t="shared" si="1"/>
        <v>9711.85</v>
      </c>
      <c r="I19" t="s">
        <v>190</v>
      </c>
    </row>
    <row r="20" spans="1:9" x14ac:dyDescent="0.25">
      <c r="A20" t="s">
        <v>130</v>
      </c>
      <c r="B20" s="11" t="s">
        <v>117</v>
      </c>
      <c r="C20" t="s">
        <v>146</v>
      </c>
      <c r="D20" t="s">
        <v>131</v>
      </c>
      <c r="E20" s="2">
        <v>9500</v>
      </c>
      <c r="F20" s="3">
        <f>AG!E38/3</f>
        <v>737.28333333333342</v>
      </c>
      <c r="G20" s="3">
        <v>0</v>
      </c>
      <c r="H20" s="3">
        <f t="shared" si="1"/>
        <v>10237.283333333333</v>
      </c>
    </row>
    <row r="21" spans="1:9" x14ac:dyDescent="0.25">
      <c r="A21" t="s">
        <v>181</v>
      </c>
      <c r="B21" s="11" t="s">
        <v>117</v>
      </c>
      <c r="C21" t="s">
        <v>182</v>
      </c>
      <c r="D21" t="s">
        <v>183</v>
      </c>
      <c r="E21" s="2">
        <v>9000</v>
      </c>
      <c r="F21" s="2">
        <f>Citas!E29</f>
        <v>4559.5549999999994</v>
      </c>
      <c r="G21" s="3">
        <v>0</v>
      </c>
      <c r="H21" s="3">
        <f t="shared" si="1"/>
        <v>13559.555</v>
      </c>
    </row>
    <row r="22" spans="1:9" x14ac:dyDescent="0.25">
      <c r="A22" t="s">
        <v>88</v>
      </c>
      <c r="B22" t="s">
        <v>117</v>
      </c>
      <c r="C22" t="s">
        <v>95</v>
      </c>
      <c r="D22" t="s">
        <v>87</v>
      </c>
      <c r="E22" s="3">
        <v>5700</v>
      </c>
      <c r="F22" s="3">
        <f>Control!E31</f>
        <v>2390.8056250000004</v>
      </c>
      <c r="G22" s="3">
        <v>0</v>
      </c>
      <c r="H22" s="3">
        <f t="shared" si="1"/>
        <v>8090.8056250000009</v>
      </c>
    </row>
    <row r="23" spans="1:9" x14ac:dyDescent="0.25">
      <c r="A23" t="s">
        <v>77</v>
      </c>
      <c r="B23" s="11" t="s">
        <v>117</v>
      </c>
      <c r="C23" t="s">
        <v>78</v>
      </c>
      <c r="D23" t="s">
        <v>79</v>
      </c>
      <c r="E23" s="3">
        <v>10000</v>
      </c>
      <c r="F23" s="3">
        <f>GS!E76</f>
        <v>42802.184050344469</v>
      </c>
      <c r="G23" s="3">
        <v>0</v>
      </c>
      <c r="H23" s="3">
        <f t="shared" si="1"/>
        <v>52802.184050344469</v>
      </c>
    </row>
    <row r="24" spans="1:9" x14ac:dyDescent="0.25">
      <c r="A24" t="s">
        <v>80</v>
      </c>
      <c r="B24" s="11" t="s">
        <v>117</v>
      </c>
      <c r="C24" t="s">
        <v>145</v>
      </c>
      <c r="D24" t="s">
        <v>81</v>
      </c>
      <c r="E24" s="3">
        <v>7000</v>
      </c>
      <c r="F24" s="3">
        <f>GS!E76/2.3</f>
        <v>18609.645239280206</v>
      </c>
      <c r="G24" s="3">
        <v>0</v>
      </c>
      <c r="H24" s="3">
        <f t="shared" si="1"/>
        <v>25609.645239280206</v>
      </c>
    </row>
    <row r="25" spans="1:9" x14ac:dyDescent="0.25">
      <c r="A25" t="s">
        <v>178</v>
      </c>
      <c r="B25" s="11" t="s">
        <v>117</v>
      </c>
      <c r="C25" t="s">
        <v>177</v>
      </c>
      <c r="D25" t="s">
        <v>179</v>
      </c>
      <c r="E25" s="2">
        <v>5000</v>
      </c>
      <c r="F25" s="3">
        <f>JR!E37</f>
        <v>14409.211400000002</v>
      </c>
      <c r="G25" s="3">
        <v>0</v>
      </c>
      <c r="H25" s="3">
        <f t="shared" si="1"/>
        <v>19409.2114</v>
      </c>
    </row>
    <row r="26" spans="1:9" x14ac:dyDescent="0.25">
      <c r="A26" t="s">
        <v>116</v>
      </c>
      <c r="B26" s="11" t="s">
        <v>117</v>
      </c>
      <c r="C26" t="s">
        <v>93</v>
      </c>
      <c r="D26" t="s">
        <v>84</v>
      </c>
      <c r="E26" s="3">
        <v>5500</v>
      </c>
      <c r="F26" s="3">
        <f>MR!E13</f>
        <v>0</v>
      </c>
      <c r="G26" s="3">
        <v>0</v>
      </c>
      <c r="H26" s="3">
        <f t="shared" si="1"/>
        <v>5500</v>
      </c>
    </row>
    <row r="27" spans="1:9" x14ac:dyDescent="0.25">
      <c r="A27" t="s">
        <v>86</v>
      </c>
      <c r="B27" s="11" t="s">
        <v>117</v>
      </c>
      <c r="C27" t="s">
        <v>94</v>
      </c>
      <c r="D27" t="s">
        <v>49</v>
      </c>
      <c r="E27" s="3">
        <v>5000</v>
      </c>
      <c r="F27" s="3">
        <f>SSI!E12</f>
        <v>3500</v>
      </c>
      <c r="G27" s="3">
        <v>0</v>
      </c>
      <c r="H27" s="3">
        <f t="shared" si="1"/>
        <v>8500</v>
      </c>
      <c r="I27" t="s">
        <v>191</v>
      </c>
    </row>
    <row r="28" spans="1:9" x14ac:dyDescent="0.25">
      <c r="E28" s="3">
        <f>SUM(E2:E27)</f>
        <v>203150</v>
      </c>
      <c r="F28" s="3">
        <f t="shared" ref="F28:H28" si="2">SUM(F2:F27)</f>
        <v>249371.94769795804</v>
      </c>
      <c r="G28" s="3">
        <f t="shared" si="2"/>
        <v>-5000</v>
      </c>
      <c r="H28" s="3">
        <f t="shared" si="2"/>
        <v>447521.94769795786</v>
      </c>
    </row>
    <row r="1048576" spans="8:8" x14ac:dyDescent="0.25">
      <c r="H1048576" s="3">
        <f t="shared" ref="H1048576" si="3">E1048576+F1048576</f>
        <v>0</v>
      </c>
    </row>
  </sheetData>
  <sortState ref="A3:H27">
    <sortCondition ref="B3:B27"/>
    <sortCondition ref="C3:C2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C19" sqref="C19:C25"/>
    </sheetView>
  </sheetViews>
  <sheetFormatPr baseColWidth="10" defaultRowHeight="15" x14ac:dyDescent="0.25"/>
  <cols>
    <col min="1" max="1" width="17.28515625" customWidth="1"/>
    <col min="2" max="2" width="14.28515625" customWidth="1"/>
    <col min="4" max="4" width="15" customWidth="1"/>
  </cols>
  <sheetData>
    <row r="1" spans="1:5" x14ac:dyDescent="0.25">
      <c r="A1" t="s">
        <v>173</v>
      </c>
      <c r="B1" s="3">
        <f>'Datos Base Servicio'!B36</f>
        <v>204458</v>
      </c>
    </row>
    <row r="3" spans="1:5" x14ac:dyDescent="0.25">
      <c r="A3" t="s">
        <v>19</v>
      </c>
      <c r="B3" t="s">
        <v>20</v>
      </c>
      <c r="C3" t="s">
        <v>1</v>
      </c>
      <c r="E3" t="s">
        <v>3</v>
      </c>
    </row>
    <row r="4" spans="1:5" x14ac:dyDescent="0.25">
      <c r="A4" s="2">
        <v>180000</v>
      </c>
      <c r="B4" s="2">
        <v>220000</v>
      </c>
      <c r="C4" s="10">
        <v>0.05</v>
      </c>
      <c r="D4" s="2">
        <f>IF(AND($B$1&gt;=A4,$B$1&lt;B4),$B$1,0)</f>
        <v>204458</v>
      </c>
      <c r="E4" s="2">
        <f>C4*D4</f>
        <v>10222.900000000001</v>
      </c>
    </row>
    <row r="5" spans="1:5" x14ac:dyDescent="0.25">
      <c r="A5" s="2">
        <f>B4</f>
        <v>220000</v>
      </c>
      <c r="B5" s="2">
        <f>A5+35000</f>
        <v>255000</v>
      </c>
      <c r="C5" s="10">
        <f>ROUND(((A5/A4-1)/4+1)*C4,3)</f>
        <v>5.2999999999999999E-2</v>
      </c>
      <c r="D5" s="2">
        <f t="shared" ref="D5:D9" si="0">IF(AND($B$1&gt;=A5,$B$1&lt;B5),$B$1,0)</f>
        <v>0</v>
      </c>
      <c r="E5" s="2">
        <f t="shared" ref="E5:E9" si="1">C5*D5</f>
        <v>0</v>
      </c>
    </row>
    <row r="6" spans="1:5" x14ac:dyDescent="0.25">
      <c r="A6" s="2">
        <f t="shared" ref="A6:A12" si="2">B5</f>
        <v>255000</v>
      </c>
      <c r="B6" s="2">
        <f t="shared" ref="B6:B11" si="3">A6+35000</f>
        <v>290000</v>
      </c>
      <c r="C6" s="10">
        <f t="shared" ref="C6:C11" si="4">ROUND(((A6/A5-1)/4+1)*C5,3)</f>
        <v>5.5E-2</v>
      </c>
      <c r="D6" s="2">
        <f t="shared" si="0"/>
        <v>0</v>
      </c>
      <c r="E6" s="2">
        <f t="shared" si="1"/>
        <v>0</v>
      </c>
    </row>
    <row r="7" spans="1:5" x14ac:dyDescent="0.25">
      <c r="A7" s="2">
        <f t="shared" si="2"/>
        <v>290000</v>
      </c>
      <c r="B7" s="2">
        <f t="shared" si="3"/>
        <v>325000</v>
      </c>
      <c r="C7" s="10">
        <f t="shared" si="4"/>
        <v>5.7000000000000002E-2</v>
      </c>
      <c r="D7" s="2">
        <f t="shared" si="0"/>
        <v>0</v>
      </c>
      <c r="E7" s="2">
        <f t="shared" si="1"/>
        <v>0</v>
      </c>
    </row>
    <row r="8" spans="1:5" x14ac:dyDescent="0.25">
      <c r="A8" s="2">
        <f t="shared" si="2"/>
        <v>325000</v>
      </c>
      <c r="B8" s="2">
        <f t="shared" si="3"/>
        <v>360000</v>
      </c>
      <c r="C8" s="10">
        <f t="shared" si="4"/>
        <v>5.8999999999999997E-2</v>
      </c>
      <c r="D8" s="2">
        <f t="shared" si="0"/>
        <v>0</v>
      </c>
      <c r="E8" s="2">
        <f t="shared" si="1"/>
        <v>0</v>
      </c>
    </row>
    <row r="9" spans="1:5" x14ac:dyDescent="0.25">
      <c r="A9" s="2">
        <f t="shared" si="2"/>
        <v>360000</v>
      </c>
      <c r="B9" s="2">
        <f t="shared" si="3"/>
        <v>395000</v>
      </c>
      <c r="C9" s="10">
        <f t="shared" si="4"/>
        <v>6.0999999999999999E-2</v>
      </c>
      <c r="D9" s="2">
        <f t="shared" si="0"/>
        <v>0</v>
      </c>
      <c r="E9" s="2">
        <f t="shared" si="1"/>
        <v>0</v>
      </c>
    </row>
    <row r="10" spans="1:5" x14ac:dyDescent="0.25">
      <c r="A10" s="2">
        <f t="shared" si="2"/>
        <v>395000</v>
      </c>
      <c r="B10" s="2">
        <f t="shared" si="3"/>
        <v>430000</v>
      </c>
      <c r="C10" s="10">
        <f t="shared" si="4"/>
        <v>6.2E-2</v>
      </c>
      <c r="D10" s="2">
        <f t="shared" ref="D10:D11" si="5">IF(AND($B$1&gt;=A10,$B$1&lt;B10),$B$1,0)</f>
        <v>0</v>
      </c>
      <c r="E10" s="2">
        <f t="shared" ref="E10:E11" si="6">C10*D10</f>
        <v>0</v>
      </c>
    </row>
    <row r="11" spans="1:5" x14ac:dyDescent="0.25">
      <c r="A11" s="2">
        <f t="shared" si="2"/>
        <v>430000</v>
      </c>
      <c r="B11" s="2">
        <f t="shared" si="3"/>
        <v>465000</v>
      </c>
      <c r="C11" s="10">
        <f t="shared" si="4"/>
        <v>6.3E-2</v>
      </c>
      <c r="D11" s="2">
        <f t="shared" si="5"/>
        <v>0</v>
      </c>
      <c r="E11" s="2">
        <f t="shared" si="6"/>
        <v>0</v>
      </c>
    </row>
    <row r="12" spans="1:5" x14ac:dyDescent="0.25">
      <c r="A12" s="2">
        <f t="shared" si="2"/>
        <v>465000</v>
      </c>
      <c r="B12" s="2">
        <v>999999</v>
      </c>
      <c r="C12" s="10">
        <f t="shared" ref="C12" si="7">ROUND(((A12/A11-1)/4+1)*C11,3)</f>
        <v>6.4000000000000001E-2</v>
      </c>
      <c r="D12" s="2">
        <f t="shared" ref="D12" si="8">IF(AND($B$1&gt;=A12,$B$1&lt;B12),$B$1,0)</f>
        <v>0</v>
      </c>
      <c r="E12" s="2">
        <f t="shared" ref="E12" si="9">C12*D12</f>
        <v>0</v>
      </c>
    </row>
    <row r="13" spans="1:5" x14ac:dyDescent="0.25">
      <c r="E13" s="3">
        <f>SUM(E4:E12)</f>
        <v>10222.900000000001</v>
      </c>
    </row>
    <row r="14" spans="1:5" x14ac:dyDescent="0.25">
      <c r="A14" t="s">
        <v>176</v>
      </c>
      <c r="B14" s="3">
        <f>'Datos Base Servicio'!B37</f>
        <v>236121</v>
      </c>
    </row>
    <row r="16" spans="1:5" x14ac:dyDescent="0.25">
      <c r="A16" t="s">
        <v>19</v>
      </c>
      <c r="B16" t="s">
        <v>20</v>
      </c>
      <c r="C16" t="s">
        <v>1</v>
      </c>
      <c r="E16" t="s">
        <v>3</v>
      </c>
    </row>
    <row r="17" spans="1:5" x14ac:dyDescent="0.25">
      <c r="A17" s="2">
        <v>180000</v>
      </c>
      <c r="B17" s="2">
        <v>230000</v>
      </c>
      <c r="C17" s="10">
        <f>C4/4</f>
        <v>1.2500000000000001E-2</v>
      </c>
      <c r="D17" s="2">
        <f>IF(AND($B$14&gt;=A17,$B$14&lt;B17),$B$14,0)</f>
        <v>0</v>
      </c>
      <c r="E17" s="2">
        <f>C17*D17</f>
        <v>0</v>
      </c>
    </row>
    <row r="18" spans="1:5" x14ac:dyDescent="0.25">
      <c r="A18" s="2">
        <f>B17</f>
        <v>230000</v>
      </c>
      <c r="B18" s="2">
        <f>A18+35000</f>
        <v>265000</v>
      </c>
      <c r="C18" s="10">
        <f>ROUND(((A18/A17-1)/4+1)*C17,4)</f>
        <v>1.34E-2</v>
      </c>
      <c r="D18" s="2">
        <f t="shared" ref="D18:D25" si="10">IF(AND($B$14&gt;=A18,$B$14&lt;B18),$B$14,0)</f>
        <v>236121</v>
      </c>
      <c r="E18" s="2">
        <f>C18*D18</f>
        <v>3164.0214000000001</v>
      </c>
    </row>
    <row r="19" spans="1:5" x14ac:dyDescent="0.25">
      <c r="A19" s="2">
        <f t="shared" ref="A19:A25" si="11">B18</f>
        <v>265000</v>
      </c>
      <c r="B19" s="2">
        <f t="shared" ref="B19:B24" si="12">A19+35000</f>
        <v>300000</v>
      </c>
      <c r="C19" s="10">
        <f t="shared" ref="C19:C25" si="13">ROUND(((A19/A18-1)/4+1)*C18,4)</f>
        <v>1.3899999999999999E-2</v>
      </c>
      <c r="D19" s="2">
        <f t="shared" si="10"/>
        <v>0</v>
      </c>
      <c r="E19" s="2">
        <f>C19*D19</f>
        <v>0</v>
      </c>
    </row>
    <row r="20" spans="1:5" x14ac:dyDescent="0.25">
      <c r="A20" s="2">
        <f t="shared" si="11"/>
        <v>300000</v>
      </c>
      <c r="B20" s="2">
        <f t="shared" si="12"/>
        <v>335000</v>
      </c>
      <c r="C20" s="10">
        <f t="shared" si="13"/>
        <v>1.44E-2</v>
      </c>
      <c r="D20" s="2">
        <f t="shared" si="10"/>
        <v>0</v>
      </c>
      <c r="E20" s="2">
        <f t="shared" ref="E20:E25" si="14">C20*D20</f>
        <v>0</v>
      </c>
    </row>
    <row r="21" spans="1:5" x14ac:dyDescent="0.25">
      <c r="A21" s="2">
        <f t="shared" si="11"/>
        <v>335000</v>
      </c>
      <c r="B21" s="2">
        <f t="shared" si="12"/>
        <v>370000</v>
      </c>
      <c r="C21" s="10">
        <f t="shared" si="13"/>
        <v>1.4800000000000001E-2</v>
      </c>
      <c r="D21" s="2">
        <f t="shared" si="10"/>
        <v>0</v>
      </c>
      <c r="E21" s="2">
        <f t="shared" si="14"/>
        <v>0</v>
      </c>
    </row>
    <row r="22" spans="1:5" x14ac:dyDescent="0.25">
      <c r="A22" s="2">
        <f t="shared" si="11"/>
        <v>370000</v>
      </c>
      <c r="B22" s="2">
        <f t="shared" si="12"/>
        <v>405000</v>
      </c>
      <c r="C22" s="10">
        <f t="shared" si="13"/>
        <v>1.52E-2</v>
      </c>
      <c r="D22" s="2">
        <f t="shared" si="10"/>
        <v>0</v>
      </c>
      <c r="E22" s="2">
        <f t="shared" si="14"/>
        <v>0</v>
      </c>
    </row>
    <row r="23" spans="1:5" x14ac:dyDescent="0.25">
      <c r="A23" s="2">
        <f t="shared" si="11"/>
        <v>405000</v>
      </c>
      <c r="B23" s="2">
        <f t="shared" si="12"/>
        <v>440000</v>
      </c>
      <c r="C23" s="10">
        <f t="shared" si="13"/>
        <v>1.5599999999999999E-2</v>
      </c>
      <c r="D23" s="2">
        <f t="shared" si="10"/>
        <v>0</v>
      </c>
      <c r="E23" s="2">
        <f t="shared" si="14"/>
        <v>0</v>
      </c>
    </row>
    <row r="24" spans="1:5" x14ac:dyDescent="0.25">
      <c r="A24" s="2">
        <f t="shared" si="11"/>
        <v>440000</v>
      </c>
      <c r="B24" s="2">
        <f t="shared" si="12"/>
        <v>475000</v>
      </c>
      <c r="C24" s="10">
        <f t="shared" si="13"/>
        <v>1.5900000000000001E-2</v>
      </c>
      <c r="D24" s="2">
        <f t="shared" si="10"/>
        <v>0</v>
      </c>
      <c r="E24" s="2">
        <f t="shared" si="14"/>
        <v>0</v>
      </c>
    </row>
    <row r="25" spans="1:5" x14ac:dyDescent="0.25">
      <c r="A25" s="2">
        <f t="shared" si="11"/>
        <v>475000</v>
      </c>
      <c r="B25" s="2">
        <v>999999</v>
      </c>
      <c r="C25" s="10">
        <f t="shared" si="13"/>
        <v>1.6199999999999999E-2</v>
      </c>
      <c r="D25" s="2">
        <f t="shared" si="10"/>
        <v>0</v>
      </c>
      <c r="E25" s="2">
        <f t="shared" si="14"/>
        <v>0</v>
      </c>
    </row>
    <row r="26" spans="1:5" x14ac:dyDescent="0.25">
      <c r="E26" s="3">
        <f>SUM(E17:E25)</f>
        <v>3164.0214000000001</v>
      </c>
    </row>
    <row r="28" spans="1:5" x14ac:dyDescent="0.25">
      <c r="A28" t="s">
        <v>49</v>
      </c>
      <c r="B28" s="4">
        <f>'Datos Base Servicio'!B26</f>
        <v>0.90700000000000003</v>
      </c>
    </row>
    <row r="30" spans="1:5" x14ac:dyDescent="0.25">
      <c r="A30" t="s">
        <v>19</v>
      </c>
      <c r="B30" t="s">
        <v>20</v>
      </c>
      <c r="C30" t="s">
        <v>1</v>
      </c>
      <c r="E30" t="s">
        <v>3</v>
      </c>
    </row>
    <row r="31" spans="1:5" x14ac:dyDescent="0.25">
      <c r="A31" s="8">
        <v>0.9</v>
      </c>
      <c r="B31" s="8">
        <v>0.93</v>
      </c>
      <c r="C31" s="9">
        <v>5.0000000000000001E-3</v>
      </c>
      <c r="D31" s="2">
        <f>IF(AND($B$28&gt;A31,$B$28&lt;=B31),$B$1,0)</f>
        <v>204458</v>
      </c>
      <c r="E31" s="2">
        <f>D31*C31</f>
        <v>1022.2900000000001</v>
      </c>
    </row>
    <row r="32" spans="1:5" x14ac:dyDescent="0.25">
      <c r="A32" s="8">
        <v>0.93</v>
      </c>
      <c r="B32" s="8">
        <v>0.96</v>
      </c>
      <c r="C32" s="9">
        <v>6.0000000000000001E-3</v>
      </c>
      <c r="D32" s="2">
        <f t="shared" ref="D32:D33" si="15">IF(AND($B$28&gt;A32,$B$28&lt;=B32),$B$1,0)</f>
        <v>0</v>
      </c>
      <c r="E32" s="2">
        <f t="shared" ref="E32:E33" si="16">D32*C32</f>
        <v>0</v>
      </c>
    </row>
    <row r="33" spans="1:5" x14ac:dyDescent="0.25">
      <c r="A33" s="8">
        <v>0.96</v>
      </c>
      <c r="B33" s="8">
        <v>1</v>
      </c>
      <c r="C33" s="9">
        <v>7.0000000000000001E-3</v>
      </c>
      <c r="D33" s="2">
        <f t="shared" si="15"/>
        <v>0</v>
      </c>
      <c r="E33" s="2">
        <f t="shared" si="16"/>
        <v>0</v>
      </c>
    </row>
    <row r="34" spans="1:5" x14ac:dyDescent="0.25">
      <c r="E34" s="3">
        <f>SUM(E31:E33)</f>
        <v>1022.2900000000001</v>
      </c>
    </row>
    <row r="37" spans="1:5" x14ac:dyDescent="0.25">
      <c r="E37" s="3">
        <f>E34+E26+E13</f>
        <v>14409.211400000002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4"/>
  <sheetViews>
    <sheetView workbookViewId="0">
      <selection activeCell="C62" sqref="C62"/>
    </sheetView>
  </sheetViews>
  <sheetFormatPr baseColWidth="10" defaultRowHeight="15" x14ac:dyDescent="0.25"/>
  <cols>
    <col min="1" max="1" width="19" customWidth="1"/>
    <col min="2" max="2" width="16.42578125" customWidth="1"/>
    <col min="3" max="3" width="16.28515625" customWidth="1"/>
    <col min="4" max="4" width="19.140625" customWidth="1"/>
    <col min="5" max="5" width="13.28515625" customWidth="1"/>
  </cols>
  <sheetData>
    <row r="2" spans="1:5" x14ac:dyDescent="0.25">
      <c r="A2" t="s">
        <v>98</v>
      </c>
    </row>
    <row r="3" spans="1:5" x14ac:dyDescent="0.25">
      <c r="A3" t="s">
        <v>35</v>
      </c>
      <c r="B3" s="3">
        <f>'Datos Base Servicio'!B14</f>
        <v>2375003</v>
      </c>
    </row>
    <row r="4" spans="1:5" x14ac:dyDescent="0.25">
      <c r="A4" t="s">
        <v>27</v>
      </c>
      <c r="B4" s="3">
        <f>'Datos Base Servicio'!B16</f>
        <v>2188401</v>
      </c>
      <c r="C4" s="1"/>
    </row>
    <row r="5" spans="1:5" x14ac:dyDescent="0.25">
      <c r="A5" t="s">
        <v>8</v>
      </c>
      <c r="B5">
        <f>B3/B4*30</f>
        <v>32.558059514686747</v>
      </c>
    </row>
    <row r="7" spans="1:5" x14ac:dyDescent="0.25">
      <c r="A7" t="s">
        <v>19</v>
      </c>
      <c r="B7" t="s">
        <v>20</v>
      </c>
      <c r="C7" t="s">
        <v>1</v>
      </c>
      <c r="D7" t="s">
        <v>2</v>
      </c>
      <c r="E7" t="s">
        <v>3</v>
      </c>
    </row>
    <row r="8" spans="1:5" x14ac:dyDescent="0.25">
      <c r="A8">
        <v>0</v>
      </c>
      <c r="B8">
        <v>25</v>
      </c>
      <c r="C8" s="2">
        <v>5000</v>
      </c>
      <c r="D8" s="2">
        <v>0</v>
      </c>
      <c r="E8" s="2">
        <f>IF(AND($B$5&gt;=A8,$B$5&lt;B8),C8,0)</f>
        <v>0</v>
      </c>
    </row>
    <row r="9" spans="1:5" x14ac:dyDescent="0.25">
      <c r="A9">
        <v>25</v>
      </c>
      <c r="B9">
        <v>30</v>
      </c>
      <c r="C9" s="2">
        <v>4750</v>
      </c>
      <c r="D9" s="2">
        <v>0</v>
      </c>
      <c r="E9" s="2">
        <f t="shared" ref="E9:E11" si="0">IF(AND($B$5&gt;=A9,$B$5&lt;B9),C9,0)</f>
        <v>0</v>
      </c>
    </row>
    <row r="10" spans="1:5" x14ac:dyDescent="0.25">
      <c r="A10">
        <v>30</v>
      </c>
      <c r="B10">
        <v>35</v>
      </c>
      <c r="C10" s="2">
        <v>4500</v>
      </c>
      <c r="D10" s="2">
        <v>0</v>
      </c>
      <c r="E10" s="2">
        <f t="shared" si="0"/>
        <v>4500</v>
      </c>
    </row>
    <row r="11" spans="1:5" x14ac:dyDescent="0.25">
      <c r="A11">
        <v>35</v>
      </c>
      <c r="B11">
        <v>45</v>
      </c>
      <c r="C11" s="2">
        <v>4000</v>
      </c>
      <c r="D11" s="2">
        <v>0</v>
      </c>
      <c r="E11" s="2">
        <f t="shared" si="0"/>
        <v>0</v>
      </c>
    </row>
    <row r="12" spans="1:5" x14ac:dyDescent="0.25">
      <c r="C12" s="1"/>
      <c r="E12" s="2">
        <f>SUM(E8:E11)</f>
        <v>4500</v>
      </c>
    </row>
    <row r="13" spans="1:5" x14ac:dyDescent="0.25">
      <c r="C13" s="1"/>
      <c r="E13" s="1"/>
    </row>
    <row r="14" spans="1:5" x14ac:dyDescent="0.25">
      <c r="A14" t="s">
        <v>162</v>
      </c>
      <c r="C14" s="1">
        <f>'Datos Base de Ventas'!B24</f>
        <v>135</v>
      </c>
      <c r="E14" s="1"/>
    </row>
    <row r="15" spans="1:5" x14ac:dyDescent="0.25">
      <c r="A15" t="s">
        <v>163</v>
      </c>
      <c r="C15" s="1">
        <f>'Datos Base de Ventas'!B25</f>
        <v>148</v>
      </c>
      <c r="E15" s="1"/>
    </row>
    <row r="16" spans="1:5" x14ac:dyDescent="0.25">
      <c r="A16" t="s">
        <v>164</v>
      </c>
      <c r="C16" s="8">
        <f>C15/C14</f>
        <v>1.0962962962962963</v>
      </c>
      <c r="E16" s="1"/>
    </row>
    <row r="17" spans="1:5" x14ac:dyDescent="0.25">
      <c r="C17" s="1"/>
      <c r="E17" s="1"/>
    </row>
    <row r="18" spans="1:5" x14ac:dyDescent="0.25">
      <c r="A18" t="s">
        <v>99</v>
      </c>
      <c r="C18" s="3">
        <f>'Datos Base de Ventas'!B9</f>
        <v>340807</v>
      </c>
    </row>
    <row r="21" spans="1:5" x14ac:dyDescent="0.25">
      <c r="A21" t="s">
        <v>19</v>
      </c>
      <c r="B21" t="s">
        <v>20</v>
      </c>
      <c r="C21" t="s">
        <v>1</v>
      </c>
      <c r="D21" t="s">
        <v>2</v>
      </c>
      <c r="E21" t="s">
        <v>3</v>
      </c>
    </row>
    <row r="22" spans="1:5" x14ac:dyDescent="0.25">
      <c r="A22" s="13">
        <v>0.95</v>
      </c>
      <c r="B22" s="13">
        <v>1</v>
      </c>
      <c r="C22" s="9">
        <v>0.03</v>
      </c>
      <c r="D22" s="2">
        <f>IF(AND($C$16&gt;=A22,$C$16&lt;B22),$C$18,0)</f>
        <v>0</v>
      </c>
      <c r="E22" s="2">
        <f>D22*C22</f>
        <v>0</v>
      </c>
    </row>
    <row r="23" spans="1:5" x14ac:dyDescent="0.25">
      <c r="A23" s="13">
        <f>B22</f>
        <v>1</v>
      </c>
      <c r="B23" s="8">
        <v>1.1000000000000001</v>
      </c>
      <c r="C23" s="9">
        <v>0.04</v>
      </c>
      <c r="D23" s="2">
        <f t="shared" ref="D23:D25" si="1">IF(AND($C$16&gt;=A23,$C$16&lt;B23),$C$18,0)</f>
        <v>340807</v>
      </c>
      <c r="E23" s="2">
        <f t="shared" ref="E23:E25" si="2">D23*C23</f>
        <v>13632.28</v>
      </c>
    </row>
    <row r="24" spans="1:5" x14ac:dyDescent="0.25">
      <c r="A24" s="13">
        <v>1.1000000000000001</v>
      </c>
      <c r="B24" s="8">
        <v>1.2</v>
      </c>
      <c r="C24" s="9">
        <v>4.4999999999999998E-2</v>
      </c>
      <c r="D24" s="2">
        <f t="shared" si="1"/>
        <v>0</v>
      </c>
      <c r="E24" s="2">
        <f t="shared" si="2"/>
        <v>0</v>
      </c>
    </row>
    <row r="25" spans="1:5" x14ac:dyDescent="0.25">
      <c r="A25" s="13">
        <v>1.2</v>
      </c>
      <c r="B25" s="8">
        <v>1.5</v>
      </c>
      <c r="C25" s="9">
        <v>0.05</v>
      </c>
      <c r="D25" s="2">
        <f t="shared" si="1"/>
        <v>0</v>
      </c>
      <c r="E25" s="2">
        <f t="shared" si="2"/>
        <v>0</v>
      </c>
    </row>
    <row r="26" spans="1:5" x14ac:dyDescent="0.25">
      <c r="E26" s="3">
        <f>SUM(E22:E25)</f>
        <v>13632.28</v>
      </c>
    </row>
    <row r="27" spans="1:5" x14ac:dyDescent="0.25">
      <c r="E27" s="3"/>
    </row>
    <row r="28" spans="1:5" x14ac:dyDescent="0.25">
      <c r="E28" s="3"/>
    </row>
    <row r="29" spans="1:5" x14ac:dyDescent="0.25">
      <c r="A29" t="s">
        <v>165</v>
      </c>
      <c r="C29" s="1">
        <f>'Datos Base de Ventas'!B20</f>
        <v>62</v>
      </c>
      <c r="E29" s="1"/>
    </row>
    <row r="30" spans="1:5" x14ac:dyDescent="0.25">
      <c r="A30" t="s">
        <v>166</v>
      </c>
      <c r="C30" s="1">
        <f>'Datos Base de Ventas'!B21</f>
        <v>89</v>
      </c>
      <c r="E30" s="1"/>
    </row>
    <row r="31" spans="1:5" x14ac:dyDescent="0.25">
      <c r="A31" t="s">
        <v>164</v>
      </c>
      <c r="C31" s="8">
        <f>C30/C29</f>
        <v>1.435483870967742</v>
      </c>
      <c r="E31" s="1"/>
    </row>
    <row r="32" spans="1:5" x14ac:dyDescent="0.25">
      <c r="C32" s="1"/>
      <c r="E32" s="1"/>
    </row>
    <row r="35" spans="1:5" x14ac:dyDescent="0.25">
      <c r="A35" t="s">
        <v>19</v>
      </c>
      <c r="B35" t="s">
        <v>20</v>
      </c>
      <c r="C35" t="s">
        <v>1</v>
      </c>
      <c r="D35" t="s">
        <v>2</v>
      </c>
      <c r="E35" t="s">
        <v>3</v>
      </c>
    </row>
    <row r="36" spans="1:5" x14ac:dyDescent="0.25">
      <c r="A36" s="13">
        <v>0.95</v>
      </c>
      <c r="B36" s="13">
        <v>1</v>
      </c>
      <c r="C36" s="9">
        <v>0.01</v>
      </c>
      <c r="D36" s="2">
        <f>IF(AND($C$31&gt;=A36,$C$31&lt;B36),$C$18,0)</f>
        <v>0</v>
      </c>
      <c r="E36" s="2">
        <f>D36*C36</f>
        <v>0</v>
      </c>
    </row>
    <row r="37" spans="1:5" x14ac:dyDescent="0.25">
      <c r="A37" s="13">
        <f>B36</f>
        <v>1</v>
      </c>
      <c r="B37" s="8">
        <v>1.1000000000000001</v>
      </c>
      <c r="C37" s="9">
        <v>1.2500000000000001E-2</v>
      </c>
      <c r="D37" s="2">
        <f t="shared" ref="D37:D39" si="3">IF(AND($C$31&gt;=A37,$C$31&lt;B37),$C$18,0)</f>
        <v>0</v>
      </c>
      <c r="E37" s="2">
        <f t="shared" ref="E37:E39" si="4">D37*C37</f>
        <v>0</v>
      </c>
    </row>
    <row r="38" spans="1:5" x14ac:dyDescent="0.25">
      <c r="A38" s="13">
        <v>1.1000000000000001</v>
      </c>
      <c r="B38" s="8">
        <v>1.2</v>
      </c>
      <c r="C38" s="9">
        <v>1.4999999999999999E-2</v>
      </c>
      <c r="D38" s="2">
        <f t="shared" si="3"/>
        <v>0</v>
      </c>
      <c r="E38" s="2">
        <f t="shared" si="4"/>
        <v>0</v>
      </c>
    </row>
    <row r="39" spans="1:5" x14ac:dyDescent="0.25">
      <c r="A39" s="13">
        <v>1.2</v>
      </c>
      <c r="B39" s="8">
        <v>1.5</v>
      </c>
      <c r="C39" s="9">
        <v>1.7500000000000002E-2</v>
      </c>
      <c r="D39" s="2">
        <f t="shared" si="3"/>
        <v>340807</v>
      </c>
      <c r="E39" s="2">
        <f t="shared" si="4"/>
        <v>5964.1225000000004</v>
      </c>
    </row>
    <row r="40" spans="1:5" x14ac:dyDescent="0.25">
      <c r="E40" s="3">
        <f>SUM(E36:E39)</f>
        <v>5964.1225000000004</v>
      </c>
    </row>
    <row r="41" spans="1:5" x14ac:dyDescent="0.25">
      <c r="E41" s="3"/>
    </row>
    <row r="42" spans="1:5" x14ac:dyDescent="0.25">
      <c r="A42" t="s">
        <v>101</v>
      </c>
    </row>
    <row r="43" spans="1:5" x14ac:dyDescent="0.25">
      <c r="A43" t="s">
        <v>9</v>
      </c>
      <c r="B43" s="3">
        <f>'Datos Base de Ventas'!B11</f>
        <v>41495021</v>
      </c>
      <c r="D43" s="1"/>
    </row>
    <row r="44" spans="1:5" x14ac:dyDescent="0.25">
      <c r="A44" t="s">
        <v>7</v>
      </c>
      <c r="B44" s="3">
        <f>'Datos Base de Ventas'!B12</f>
        <v>20586913.5</v>
      </c>
      <c r="D44" s="1"/>
    </row>
    <row r="45" spans="1:5" x14ac:dyDescent="0.25">
      <c r="A45" t="s">
        <v>102</v>
      </c>
      <c r="B45">
        <f>B44/B43*30</f>
        <v>14.88389185295267</v>
      </c>
    </row>
    <row r="48" spans="1:5" x14ac:dyDescent="0.25">
      <c r="A48" t="s">
        <v>19</v>
      </c>
      <c r="B48" t="s">
        <v>20</v>
      </c>
      <c r="C48" t="s">
        <v>1</v>
      </c>
      <c r="D48" t="s">
        <v>2</v>
      </c>
      <c r="E48" t="s">
        <v>3</v>
      </c>
    </row>
    <row r="49" spans="1:5" x14ac:dyDescent="0.25">
      <c r="A49">
        <v>0</v>
      </c>
      <c r="B49">
        <v>25</v>
      </c>
      <c r="C49" s="15">
        <v>0.03</v>
      </c>
      <c r="D49" s="2">
        <f>IF(AND($B$45&gt;=A49,$B$45&lt;B49),$C$18,0)</f>
        <v>340807</v>
      </c>
      <c r="E49" s="2">
        <f>D49*C49</f>
        <v>10224.209999999999</v>
      </c>
    </row>
    <row r="50" spans="1:5" x14ac:dyDescent="0.25">
      <c r="A50">
        <v>25</v>
      </c>
      <c r="B50">
        <v>30</v>
      </c>
      <c r="C50" s="12">
        <v>2.6499999999999999E-2</v>
      </c>
      <c r="D50" s="2">
        <v>0</v>
      </c>
      <c r="E50" s="2">
        <f>IF(AND($B$33&gt;=A50,$B$33&lt;B50),C50,0)</f>
        <v>0</v>
      </c>
    </row>
    <row r="51" spans="1:5" x14ac:dyDescent="0.25">
      <c r="C51" s="1"/>
      <c r="E51" s="2">
        <f>SUM(E49:E50)</f>
        <v>10224.209999999999</v>
      </c>
    </row>
    <row r="52" spans="1:5" x14ac:dyDescent="0.25">
      <c r="C52" s="1"/>
      <c r="E52" s="1"/>
    </row>
    <row r="53" spans="1:5" x14ac:dyDescent="0.25">
      <c r="C53" s="1"/>
      <c r="E53" s="1"/>
    </row>
    <row r="54" spans="1:5" x14ac:dyDescent="0.25">
      <c r="A54" t="s">
        <v>104</v>
      </c>
    </row>
    <row r="55" spans="1:5" x14ac:dyDescent="0.25">
      <c r="A55" t="s">
        <v>27</v>
      </c>
      <c r="B55" s="3">
        <f>SUM('Datos Base de Ventas'!B14:B16)</f>
        <v>33918452</v>
      </c>
      <c r="D55" s="1"/>
    </row>
    <row r="56" spans="1:5" x14ac:dyDescent="0.25">
      <c r="A56" t="s">
        <v>35</v>
      </c>
      <c r="B56" s="3">
        <f>SUM('Datos Base de Ventas'!B17:B18)</f>
        <v>60838802</v>
      </c>
      <c r="D56" s="1"/>
    </row>
    <row r="57" spans="1:5" x14ac:dyDescent="0.25">
      <c r="A57" t="s">
        <v>36</v>
      </c>
      <c r="B57">
        <f>B56/B55*30</f>
        <v>53.810358444424288</v>
      </c>
    </row>
    <row r="60" spans="1:5" x14ac:dyDescent="0.25">
      <c r="A60" t="s">
        <v>19</v>
      </c>
      <c r="B60" t="s">
        <v>20</v>
      </c>
      <c r="C60" t="s">
        <v>1</v>
      </c>
      <c r="D60" t="s">
        <v>2</v>
      </c>
      <c r="E60" t="s">
        <v>3</v>
      </c>
    </row>
    <row r="61" spans="1:5" x14ac:dyDescent="0.25">
      <c r="A61">
        <v>0</v>
      </c>
      <c r="B61">
        <v>25</v>
      </c>
      <c r="C61" s="15">
        <f>15000/750000</f>
        <v>0.02</v>
      </c>
      <c r="D61" s="2">
        <f>IF(AND($B$57&gt;=A61,$B$57&lt;B61),$C$18,0)</f>
        <v>0</v>
      </c>
      <c r="E61" s="2">
        <f t="shared" ref="E61:E62" si="5">D61*C61</f>
        <v>0</v>
      </c>
    </row>
    <row r="62" spans="1:5" x14ac:dyDescent="0.25">
      <c r="A62">
        <v>25</v>
      </c>
      <c r="B62">
        <v>45</v>
      </c>
      <c r="C62" s="15">
        <f>10000/750000</f>
        <v>1.3333333333333334E-2</v>
      </c>
      <c r="D62" s="2">
        <f>IF(AND($B$57&gt;=A62,$B$57&lt;B62),$C$18,0)</f>
        <v>0</v>
      </c>
      <c r="E62" s="2">
        <f t="shared" si="5"/>
        <v>0</v>
      </c>
    </row>
    <row r="63" spans="1:5" x14ac:dyDescent="0.25">
      <c r="E63" s="2">
        <f>SUM(E61:E62)</f>
        <v>0</v>
      </c>
    </row>
    <row r="65" spans="1:5" x14ac:dyDescent="0.25">
      <c r="A65" t="s">
        <v>110</v>
      </c>
      <c r="B65" s="4">
        <f>'Datos Base de Ventas'!B3</f>
        <v>0.91900000000000004</v>
      </c>
    </row>
    <row r="67" spans="1:5" x14ac:dyDescent="0.25">
      <c r="A67" t="s">
        <v>19</v>
      </c>
      <c r="B67" t="s">
        <v>20</v>
      </c>
      <c r="C67" t="s">
        <v>1</v>
      </c>
      <c r="E67" t="s">
        <v>3</v>
      </c>
    </row>
    <row r="68" spans="1:5" x14ac:dyDescent="0.25">
      <c r="A68" s="8">
        <v>0.8</v>
      </c>
      <c r="B68" s="8">
        <v>0.85</v>
      </c>
      <c r="C68" s="2">
        <v>4000</v>
      </c>
      <c r="D68" s="2"/>
      <c r="E68" s="2">
        <f>IF(AND($B$65&gt;A68,$B$65&lt;=B68),C68,0)</f>
        <v>0</v>
      </c>
    </row>
    <row r="69" spans="1:5" x14ac:dyDescent="0.25">
      <c r="A69" s="8">
        <v>0.85</v>
      </c>
      <c r="B69" s="8">
        <v>0.9</v>
      </c>
      <c r="C69" s="2">
        <v>4500</v>
      </c>
      <c r="D69" s="2"/>
      <c r="E69" s="2">
        <f t="shared" ref="E69:E70" si="6">IF(AND($B$65&gt;A69,$B$65&lt;=B69),C69,0)</f>
        <v>0</v>
      </c>
    </row>
    <row r="70" spans="1:5" x14ac:dyDescent="0.25">
      <c r="A70" s="8">
        <v>0.9</v>
      </c>
      <c r="B70" s="8">
        <v>1</v>
      </c>
      <c r="C70" s="2">
        <v>5500</v>
      </c>
      <c r="D70" s="2"/>
      <c r="E70" s="2">
        <f t="shared" si="6"/>
        <v>5500</v>
      </c>
    </row>
    <row r="71" spans="1:5" x14ac:dyDescent="0.25">
      <c r="E71" s="3">
        <f>SUM(E68:E70)</f>
        <v>5500</v>
      </c>
    </row>
    <row r="74" spans="1:5" x14ac:dyDescent="0.25">
      <c r="D74" t="s">
        <v>16</v>
      </c>
      <c r="E74" s="3">
        <f>E71+E63+E51+E26+E40+E12</f>
        <v>39820.612499999996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C57" sqref="C57"/>
    </sheetView>
  </sheetViews>
  <sheetFormatPr baseColWidth="10" defaultRowHeight="15" x14ac:dyDescent="0.25"/>
  <cols>
    <col min="1" max="1" width="19" customWidth="1"/>
    <col min="2" max="2" width="16.42578125" customWidth="1"/>
    <col min="3" max="3" width="16.28515625" customWidth="1"/>
    <col min="4" max="4" width="13.28515625" customWidth="1"/>
  </cols>
  <sheetData>
    <row r="1" spans="1:4" x14ac:dyDescent="0.25">
      <c r="C1" s="1"/>
      <c r="D1" s="1"/>
    </row>
    <row r="2" spans="1:4" x14ac:dyDescent="0.25">
      <c r="A2" t="s">
        <v>162</v>
      </c>
      <c r="C2" s="1">
        <f>'Datos Base de Ventas'!B24</f>
        <v>135</v>
      </c>
      <c r="D2" s="1"/>
    </row>
    <row r="3" spans="1:4" x14ac:dyDescent="0.25">
      <c r="A3" t="s">
        <v>163</v>
      </c>
      <c r="C3" s="1">
        <f>'Datos Base de Ventas'!B25</f>
        <v>148</v>
      </c>
      <c r="D3" s="1"/>
    </row>
    <row r="4" spans="1:4" x14ac:dyDescent="0.25">
      <c r="A4" t="s">
        <v>164</v>
      </c>
      <c r="C4" s="8">
        <f>C3/C2</f>
        <v>1.0962962962962963</v>
      </c>
      <c r="D4" s="1"/>
    </row>
    <row r="5" spans="1:4" x14ac:dyDescent="0.25">
      <c r="C5" s="1"/>
      <c r="D5" s="1"/>
    </row>
    <row r="8" spans="1:4" x14ac:dyDescent="0.25">
      <c r="A8" t="s">
        <v>19</v>
      </c>
      <c r="B8" t="s">
        <v>20</v>
      </c>
      <c r="C8" t="s">
        <v>1</v>
      </c>
      <c r="D8" t="s">
        <v>3</v>
      </c>
    </row>
    <row r="9" spans="1:4" x14ac:dyDescent="0.25">
      <c r="A9" s="13">
        <v>0.95</v>
      </c>
      <c r="B9" s="13">
        <v>1</v>
      </c>
      <c r="C9" s="2">
        <v>3000</v>
      </c>
      <c r="D9" s="2">
        <f>IF(AND($C$4&gt;A9,$C$4&lt;=B9),C9,0)</f>
        <v>0</v>
      </c>
    </row>
    <row r="10" spans="1:4" x14ac:dyDescent="0.25">
      <c r="A10" s="13">
        <f>B9</f>
        <v>1</v>
      </c>
      <c r="B10" s="8">
        <v>1.1000000000000001</v>
      </c>
      <c r="C10" s="2">
        <v>4000</v>
      </c>
      <c r="D10" s="2">
        <f t="shared" ref="D10:D12" si="0">IF(AND($C$4&gt;A10,$C$4&lt;=B10),C10,0)</f>
        <v>4000</v>
      </c>
    </row>
    <row r="11" spans="1:4" x14ac:dyDescent="0.25">
      <c r="A11" s="13">
        <v>1.1000000000000001</v>
      </c>
      <c r="B11" s="8">
        <v>1.2</v>
      </c>
      <c r="C11" s="2">
        <v>7000</v>
      </c>
      <c r="D11" s="2">
        <f t="shared" si="0"/>
        <v>0</v>
      </c>
    </row>
    <row r="12" spans="1:4" x14ac:dyDescent="0.25">
      <c r="A12" s="13">
        <v>1.2</v>
      </c>
      <c r="B12" s="8">
        <v>1.5</v>
      </c>
      <c r="C12" s="2">
        <v>10000</v>
      </c>
      <c r="D12" s="2">
        <f t="shared" si="0"/>
        <v>0</v>
      </c>
    </row>
    <row r="13" spans="1:4" x14ac:dyDescent="0.25">
      <c r="D13" s="3">
        <f>SUM(D9:D12)</f>
        <v>4000</v>
      </c>
    </row>
    <row r="14" spans="1:4" x14ac:dyDescent="0.25">
      <c r="D14" s="3"/>
    </row>
    <row r="15" spans="1:4" x14ac:dyDescent="0.25">
      <c r="D15" s="3"/>
    </row>
    <row r="16" spans="1:4" x14ac:dyDescent="0.25">
      <c r="A16" t="s">
        <v>165</v>
      </c>
      <c r="C16" s="1">
        <f>'Datos Base de Ventas'!B20</f>
        <v>62</v>
      </c>
      <c r="D16" s="1"/>
    </row>
    <row r="17" spans="1:4" x14ac:dyDescent="0.25">
      <c r="A17" t="s">
        <v>166</v>
      </c>
      <c r="C17" s="1">
        <f>'Datos Base de Ventas'!B21</f>
        <v>89</v>
      </c>
      <c r="D17" s="1"/>
    </row>
    <row r="18" spans="1:4" x14ac:dyDescent="0.25">
      <c r="A18" t="s">
        <v>164</v>
      </c>
      <c r="C18" s="8">
        <f>C17/C16</f>
        <v>1.435483870967742</v>
      </c>
      <c r="D18" s="1"/>
    </row>
    <row r="19" spans="1:4" x14ac:dyDescent="0.25">
      <c r="C19" s="1"/>
      <c r="D19" s="1"/>
    </row>
    <row r="22" spans="1:4" x14ac:dyDescent="0.25">
      <c r="A22" t="s">
        <v>19</v>
      </c>
      <c r="B22" t="s">
        <v>20</v>
      </c>
      <c r="C22" t="s">
        <v>1</v>
      </c>
      <c r="D22" t="s">
        <v>3</v>
      </c>
    </row>
    <row r="23" spans="1:4" x14ac:dyDescent="0.25">
      <c r="A23" s="13">
        <v>0.95</v>
      </c>
      <c r="B23" s="13">
        <v>1</v>
      </c>
      <c r="C23" s="2">
        <v>2000</v>
      </c>
      <c r="D23" s="2">
        <f>IF(AND($C$18&gt;A23,$C$18&lt;=B23),C23,0)</f>
        <v>0</v>
      </c>
    </row>
    <row r="24" spans="1:4" x14ac:dyDescent="0.25">
      <c r="A24" s="13">
        <f>B23</f>
        <v>1</v>
      </c>
      <c r="B24" s="8">
        <v>1.1000000000000001</v>
      </c>
      <c r="C24" s="2">
        <v>3000</v>
      </c>
      <c r="D24" s="2">
        <f t="shared" ref="D24:D26" si="1">IF(AND($C$18&gt;A24,$C$18&lt;=B24),C24,0)</f>
        <v>0</v>
      </c>
    </row>
    <row r="25" spans="1:4" x14ac:dyDescent="0.25">
      <c r="A25" s="13">
        <v>1.1000000000000001</v>
      </c>
      <c r="B25" s="8">
        <v>1.2</v>
      </c>
      <c r="C25" s="2">
        <v>5000</v>
      </c>
      <c r="D25" s="2">
        <f t="shared" si="1"/>
        <v>0</v>
      </c>
    </row>
    <row r="26" spans="1:4" x14ac:dyDescent="0.25">
      <c r="A26" s="13">
        <v>1.2</v>
      </c>
      <c r="B26" s="8">
        <v>1.5</v>
      </c>
      <c r="C26" s="2">
        <v>7000</v>
      </c>
      <c r="D26" s="2">
        <f t="shared" si="1"/>
        <v>7000</v>
      </c>
    </row>
    <row r="27" spans="1:4" x14ac:dyDescent="0.25">
      <c r="D27" s="3">
        <f>SUM(D23:D26)</f>
        <v>7000</v>
      </c>
    </row>
    <row r="28" spans="1:4" x14ac:dyDescent="0.25">
      <c r="D28" s="3"/>
    </row>
    <row r="30" spans="1:4" x14ac:dyDescent="0.25">
      <c r="A30" t="s">
        <v>110</v>
      </c>
      <c r="B30" s="4">
        <f>'Datos Base de Ventas'!B3</f>
        <v>0.91900000000000004</v>
      </c>
    </row>
    <row r="32" spans="1:4" x14ac:dyDescent="0.25">
      <c r="A32" t="s">
        <v>19</v>
      </c>
      <c r="B32" t="s">
        <v>20</v>
      </c>
      <c r="C32" t="s">
        <v>1</v>
      </c>
      <c r="D32" t="s">
        <v>3</v>
      </c>
    </row>
    <row r="33" spans="1:4" x14ac:dyDescent="0.25">
      <c r="A33" s="8">
        <v>0.8</v>
      </c>
      <c r="B33" s="8">
        <v>0.85</v>
      </c>
      <c r="C33" s="2">
        <v>4000</v>
      </c>
      <c r="D33" s="2">
        <f>IF(AND($B$30&gt;A33,$B$30&lt;=B33),C33,0)</f>
        <v>0</v>
      </c>
    </row>
    <row r="34" spans="1:4" x14ac:dyDescent="0.25">
      <c r="A34" s="8">
        <v>0.85</v>
      </c>
      <c r="B34" s="8">
        <v>0.9</v>
      </c>
      <c r="C34" s="2">
        <v>4500</v>
      </c>
      <c r="D34" s="2">
        <f t="shared" ref="D34:D35" si="2">IF(AND($B$30&gt;A34,$B$30&lt;=B34),C34,0)</f>
        <v>0</v>
      </c>
    </row>
    <row r="35" spans="1:4" x14ac:dyDescent="0.25">
      <c r="A35" s="8">
        <v>0.9</v>
      </c>
      <c r="B35" s="8">
        <v>1</v>
      </c>
      <c r="C35" s="2">
        <v>5500</v>
      </c>
      <c r="D35" s="2">
        <f t="shared" si="2"/>
        <v>5500</v>
      </c>
    </row>
    <row r="36" spans="1:4" x14ac:dyDescent="0.25">
      <c r="D36" s="3">
        <f>SUM(D33:D35)</f>
        <v>5500</v>
      </c>
    </row>
    <row r="37" spans="1:4" x14ac:dyDescent="0.25">
      <c r="D37" s="3"/>
    </row>
    <row r="38" spans="1:4" x14ac:dyDescent="0.25">
      <c r="A38" t="s">
        <v>168</v>
      </c>
      <c r="D38" s="17">
        <f>'Datos Base de Ventas'!B27</f>
        <v>10</v>
      </c>
    </row>
    <row r="39" spans="1:4" x14ac:dyDescent="0.25">
      <c r="A39" t="s">
        <v>170</v>
      </c>
      <c r="D39" s="17">
        <f>'Datos Base de Ventas'!B28</f>
        <v>36</v>
      </c>
    </row>
    <row r="40" spans="1:4" x14ac:dyDescent="0.25">
      <c r="A40" t="s">
        <v>171</v>
      </c>
      <c r="D40" s="8">
        <f>D39/D38</f>
        <v>3.6</v>
      </c>
    </row>
    <row r="42" spans="1:4" x14ac:dyDescent="0.25">
      <c r="A42" t="s">
        <v>19</v>
      </c>
      <c r="B42" t="s">
        <v>20</v>
      </c>
      <c r="C42" t="s">
        <v>1</v>
      </c>
      <c r="D42" t="s">
        <v>3</v>
      </c>
    </row>
    <row r="43" spans="1:4" x14ac:dyDescent="0.25">
      <c r="A43" s="13">
        <v>0.85</v>
      </c>
      <c r="B43" s="13">
        <v>0.8</v>
      </c>
      <c r="C43" s="2">
        <v>10000</v>
      </c>
      <c r="D43" s="2">
        <f t="shared" ref="D43:D45" si="3">IF(AND($D$40&lt;=A43,$D$40&gt;=B43),C43,0)</f>
        <v>0</v>
      </c>
    </row>
    <row r="44" spans="1:4" x14ac:dyDescent="0.25">
      <c r="A44" s="13">
        <v>0.9</v>
      </c>
      <c r="B44" s="8">
        <v>0.85</v>
      </c>
      <c r="C44" s="2">
        <v>8000</v>
      </c>
      <c r="D44" s="2">
        <f t="shared" si="3"/>
        <v>0</v>
      </c>
    </row>
    <row r="45" spans="1:4" x14ac:dyDescent="0.25">
      <c r="A45" s="13">
        <v>0.95</v>
      </c>
      <c r="B45" s="8">
        <v>0.9</v>
      </c>
      <c r="C45" s="2">
        <v>6000</v>
      </c>
      <c r="D45" s="2">
        <f t="shared" si="3"/>
        <v>0</v>
      </c>
    </row>
    <row r="46" spans="1:4" x14ac:dyDescent="0.25">
      <c r="A46" s="13">
        <v>1</v>
      </c>
      <c r="B46" s="8">
        <v>0.95</v>
      </c>
      <c r="C46" s="2">
        <v>4000</v>
      </c>
      <c r="D46" s="2">
        <f>IF(AND($D$40&lt;=A46,$D$40&gt;=B46),C46,0)</f>
        <v>0</v>
      </c>
    </row>
    <row r="47" spans="1:4" x14ac:dyDescent="0.25">
      <c r="A47" s="13"/>
      <c r="B47" s="8"/>
      <c r="C47" s="2"/>
      <c r="D47" s="2">
        <f>SUM(D43:D46)</f>
        <v>0</v>
      </c>
    </row>
    <row r="48" spans="1:4" x14ac:dyDescent="0.25">
      <c r="A48" s="13"/>
      <c r="B48" s="8"/>
      <c r="C48" s="2"/>
      <c r="D48" s="2"/>
    </row>
    <row r="49" spans="1:4" x14ac:dyDescent="0.25">
      <c r="A49" s="13"/>
      <c r="B49" s="8"/>
      <c r="C49" s="2"/>
      <c r="D49" s="2"/>
    </row>
    <row r="50" spans="1:4" x14ac:dyDescent="0.25">
      <c r="C50" t="s">
        <v>16</v>
      </c>
      <c r="D50" s="3">
        <f>D36+D27+D13+D47</f>
        <v>16500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workbookViewId="0">
      <selection activeCell="F26" sqref="F25:F27"/>
    </sheetView>
  </sheetViews>
  <sheetFormatPr baseColWidth="10" defaultRowHeight="15" x14ac:dyDescent="0.25"/>
  <cols>
    <col min="1" max="1" width="16.85546875" customWidth="1"/>
    <col min="2" max="2" width="15.7109375" customWidth="1"/>
    <col min="3" max="3" width="16.7109375" customWidth="1"/>
    <col min="4" max="4" width="14.7109375" customWidth="1"/>
    <col min="6" max="6" width="11.85546875" bestFit="1" customWidth="1"/>
  </cols>
  <sheetData>
    <row r="2" spans="1:6" x14ac:dyDescent="0.25">
      <c r="A2" t="s">
        <v>70</v>
      </c>
    </row>
    <row r="3" spans="1:6" x14ac:dyDescent="0.25">
      <c r="A3" t="s">
        <v>9</v>
      </c>
      <c r="B3" s="3">
        <f>'Datos Base Servicio'!B3</f>
        <v>5039374</v>
      </c>
      <c r="C3" s="1"/>
    </row>
    <row r="4" spans="1:6" x14ac:dyDescent="0.25">
      <c r="A4" t="s">
        <v>27</v>
      </c>
      <c r="B4" s="3">
        <f>'Datos Base Servicio'!B4</f>
        <v>3558999</v>
      </c>
      <c r="C4" s="1"/>
    </row>
    <row r="5" spans="1:6" x14ac:dyDescent="0.25">
      <c r="A5" t="s">
        <v>69</v>
      </c>
      <c r="B5" s="3">
        <f>'Datos Base Servicio'!B6</f>
        <v>0</v>
      </c>
    </row>
    <row r="6" spans="1:6" x14ac:dyDescent="0.25">
      <c r="B6" s="3">
        <f>B3-B4-B5</f>
        <v>1480375</v>
      </c>
    </row>
    <row r="8" spans="1:6" x14ac:dyDescent="0.25">
      <c r="A8" t="s">
        <v>19</v>
      </c>
      <c r="B8" t="s">
        <v>20</v>
      </c>
      <c r="C8" t="s">
        <v>1</v>
      </c>
      <c r="E8" t="s">
        <v>3</v>
      </c>
    </row>
    <row r="9" spans="1:6" x14ac:dyDescent="0.25">
      <c r="A9" s="2">
        <v>850000</v>
      </c>
      <c r="B9" s="2">
        <f>A10</f>
        <v>950000</v>
      </c>
      <c r="C9" s="10">
        <v>8.8000000000000003E-4</v>
      </c>
      <c r="D9" s="3">
        <f>IF(AND($B$6&gt;=A9,$B$6&lt;B9),$B$6,0)</f>
        <v>0</v>
      </c>
      <c r="E9" s="2">
        <f>C9*D9</f>
        <v>0</v>
      </c>
      <c r="F9" s="14"/>
    </row>
    <row r="10" spans="1:6" x14ac:dyDescent="0.25">
      <c r="A10" s="2">
        <f>A9+100000</f>
        <v>950000</v>
      </c>
      <c r="B10" s="2">
        <f t="shared" ref="B10:B17" si="0">A11</f>
        <v>1050000</v>
      </c>
      <c r="C10" s="10">
        <v>8.8999999999999995E-4</v>
      </c>
      <c r="D10" s="3">
        <f t="shared" ref="D10:D18" si="1">IF(AND($B$6&gt;=A10,$B$6&lt;B10),$B$6,0)</f>
        <v>0</v>
      </c>
      <c r="E10" s="2">
        <f t="shared" ref="E10:E18" si="2">C10*D10</f>
        <v>0</v>
      </c>
      <c r="F10" s="14"/>
    </row>
    <row r="11" spans="1:6" x14ac:dyDescent="0.25">
      <c r="A11" s="2">
        <f t="shared" ref="A11:A14" si="3">A10+100000</f>
        <v>1050000</v>
      </c>
      <c r="B11" s="2">
        <f t="shared" si="0"/>
        <v>1150000</v>
      </c>
      <c r="C11" s="10">
        <v>1E-3</v>
      </c>
      <c r="D11" s="3">
        <f t="shared" si="1"/>
        <v>0</v>
      </c>
      <c r="E11" s="2">
        <f t="shared" si="2"/>
        <v>0</v>
      </c>
      <c r="F11" s="14"/>
    </row>
    <row r="12" spans="1:6" x14ac:dyDescent="0.25">
      <c r="A12" s="2">
        <f t="shared" si="3"/>
        <v>1150000</v>
      </c>
      <c r="B12" s="2">
        <f t="shared" si="0"/>
        <v>1250000</v>
      </c>
      <c r="C12" s="10">
        <v>1.1299999999999999E-3</v>
      </c>
      <c r="D12" s="3">
        <f t="shared" si="1"/>
        <v>0</v>
      </c>
      <c r="E12" s="2">
        <f t="shared" si="2"/>
        <v>0</v>
      </c>
      <c r="F12" s="14"/>
    </row>
    <row r="13" spans="1:6" x14ac:dyDescent="0.25">
      <c r="A13" s="2">
        <f t="shared" si="3"/>
        <v>1250000</v>
      </c>
      <c r="B13" s="2">
        <f t="shared" si="0"/>
        <v>1350000</v>
      </c>
      <c r="C13" s="10">
        <v>1.16E-3</v>
      </c>
      <c r="D13" s="3">
        <f t="shared" si="1"/>
        <v>0</v>
      </c>
      <c r="E13" s="2">
        <f t="shared" si="2"/>
        <v>0</v>
      </c>
      <c r="F13" s="14"/>
    </row>
    <row r="14" spans="1:6" x14ac:dyDescent="0.25">
      <c r="A14" s="2">
        <f t="shared" si="3"/>
        <v>1350000</v>
      </c>
      <c r="B14" s="2">
        <f t="shared" si="0"/>
        <v>1500000</v>
      </c>
      <c r="C14" s="10">
        <v>1.1900000000000001E-3</v>
      </c>
      <c r="D14" s="3">
        <f t="shared" si="1"/>
        <v>1480375</v>
      </c>
      <c r="E14" s="2">
        <f t="shared" si="2"/>
        <v>1761.6462500000002</v>
      </c>
      <c r="F14" s="14"/>
    </row>
    <row r="15" spans="1:6" x14ac:dyDescent="0.25">
      <c r="A15" s="2">
        <f>A14+150000</f>
        <v>1500000</v>
      </c>
      <c r="B15" s="2">
        <f t="shared" si="0"/>
        <v>1650000</v>
      </c>
      <c r="C15" s="10">
        <v>1.2099999999999999E-3</v>
      </c>
      <c r="D15" s="3">
        <f t="shared" si="1"/>
        <v>0</v>
      </c>
      <c r="E15" s="2">
        <f t="shared" si="2"/>
        <v>0</v>
      </c>
      <c r="F15" s="14"/>
    </row>
    <row r="16" spans="1:6" x14ac:dyDescent="0.25">
      <c r="A16" s="2">
        <f t="shared" ref="A16:A18" si="4">A15+150000</f>
        <v>1650000</v>
      </c>
      <c r="B16" s="2">
        <f t="shared" si="0"/>
        <v>1800000</v>
      </c>
      <c r="C16" s="10">
        <v>1.23E-3</v>
      </c>
      <c r="D16" s="3">
        <f t="shared" si="1"/>
        <v>0</v>
      </c>
      <c r="E16" s="2">
        <f t="shared" si="2"/>
        <v>0</v>
      </c>
      <c r="F16" s="14"/>
    </row>
    <row r="17" spans="1:6" x14ac:dyDescent="0.25">
      <c r="A17" s="2">
        <f t="shared" si="4"/>
        <v>1800000</v>
      </c>
      <c r="B17" s="2">
        <f t="shared" si="0"/>
        <v>1950000</v>
      </c>
      <c r="C17" s="10">
        <v>1.24E-3</v>
      </c>
      <c r="D17" s="3">
        <f t="shared" si="1"/>
        <v>0</v>
      </c>
      <c r="E17" s="2">
        <f t="shared" si="2"/>
        <v>0</v>
      </c>
      <c r="F17" s="14"/>
    </row>
    <row r="18" spans="1:6" x14ac:dyDescent="0.25">
      <c r="A18" s="2">
        <f t="shared" si="4"/>
        <v>1950000</v>
      </c>
      <c r="B18" s="2">
        <v>10000000</v>
      </c>
      <c r="C18" s="10">
        <v>1.2600000000000001E-3</v>
      </c>
      <c r="D18" s="3">
        <f t="shared" si="1"/>
        <v>0</v>
      </c>
      <c r="E18" s="2">
        <f t="shared" si="2"/>
        <v>0</v>
      </c>
      <c r="F18" s="14"/>
    </row>
    <row r="19" spans="1:6" x14ac:dyDescent="0.25">
      <c r="E19" s="3">
        <f>SUM(E9:E18)</f>
        <v>1761.6462500000002</v>
      </c>
    </row>
    <row r="20" spans="1:6" x14ac:dyDescent="0.25">
      <c r="E20" s="3"/>
    </row>
    <row r="22" spans="1:6" x14ac:dyDescent="0.25">
      <c r="A22" t="s">
        <v>49</v>
      </c>
      <c r="B22" s="4">
        <f>'Datos Base Servicio'!B26</f>
        <v>0.90700000000000003</v>
      </c>
    </row>
    <row r="24" spans="1:6" x14ac:dyDescent="0.25">
      <c r="A24" t="s">
        <v>19</v>
      </c>
      <c r="B24" t="s">
        <v>20</v>
      </c>
      <c r="C24" t="s">
        <v>1</v>
      </c>
      <c r="E24" t="s">
        <v>3</v>
      </c>
    </row>
    <row r="25" spans="1:6" x14ac:dyDescent="0.25">
      <c r="A25" s="8">
        <v>0.8</v>
      </c>
      <c r="B25" s="8">
        <v>0.85</v>
      </c>
      <c r="C25" s="9">
        <v>1.93E-4</v>
      </c>
      <c r="D25" s="2">
        <f>IF(AND($B$22&gt;A25,$B$22&lt;=B25),$B$6,0)</f>
        <v>0</v>
      </c>
      <c r="E25" s="2">
        <f>D25*C25</f>
        <v>0</v>
      </c>
      <c r="F25" s="10"/>
    </row>
    <row r="26" spans="1:6" x14ac:dyDescent="0.25">
      <c r="A26" s="8">
        <v>0.85</v>
      </c>
      <c r="B26" s="8">
        <v>0.9</v>
      </c>
      <c r="C26" s="9">
        <v>3.4699999999999998E-4</v>
      </c>
      <c r="D26" s="2">
        <f>IF(AND($B$22&gt;A26,$B$22&lt;=B26),$B$6,0)</f>
        <v>0</v>
      </c>
      <c r="E26" s="2">
        <f t="shared" ref="E26:E27" si="5">D26*C26</f>
        <v>0</v>
      </c>
      <c r="F26" s="10"/>
    </row>
    <row r="27" spans="1:6" x14ac:dyDescent="0.25">
      <c r="A27" s="8">
        <v>0.9</v>
      </c>
      <c r="B27" s="8">
        <v>1</v>
      </c>
      <c r="C27" s="9">
        <v>4.2500000000000003E-4</v>
      </c>
      <c r="D27" s="2">
        <f>IF(AND($B$22&gt;A27,$B$22&lt;=B27),$B$6,0)</f>
        <v>1480375</v>
      </c>
      <c r="E27" s="2">
        <f t="shared" si="5"/>
        <v>629.15937500000007</v>
      </c>
      <c r="F27" s="10"/>
    </row>
    <row r="28" spans="1:6" x14ac:dyDescent="0.25">
      <c r="E28" s="3">
        <f>SUM(E25:E27)</f>
        <v>629.15937500000007</v>
      </c>
    </row>
    <row r="29" spans="1:6" x14ac:dyDescent="0.25">
      <c r="E29" s="3"/>
    </row>
    <row r="31" spans="1:6" x14ac:dyDescent="0.25">
      <c r="D31" t="s">
        <v>16</v>
      </c>
      <c r="E31" s="3">
        <f>E28+E19</f>
        <v>2390.8056250000004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C12" sqref="C12"/>
    </sheetView>
  </sheetViews>
  <sheetFormatPr baseColWidth="10" defaultRowHeight="15" x14ac:dyDescent="0.25"/>
  <cols>
    <col min="1" max="1" width="16.42578125" customWidth="1"/>
    <col min="2" max="2" width="16" customWidth="1"/>
    <col min="3" max="3" width="12" customWidth="1"/>
    <col min="4" max="4" width="13.85546875" customWidth="1"/>
  </cols>
  <sheetData>
    <row r="2" spans="1:5" x14ac:dyDescent="0.25">
      <c r="A2" t="s">
        <v>92</v>
      </c>
    </row>
    <row r="3" spans="1:5" x14ac:dyDescent="0.25">
      <c r="A3" t="s">
        <v>9</v>
      </c>
      <c r="B3" s="3">
        <f>'Datos Base Servicio'!B29</f>
        <v>164514</v>
      </c>
      <c r="C3" s="1"/>
    </row>
    <row r="4" spans="1:5" x14ac:dyDescent="0.25">
      <c r="A4" t="s">
        <v>27</v>
      </c>
      <c r="B4" s="3">
        <f>'Datos Base Servicio'!B28</f>
        <v>213514</v>
      </c>
      <c r="C4" s="1"/>
    </row>
    <row r="5" spans="1:5" x14ac:dyDescent="0.25">
      <c r="A5" t="s">
        <v>69</v>
      </c>
      <c r="B5" s="3">
        <f>'Datos Base Servicio'!B6</f>
        <v>0</v>
      </c>
    </row>
    <row r="6" spans="1:5" x14ac:dyDescent="0.25">
      <c r="B6" s="3">
        <f>B3-B4-B5</f>
        <v>-49000</v>
      </c>
    </row>
    <row r="8" spans="1:5" x14ac:dyDescent="0.25">
      <c r="A8" t="s">
        <v>19</v>
      </c>
      <c r="B8" t="s">
        <v>20</v>
      </c>
      <c r="C8" t="s">
        <v>1</v>
      </c>
      <c r="D8" t="s">
        <v>2</v>
      </c>
      <c r="E8" t="s">
        <v>3</v>
      </c>
    </row>
    <row r="9" spans="1:5" x14ac:dyDescent="0.25">
      <c r="A9" s="2">
        <v>0</v>
      </c>
      <c r="B9" s="2">
        <v>50000</v>
      </c>
      <c r="C9" s="12">
        <v>0.04</v>
      </c>
      <c r="D9" s="2">
        <f>IF(AND($B$6&gt;=A9,$B$6&lt;B9),$B$6,0)</f>
        <v>0</v>
      </c>
      <c r="E9" s="3">
        <f>C9*D9</f>
        <v>0</v>
      </c>
    </row>
    <row r="10" spans="1:5" x14ac:dyDescent="0.25">
      <c r="A10" s="2">
        <v>50000</v>
      </c>
      <c r="B10" s="2">
        <v>75000</v>
      </c>
      <c r="C10" s="12">
        <v>0.06</v>
      </c>
      <c r="D10" s="2">
        <f t="shared" ref="D10:D11" si="0">IF(AND($B$6&gt;=A10,$B$6&lt;B10),$B$6,0)</f>
        <v>0</v>
      </c>
      <c r="E10" s="3">
        <f t="shared" ref="E10:E11" si="1">C10*D10</f>
        <v>0</v>
      </c>
    </row>
    <row r="11" spans="1:5" x14ac:dyDescent="0.25">
      <c r="A11" s="2">
        <v>75000</v>
      </c>
      <c r="B11" s="2">
        <v>10000000</v>
      </c>
      <c r="C11" s="13">
        <v>0.08</v>
      </c>
      <c r="D11" s="2">
        <f t="shared" si="0"/>
        <v>0</v>
      </c>
      <c r="E11" s="3">
        <f t="shared" si="1"/>
        <v>0</v>
      </c>
    </row>
    <row r="12" spans="1:5" x14ac:dyDescent="0.25">
      <c r="D12" s="3" t="s">
        <v>10</v>
      </c>
    </row>
    <row r="13" spans="1:5" x14ac:dyDescent="0.25">
      <c r="D13" t="s">
        <v>3</v>
      </c>
      <c r="E13" s="3">
        <f>SUM(E9:E11)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6"/>
  <sheetViews>
    <sheetView topLeftCell="A28" workbookViewId="0">
      <selection activeCell="G39" sqref="G39"/>
    </sheetView>
  </sheetViews>
  <sheetFormatPr baseColWidth="10" defaultRowHeight="15" x14ac:dyDescent="0.25"/>
  <cols>
    <col min="1" max="1" width="16.85546875" customWidth="1"/>
    <col min="2" max="2" width="15.7109375" customWidth="1"/>
    <col min="3" max="3" width="16.7109375" customWidth="1"/>
    <col min="4" max="4" width="14.7109375" customWidth="1"/>
  </cols>
  <sheetData>
    <row r="2" spans="1:5" x14ac:dyDescent="0.25">
      <c r="A2" t="s">
        <v>70</v>
      </c>
    </row>
    <row r="3" spans="1:5" x14ac:dyDescent="0.25">
      <c r="A3" t="s">
        <v>9</v>
      </c>
      <c r="B3" s="3">
        <f>'Datos Base Servicio'!B3</f>
        <v>5039374</v>
      </c>
      <c r="C3" s="1"/>
    </row>
    <row r="4" spans="1:5" x14ac:dyDescent="0.25">
      <c r="A4" t="s">
        <v>27</v>
      </c>
      <c r="B4" s="3">
        <f>'Datos Base Servicio'!B4</f>
        <v>3558999</v>
      </c>
      <c r="C4" s="1"/>
    </row>
    <row r="5" spans="1:5" x14ac:dyDescent="0.25">
      <c r="A5" t="s">
        <v>69</v>
      </c>
      <c r="B5" s="3">
        <f>'Datos Base Servicio'!B6</f>
        <v>0</v>
      </c>
    </row>
    <row r="6" spans="1:5" x14ac:dyDescent="0.25">
      <c r="B6" s="3">
        <f>B3-B4-B5</f>
        <v>1480375</v>
      </c>
    </row>
    <row r="8" spans="1:5" x14ac:dyDescent="0.25">
      <c r="A8" t="s">
        <v>19</v>
      </c>
      <c r="B8" t="s">
        <v>20</v>
      </c>
      <c r="C8" t="s">
        <v>1</v>
      </c>
      <c r="E8" t="s">
        <v>3</v>
      </c>
    </row>
    <row r="9" spans="1:5" x14ac:dyDescent="0.25">
      <c r="A9" s="2">
        <v>850000</v>
      </c>
      <c r="B9" s="2">
        <f>A10</f>
        <v>950000</v>
      </c>
      <c r="C9" s="10">
        <v>8.8000000000000005E-3</v>
      </c>
      <c r="D9" s="3">
        <f>IF(AND($B$6&gt;=A9,$B$6&lt;B9),$B$6,0)</f>
        <v>0</v>
      </c>
      <c r="E9" s="2">
        <f>C9*D9</f>
        <v>0</v>
      </c>
    </row>
    <row r="10" spans="1:5" x14ac:dyDescent="0.25">
      <c r="A10" s="2">
        <f>A9+100000</f>
        <v>950000</v>
      </c>
      <c r="B10" s="2">
        <f t="shared" ref="B10:B17" si="0">A11</f>
        <v>1050000</v>
      </c>
      <c r="C10" s="10">
        <v>8.8999999999999999E-3</v>
      </c>
      <c r="D10" s="3">
        <f t="shared" ref="D10:D18" si="1">IF(AND($B$6&gt;=A10,$B$6&lt;B10),$B$6,0)</f>
        <v>0</v>
      </c>
      <c r="E10" s="2">
        <f t="shared" ref="E10:E18" si="2">C10*D10</f>
        <v>0</v>
      </c>
    </row>
    <row r="11" spans="1:5" x14ac:dyDescent="0.25">
      <c r="A11" s="2">
        <f t="shared" ref="A11:A14" si="3">A10+100000</f>
        <v>1050000</v>
      </c>
      <c r="B11" s="2">
        <f t="shared" si="0"/>
        <v>1150000</v>
      </c>
      <c r="C11" s="10">
        <v>0.01</v>
      </c>
      <c r="D11" s="3">
        <f t="shared" si="1"/>
        <v>0</v>
      </c>
      <c r="E11" s="2">
        <f t="shared" si="2"/>
        <v>0</v>
      </c>
    </row>
    <row r="12" spans="1:5" x14ac:dyDescent="0.25">
      <c r="A12" s="2">
        <f t="shared" si="3"/>
        <v>1150000</v>
      </c>
      <c r="B12" s="2">
        <f t="shared" si="0"/>
        <v>1250000</v>
      </c>
      <c r="C12" s="10">
        <v>1.0500000000000001E-2</v>
      </c>
      <c r="D12" s="3">
        <f t="shared" si="1"/>
        <v>0</v>
      </c>
      <c r="E12" s="2">
        <f t="shared" si="2"/>
        <v>0</v>
      </c>
    </row>
    <row r="13" spans="1:5" x14ac:dyDescent="0.25">
      <c r="A13" s="2">
        <f t="shared" si="3"/>
        <v>1250000</v>
      </c>
      <c r="B13" s="2">
        <f t="shared" si="0"/>
        <v>1350000</v>
      </c>
      <c r="C13" s="10">
        <v>1.0699999999999999E-2</v>
      </c>
      <c r="D13" s="3">
        <f t="shared" si="1"/>
        <v>0</v>
      </c>
      <c r="E13" s="2">
        <f t="shared" si="2"/>
        <v>0</v>
      </c>
    </row>
    <row r="14" spans="1:5" x14ac:dyDescent="0.25">
      <c r="A14" s="2">
        <f t="shared" si="3"/>
        <v>1350000</v>
      </c>
      <c r="B14" s="2">
        <f t="shared" si="0"/>
        <v>1500000</v>
      </c>
      <c r="C14" s="10">
        <v>1.0749999999999999E-2</v>
      </c>
      <c r="D14" s="3">
        <f t="shared" si="1"/>
        <v>1480375</v>
      </c>
      <c r="E14" s="2">
        <f t="shared" si="2"/>
        <v>15914.031249999998</v>
      </c>
    </row>
    <row r="15" spans="1:5" x14ac:dyDescent="0.25">
      <c r="A15" s="2">
        <f>A14+150000</f>
        <v>1500000</v>
      </c>
      <c r="B15" s="2">
        <f t="shared" si="0"/>
        <v>1650000</v>
      </c>
      <c r="C15" s="10">
        <v>1.0800000000000001E-2</v>
      </c>
      <c r="D15" s="3">
        <f t="shared" si="1"/>
        <v>0</v>
      </c>
      <c r="E15" s="2">
        <f t="shared" si="2"/>
        <v>0</v>
      </c>
    </row>
    <row r="16" spans="1:5" x14ac:dyDescent="0.25">
      <c r="A16" s="2">
        <f t="shared" ref="A16:A18" si="4">A15+150000</f>
        <v>1650000</v>
      </c>
      <c r="B16" s="2">
        <f t="shared" si="0"/>
        <v>1800000</v>
      </c>
      <c r="C16" s="10">
        <v>1.0825E-2</v>
      </c>
      <c r="D16" s="3">
        <f t="shared" si="1"/>
        <v>0</v>
      </c>
      <c r="E16" s="2">
        <f t="shared" si="2"/>
        <v>0</v>
      </c>
    </row>
    <row r="17" spans="1:5" x14ac:dyDescent="0.25">
      <c r="A17" s="2">
        <f t="shared" si="4"/>
        <v>1800000</v>
      </c>
      <c r="B17" s="2">
        <f t="shared" si="0"/>
        <v>1950000</v>
      </c>
      <c r="C17" s="10">
        <v>1.085E-2</v>
      </c>
      <c r="D17" s="3">
        <f t="shared" si="1"/>
        <v>0</v>
      </c>
      <c r="E17" s="2">
        <f t="shared" si="2"/>
        <v>0</v>
      </c>
    </row>
    <row r="18" spans="1:5" x14ac:dyDescent="0.25">
      <c r="A18" s="2">
        <f t="shared" si="4"/>
        <v>1950000</v>
      </c>
      <c r="B18" s="2">
        <v>10000000</v>
      </c>
      <c r="C18" s="10">
        <v>1.09E-2</v>
      </c>
      <c r="D18" s="3">
        <f t="shared" si="1"/>
        <v>0</v>
      </c>
      <c r="E18" s="2">
        <f t="shared" si="2"/>
        <v>0</v>
      </c>
    </row>
    <row r="19" spans="1:5" x14ac:dyDescent="0.25">
      <c r="E19" s="3">
        <f>SUM(E9:E18)</f>
        <v>15914.031249999998</v>
      </c>
    </row>
    <row r="20" spans="1:5" x14ac:dyDescent="0.25">
      <c r="E20" s="3"/>
    </row>
    <row r="21" spans="1:5" x14ac:dyDescent="0.25">
      <c r="A21" t="s">
        <v>34</v>
      </c>
    </row>
    <row r="22" spans="1:5" x14ac:dyDescent="0.25">
      <c r="A22" t="s">
        <v>35</v>
      </c>
      <c r="B22" s="3">
        <f>'Datos Base Servicio'!B14</f>
        <v>2375003</v>
      </c>
    </row>
    <row r="23" spans="1:5" x14ac:dyDescent="0.25">
      <c r="A23" t="s">
        <v>27</v>
      </c>
      <c r="B23" s="3">
        <f>'Datos Base Servicio'!B16</f>
        <v>2188401</v>
      </c>
      <c r="C23" s="1"/>
    </row>
    <row r="24" spans="1:5" x14ac:dyDescent="0.25">
      <c r="A24" t="s">
        <v>8</v>
      </c>
      <c r="B24">
        <f>B22/B23*30</f>
        <v>32.558059514686747</v>
      </c>
    </row>
    <row r="26" spans="1:5" x14ac:dyDescent="0.25">
      <c r="A26" t="s">
        <v>19</v>
      </c>
      <c r="B26" t="s">
        <v>20</v>
      </c>
      <c r="C26" t="s">
        <v>1</v>
      </c>
      <c r="E26" t="s">
        <v>3</v>
      </c>
    </row>
    <row r="27" spans="1:5" x14ac:dyDescent="0.25">
      <c r="A27">
        <v>35</v>
      </c>
      <c r="B27">
        <v>45</v>
      </c>
      <c r="C27" s="10">
        <v>3.4748015116158756E-3</v>
      </c>
      <c r="D27" s="2">
        <f>IF(AND($B$24&gt;=A27,$B$24&lt;B27),$B$6,0)</f>
        <v>0</v>
      </c>
      <c r="E27" s="2">
        <f>D27*C27</f>
        <v>0</v>
      </c>
    </row>
    <row r="28" spans="1:5" x14ac:dyDescent="0.25">
      <c r="A28">
        <v>25</v>
      </c>
      <c r="B28">
        <v>35</v>
      </c>
      <c r="C28" s="10">
        <v>4.6330686821545002E-3</v>
      </c>
      <c r="D28" s="2">
        <f t="shared" ref="D28:D30" si="5">IF(AND($B$24&gt;=A28,$B$24&lt;B28),$B$6,0)</f>
        <v>1480375</v>
      </c>
      <c r="E28" s="2">
        <f t="shared" ref="E28:E30" si="6">D28*C28</f>
        <v>6858.6790503444681</v>
      </c>
    </row>
    <row r="29" spans="1:5" x14ac:dyDescent="0.25">
      <c r="A29">
        <v>15</v>
      </c>
      <c r="B29">
        <v>25</v>
      </c>
      <c r="C29" s="10">
        <v>6.1774249095393344E-3</v>
      </c>
      <c r="D29" s="2">
        <f t="shared" si="5"/>
        <v>0</v>
      </c>
      <c r="E29" s="2">
        <f t="shared" si="6"/>
        <v>0</v>
      </c>
    </row>
    <row r="30" spans="1:5" x14ac:dyDescent="0.25">
      <c r="A30">
        <v>0</v>
      </c>
      <c r="B30">
        <v>15</v>
      </c>
      <c r="C30" s="10">
        <v>6.9496030232317511E-3</v>
      </c>
      <c r="D30" s="2">
        <f t="shared" si="5"/>
        <v>0</v>
      </c>
      <c r="E30" s="2">
        <f t="shared" si="6"/>
        <v>0</v>
      </c>
    </row>
    <row r="31" spans="1:5" x14ac:dyDescent="0.25">
      <c r="E31" s="3">
        <f>SUM(E27:E30)</f>
        <v>6858.6790503444681</v>
      </c>
    </row>
    <row r="32" spans="1:5" x14ac:dyDescent="0.25">
      <c r="E32" s="3"/>
    </row>
    <row r="33" spans="1:6" x14ac:dyDescent="0.25">
      <c r="A33" t="s">
        <v>48</v>
      </c>
      <c r="C33" s="4">
        <f>'Datos Base Servicio'!B25</f>
        <v>0.47199999999999998</v>
      </c>
    </row>
    <row r="35" spans="1:6" x14ac:dyDescent="0.25">
      <c r="A35" t="s">
        <v>19</v>
      </c>
      <c r="B35" t="s">
        <v>20</v>
      </c>
      <c r="C35" t="s">
        <v>1</v>
      </c>
      <c r="E35" t="s">
        <v>3</v>
      </c>
    </row>
    <row r="36" spans="1:6" x14ac:dyDescent="0.25">
      <c r="A36" s="8">
        <v>0.42</v>
      </c>
      <c r="B36" s="8">
        <v>0.45</v>
      </c>
      <c r="C36" s="10">
        <v>7.6999999999999996E-4</v>
      </c>
      <c r="D36" s="2">
        <f>IF(AND($C$33&gt;A36,$C$33&lt;=B36),$B$6,0)</f>
        <v>0</v>
      </c>
      <c r="E36" s="2">
        <f>C36*D36</f>
        <v>0</v>
      </c>
      <c r="F36" s="2"/>
    </row>
    <row r="37" spans="1:6" x14ac:dyDescent="0.25">
      <c r="A37" s="8">
        <v>0.45</v>
      </c>
      <c r="B37" s="8">
        <v>0.48</v>
      </c>
      <c r="C37" s="10">
        <v>1.5399999999999999E-3</v>
      </c>
      <c r="D37" s="2">
        <f t="shared" ref="D37:D41" si="7">IF(AND($C$33&gt;A37,$C$33&lt;=B37),$B$6,0)</f>
        <v>1480375</v>
      </c>
      <c r="E37" s="2">
        <f t="shared" ref="E37:E41" si="8">C37*D37</f>
        <v>2279.7774999999997</v>
      </c>
      <c r="F37" s="2"/>
    </row>
    <row r="38" spans="1:6" x14ac:dyDescent="0.25">
      <c r="A38" s="8">
        <v>0.48</v>
      </c>
      <c r="B38" s="8">
        <v>0.51</v>
      </c>
      <c r="C38" s="10">
        <v>2.32E-3</v>
      </c>
      <c r="D38" s="2">
        <f t="shared" si="7"/>
        <v>0</v>
      </c>
      <c r="E38" s="2">
        <f t="shared" si="8"/>
        <v>0</v>
      </c>
      <c r="F38" s="2"/>
    </row>
    <row r="39" spans="1:6" x14ac:dyDescent="0.25">
      <c r="A39" s="8">
        <v>0.51</v>
      </c>
      <c r="B39" s="8">
        <v>0.54</v>
      </c>
      <c r="C39" s="10">
        <v>3.0899999999999999E-3</v>
      </c>
      <c r="D39" s="2">
        <f t="shared" si="7"/>
        <v>0</v>
      </c>
      <c r="E39" s="2">
        <f t="shared" si="8"/>
        <v>0</v>
      </c>
      <c r="F39" s="2"/>
    </row>
    <row r="40" spans="1:6" x14ac:dyDescent="0.25">
      <c r="A40" s="8">
        <v>0.54</v>
      </c>
      <c r="B40" s="8">
        <v>0.56999999999999995</v>
      </c>
      <c r="C40" s="10">
        <v>3.8600000000000001E-3</v>
      </c>
      <c r="D40" s="2">
        <f t="shared" si="7"/>
        <v>0</v>
      </c>
      <c r="E40" s="2">
        <f t="shared" si="8"/>
        <v>0</v>
      </c>
      <c r="F40" s="2"/>
    </row>
    <row r="41" spans="1:6" x14ac:dyDescent="0.25">
      <c r="A41" s="8">
        <v>0.56999999999999995</v>
      </c>
      <c r="B41" s="8">
        <v>1</v>
      </c>
      <c r="C41" s="10">
        <v>4.6299999999999996E-3</v>
      </c>
      <c r="D41" s="2">
        <f t="shared" si="7"/>
        <v>0</v>
      </c>
      <c r="E41" s="2">
        <f t="shared" si="8"/>
        <v>0</v>
      </c>
      <c r="F41" s="2"/>
    </row>
    <row r="42" spans="1:6" x14ac:dyDescent="0.25">
      <c r="E42" s="3">
        <f>SUM(E36:E41)</f>
        <v>2279.7774999999997</v>
      </c>
    </row>
    <row r="44" spans="1:6" x14ac:dyDescent="0.25">
      <c r="A44" t="s">
        <v>49</v>
      </c>
      <c r="B44" s="4">
        <f>'Datos Base Servicio'!B26</f>
        <v>0.90700000000000003</v>
      </c>
    </row>
    <row r="46" spans="1:6" x14ac:dyDescent="0.25">
      <c r="A46" t="s">
        <v>19</v>
      </c>
      <c r="B46" t="s">
        <v>20</v>
      </c>
      <c r="C46" t="s">
        <v>1</v>
      </c>
      <c r="E46" t="s">
        <v>3</v>
      </c>
    </row>
    <row r="47" spans="1:6" x14ac:dyDescent="0.25">
      <c r="A47" s="8">
        <v>0.8</v>
      </c>
      <c r="B47" s="8">
        <v>0.85</v>
      </c>
      <c r="C47" s="9">
        <v>1.9300000000000001E-3</v>
      </c>
      <c r="D47" s="2">
        <f>IF(AND($B$44&gt;A47,$B$44&lt;=B47),$B$6,0)</f>
        <v>0</v>
      </c>
      <c r="E47" s="2">
        <f>D47*C47</f>
        <v>0</v>
      </c>
      <c r="F47" s="2"/>
    </row>
    <row r="48" spans="1:6" x14ac:dyDescent="0.25">
      <c r="A48" s="8">
        <v>0.85</v>
      </c>
      <c r="B48" s="8">
        <v>0.9</v>
      </c>
      <c r="C48" s="9">
        <v>3.47E-3</v>
      </c>
      <c r="D48" s="2">
        <f t="shared" ref="D48:D49" si="9">IF(AND($B$44&gt;A48,$B$44&lt;=B48),$B$6,0)</f>
        <v>0</v>
      </c>
      <c r="E48" s="2">
        <f t="shared" ref="E48:E49" si="10">D48*C48</f>
        <v>0</v>
      </c>
      <c r="F48" s="2"/>
    </row>
    <row r="49" spans="1:6" x14ac:dyDescent="0.25">
      <c r="A49" s="8">
        <v>0.9</v>
      </c>
      <c r="B49" s="8">
        <v>1</v>
      </c>
      <c r="C49" s="9">
        <v>4.2500000000000003E-3</v>
      </c>
      <c r="D49" s="2">
        <f t="shared" si="9"/>
        <v>1480375</v>
      </c>
      <c r="E49" s="2">
        <f t="shared" si="10"/>
        <v>6291.59375</v>
      </c>
      <c r="F49" s="2"/>
    </row>
    <row r="50" spans="1:6" x14ac:dyDescent="0.25">
      <c r="E50" s="3">
        <f>SUM(E47:E49)</f>
        <v>6291.59375</v>
      </c>
    </row>
    <row r="51" spans="1:6" x14ac:dyDescent="0.25">
      <c r="E51" s="3"/>
    </row>
    <row r="52" spans="1:6" x14ac:dyDescent="0.25">
      <c r="A52" t="s">
        <v>46</v>
      </c>
      <c r="C52">
        <f>'Datos Base Servicio'!B24</f>
        <v>324</v>
      </c>
    </row>
    <row r="54" spans="1:6" x14ac:dyDescent="0.25">
      <c r="A54" t="s">
        <v>19</v>
      </c>
      <c r="B54" t="s">
        <v>20</v>
      </c>
      <c r="C54" t="s">
        <v>1</v>
      </c>
      <c r="E54" t="s">
        <v>3</v>
      </c>
    </row>
    <row r="55" spans="1:6" x14ac:dyDescent="0.25">
      <c r="A55">
        <v>250</v>
      </c>
      <c r="B55">
        <v>400</v>
      </c>
      <c r="C55" s="10">
        <v>1.5399999999999999E-3</v>
      </c>
      <c r="D55" s="2">
        <f>IF(AND($C$52&gt;A55,$C$52&lt;=B55),$B$6,0)</f>
        <v>1480375</v>
      </c>
      <c r="E55" s="2">
        <f>D55*C55</f>
        <v>2279.7774999999997</v>
      </c>
      <c r="F55" s="2"/>
    </row>
    <row r="56" spans="1:6" x14ac:dyDescent="0.25">
      <c r="A56">
        <v>400</v>
      </c>
      <c r="B56">
        <v>600</v>
      </c>
      <c r="C56" s="10">
        <v>3.8600000000000001E-3</v>
      </c>
      <c r="D56" s="2">
        <f t="shared" ref="D56:D59" si="11">IF(AND($C$52&gt;A56,$C$52&lt;=B56),$B$6,0)</f>
        <v>0</v>
      </c>
      <c r="E56" s="2">
        <f t="shared" ref="E56:E59" si="12">D56*C56</f>
        <v>0</v>
      </c>
      <c r="F56" s="2"/>
    </row>
    <row r="57" spans="1:6" x14ac:dyDescent="0.25">
      <c r="A57">
        <v>600</v>
      </c>
      <c r="B57">
        <v>800</v>
      </c>
      <c r="C57" s="10">
        <v>7.7200000000000003E-3</v>
      </c>
      <c r="D57" s="2">
        <f t="shared" si="11"/>
        <v>0</v>
      </c>
      <c r="E57" s="2">
        <f t="shared" si="12"/>
        <v>0</v>
      </c>
      <c r="F57" s="2"/>
    </row>
    <row r="58" spans="1:6" x14ac:dyDescent="0.25">
      <c r="A58">
        <v>800</v>
      </c>
      <c r="B58" s="1">
        <v>1000</v>
      </c>
      <c r="C58" s="10">
        <v>9.2599999999999991E-3</v>
      </c>
      <c r="D58" s="2">
        <f t="shared" si="11"/>
        <v>0</v>
      </c>
      <c r="E58" s="2">
        <f t="shared" si="12"/>
        <v>0</v>
      </c>
      <c r="F58" s="2"/>
    </row>
    <row r="59" spans="1:6" x14ac:dyDescent="0.25">
      <c r="A59" s="1">
        <v>1000</v>
      </c>
      <c r="B59" s="1">
        <v>100000</v>
      </c>
      <c r="C59" s="10">
        <v>1.158E-2</v>
      </c>
      <c r="D59" s="2">
        <f t="shared" si="11"/>
        <v>0</v>
      </c>
      <c r="E59" s="2">
        <f t="shared" si="12"/>
        <v>0</v>
      </c>
      <c r="F59" s="2"/>
    </row>
    <row r="60" spans="1:6" x14ac:dyDescent="0.25">
      <c r="E60" s="3">
        <f>SUM(E55:E59)</f>
        <v>2279.7774999999997</v>
      </c>
    </row>
    <row r="61" spans="1:6" x14ac:dyDescent="0.25">
      <c r="E61" s="2"/>
    </row>
    <row r="62" spans="1:6" x14ac:dyDescent="0.25">
      <c r="A62" t="s">
        <v>6</v>
      </c>
    </row>
    <row r="64" spans="1:6" x14ac:dyDescent="0.25">
      <c r="A64" t="s">
        <v>7</v>
      </c>
      <c r="B64" s="3">
        <f>'Datos Base Servicio'!B2</f>
        <v>3038421</v>
      </c>
    </row>
    <row r="65" spans="1:6" x14ac:dyDescent="0.25">
      <c r="A65" t="s">
        <v>9</v>
      </c>
      <c r="B65" s="3">
        <f>'Datos Base Servicio'!B3</f>
        <v>5039374</v>
      </c>
    </row>
    <row r="66" spans="1:6" x14ac:dyDescent="0.25">
      <c r="A66" t="s">
        <v>8</v>
      </c>
      <c r="B66">
        <f>B64/B65*30</f>
        <v>18.088085940833125</v>
      </c>
    </row>
    <row r="68" spans="1:6" x14ac:dyDescent="0.25">
      <c r="A68" t="s">
        <v>11</v>
      </c>
      <c r="B68" t="s">
        <v>0</v>
      </c>
      <c r="C68" t="s">
        <v>3</v>
      </c>
      <c r="E68" t="s">
        <v>3</v>
      </c>
    </row>
    <row r="69" spans="1:6" x14ac:dyDescent="0.25">
      <c r="A69" t="s">
        <v>10</v>
      </c>
      <c r="B69" t="s">
        <v>10</v>
      </c>
      <c r="C69" t="s">
        <v>10</v>
      </c>
      <c r="E69" t="s">
        <v>10</v>
      </c>
    </row>
    <row r="70" spans="1:6" x14ac:dyDescent="0.25">
      <c r="A70">
        <v>25</v>
      </c>
      <c r="B70">
        <v>30</v>
      </c>
      <c r="C70" s="10">
        <v>3.0000000000000001E-3</v>
      </c>
      <c r="D70" s="2">
        <f>IF(AND($B$66&gt;A70,$B$66&lt;=B70),$B$6,0)</f>
        <v>0</v>
      </c>
      <c r="E70" s="2">
        <f>D70*C70</f>
        <v>0</v>
      </c>
      <c r="F70" s="2"/>
    </row>
    <row r="71" spans="1:6" x14ac:dyDescent="0.25">
      <c r="A71">
        <v>20</v>
      </c>
      <c r="B71">
        <v>25</v>
      </c>
      <c r="C71" s="10">
        <v>4.5999999999999999E-3</v>
      </c>
      <c r="D71" s="2">
        <f t="shared" ref="D71:D73" si="13">IF(AND($B$66&gt;A71,$B$66&lt;=B71),$B$6,0)</f>
        <v>0</v>
      </c>
      <c r="E71" s="2">
        <f t="shared" ref="E71:E73" si="14">D71*C71</f>
        <v>0</v>
      </c>
      <c r="F71" s="2"/>
    </row>
    <row r="72" spans="1:6" x14ac:dyDescent="0.25">
      <c r="A72">
        <v>15</v>
      </c>
      <c r="B72">
        <v>20</v>
      </c>
      <c r="C72" s="10">
        <v>6.1999999999999998E-3</v>
      </c>
      <c r="D72" s="2">
        <f t="shared" si="13"/>
        <v>1480375</v>
      </c>
      <c r="E72" s="2">
        <f t="shared" si="14"/>
        <v>9178.3249999999989</v>
      </c>
      <c r="F72" s="2"/>
    </row>
    <row r="73" spans="1:6" x14ac:dyDescent="0.25">
      <c r="A73">
        <v>0</v>
      </c>
      <c r="B73">
        <v>15</v>
      </c>
      <c r="C73" s="10">
        <v>7.7999999999999996E-3</v>
      </c>
      <c r="D73" s="2">
        <f t="shared" si="13"/>
        <v>0</v>
      </c>
      <c r="E73" s="2">
        <f t="shared" si="14"/>
        <v>0</v>
      </c>
      <c r="F73" s="2"/>
    </row>
    <row r="74" spans="1:6" x14ac:dyDescent="0.25">
      <c r="E74" s="3">
        <f>SUM(E70:E73)</f>
        <v>9178.3249999999989</v>
      </c>
    </row>
    <row r="76" spans="1:6" x14ac:dyDescent="0.25">
      <c r="D76" t="s">
        <v>16</v>
      </c>
      <c r="E76" s="3">
        <f>E74+E60+E50+E42+E31+E19</f>
        <v>42802.184050344469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19" sqref="A19:B24"/>
    </sheetView>
  </sheetViews>
  <sheetFormatPr baseColWidth="10" defaultRowHeight="15" x14ac:dyDescent="0.25"/>
  <cols>
    <col min="1" max="1" width="13" customWidth="1"/>
    <col min="2" max="2" width="12.85546875" customWidth="1"/>
    <col min="3" max="3" width="14.140625" bestFit="1" customWidth="1"/>
    <col min="4" max="4" width="16.42578125" customWidth="1"/>
  </cols>
  <sheetData>
    <row r="1" spans="1:5" x14ac:dyDescent="0.25">
      <c r="A1" t="s">
        <v>46</v>
      </c>
      <c r="C1">
        <f>'Datos Base Servicio'!B24</f>
        <v>324</v>
      </c>
    </row>
    <row r="3" spans="1:5" x14ac:dyDescent="0.25">
      <c r="A3" t="s">
        <v>180</v>
      </c>
      <c r="C3" s="3">
        <f>'Datos Base Servicio'!B3-'Datos Base Servicio'!B4</f>
        <v>1480375</v>
      </c>
    </row>
    <row r="7" spans="1:5" x14ac:dyDescent="0.25">
      <c r="A7" s="18" t="s">
        <v>19</v>
      </c>
      <c r="B7" s="18" t="s">
        <v>20</v>
      </c>
      <c r="C7" s="18" t="s">
        <v>1</v>
      </c>
      <c r="D7" s="18"/>
      <c r="E7" s="18" t="s">
        <v>3</v>
      </c>
    </row>
    <row r="8" spans="1:5" x14ac:dyDescent="0.25">
      <c r="A8" s="18">
        <v>250</v>
      </c>
      <c r="B8" s="18">
        <v>400</v>
      </c>
      <c r="C8" s="20">
        <v>1.5399999999999999E-3</v>
      </c>
      <c r="D8" s="21">
        <f>IF(AND($C$1&gt;=A8,$C$1&lt;B8),$C$3,0)</f>
        <v>1480375</v>
      </c>
      <c r="E8" s="21">
        <f>D8*C8</f>
        <v>2279.7774999999997</v>
      </c>
    </row>
    <row r="9" spans="1:5" x14ac:dyDescent="0.25">
      <c r="A9" s="18">
        <v>400</v>
      </c>
      <c r="B9" s="18">
        <v>600</v>
      </c>
      <c r="C9" s="20">
        <v>3.8600000000000001E-3</v>
      </c>
      <c r="D9" s="21">
        <f t="shared" ref="D9:D12" si="0">IF(AND($C$1&gt;=A9,$C$1&lt;B9),$C$3,0)</f>
        <v>0</v>
      </c>
      <c r="E9" s="21">
        <f t="shared" ref="E9:E12" si="1">D9*C9</f>
        <v>0</v>
      </c>
    </row>
    <row r="10" spans="1:5" x14ac:dyDescent="0.25">
      <c r="A10" s="18">
        <v>600</v>
      </c>
      <c r="B10" s="18">
        <v>800</v>
      </c>
      <c r="C10" s="20">
        <v>7.7200000000000003E-3</v>
      </c>
      <c r="D10" s="21">
        <f t="shared" si="0"/>
        <v>0</v>
      </c>
      <c r="E10" s="21">
        <f t="shared" si="1"/>
        <v>0</v>
      </c>
    </row>
    <row r="11" spans="1:5" x14ac:dyDescent="0.25">
      <c r="A11" s="18">
        <v>800</v>
      </c>
      <c r="B11" s="19">
        <v>1000</v>
      </c>
      <c r="C11" s="20">
        <v>9.2599999999999991E-3</v>
      </c>
      <c r="D11" s="21">
        <f t="shared" si="0"/>
        <v>0</v>
      </c>
      <c r="E11" s="21">
        <f t="shared" si="1"/>
        <v>0</v>
      </c>
    </row>
    <row r="12" spans="1:5" x14ac:dyDescent="0.25">
      <c r="A12" s="19">
        <v>1000</v>
      </c>
      <c r="B12" s="19">
        <v>100000</v>
      </c>
      <c r="C12" s="20">
        <v>1.158E-2</v>
      </c>
      <c r="D12" s="21">
        <f t="shared" si="0"/>
        <v>0</v>
      </c>
      <c r="E12" s="21">
        <f t="shared" si="1"/>
        <v>0</v>
      </c>
    </row>
    <row r="13" spans="1:5" x14ac:dyDescent="0.25">
      <c r="D13" s="18"/>
      <c r="E13" s="22">
        <f>SUM(E8:E12)</f>
        <v>2279.7774999999997</v>
      </c>
    </row>
    <row r="16" spans="1:5" x14ac:dyDescent="0.25">
      <c r="A16" t="s">
        <v>48</v>
      </c>
      <c r="C16" s="4">
        <f>'Datos Base Servicio'!B25</f>
        <v>0.47199999999999998</v>
      </c>
    </row>
    <row r="18" spans="1:5" x14ac:dyDescent="0.25">
      <c r="A18" t="s">
        <v>19</v>
      </c>
      <c r="B18" t="s">
        <v>20</v>
      </c>
      <c r="C18" t="s">
        <v>1</v>
      </c>
      <c r="E18" t="s">
        <v>3</v>
      </c>
    </row>
    <row r="19" spans="1:5" x14ac:dyDescent="0.25">
      <c r="A19" s="8">
        <v>0.42</v>
      </c>
      <c r="B19" s="8">
        <v>0.45</v>
      </c>
      <c r="C19" s="10">
        <v>7.6999999999999996E-4</v>
      </c>
      <c r="D19" s="2">
        <f>IF(AND($C$16&gt;A19,$C$16&lt;=B19),$C$3,0)</f>
        <v>0</v>
      </c>
      <c r="E19" s="2">
        <f>C19*D19</f>
        <v>0</v>
      </c>
    </row>
    <row r="20" spans="1:5" x14ac:dyDescent="0.25">
      <c r="A20" s="8">
        <v>0.45</v>
      </c>
      <c r="B20" s="8">
        <v>0.48</v>
      </c>
      <c r="C20" s="10">
        <v>1.5399999999999999E-3</v>
      </c>
      <c r="D20" s="2">
        <f t="shared" ref="D20:D24" si="2">IF(AND($C$16&gt;A20,$C$16&lt;=B20),$C$3,0)</f>
        <v>1480375</v>
      </c>
      <c r="E20" s="2">
        <f t="shared" ref="E20:E24" si="3">C20*D20</f>
        <v>2279.7774999999997</v>
      </c>
    </row>
    <row r="21" spans="1:5" x14ac:dyDescent="0.25">
      <c r="A21" s="8">
        <v>0.48</v>
      </c>
      <c r="B21" s="8">
        <v>0.51</v>
      </c>
      <c r="C21" s="10">
        <v>2.32E-3</v>
      </c>
      <c r="D21" s="2">
        <f t="shared" si="2"/>
        <v>0</v>
      </c>
      <c r="E21" s="2">
        <f t="shared" si="3"/>
        <v>0</v>
      </c>
    </row>
    <row r="22" spans="1:5" x14ac:dyDescent="0.25">
      <c r="A22" s="8">
        <v>0.51</v>
      </c>
      <c r="B22" s="8">
        <v>0.54</v>
      </c>
      <c r="C22" s="10">
        <v>3.0899999999999999E-3</v>
      </c>
      <c r="D22" s="2">
        <f t="shared" si="2"/>
        <v>0</v>
      </c>
      <c r="E22" s="2">
        <f t="shared" si="3"/>
        <v>0</v>
      </c>
    </row>
    <row r="23" spans="1:5" x14ac:dyDescent="0.25">
      <c r="A23" s="8">
        <v>0.54</v>
      </c>
      <c r="B23" s="8">
        <v>0.56999999999999995</v>
      </c>
      <c r="C23" s="10">
        <v>3.8600000000000001E-3</v>
      </c>
      <c r="D23" s="2">
        <f t="shared" si="2"/>
        <v>0</v>
      </c>
      <c r="E23" s="2">
        <f t="shared" si="3"/>
        <v>0</v>
      </c>
    </row>
    <row r="24" spans="1:5" x14ac:dyDescent="0.25">
      <c r="A24" s="8">
        <v>0.56999999999999995</v>
      </c>
      <c r="B24" s="8">
        <v>1</v>
      </c>
      <c r="C24" s="10">
        <v>4.6299999999999996E-3</v>
      </c>
      <c r="D24" s="2">
        <f t="shared" si="2"/>
        <v>0</v>
      </c>
      <c r="E24" s="2">
        <f t="shared" si="3"/>
        <v>0</v>
      </c>
    </row>
    <row r="25" spans="1:5" x14ac:dyDescent="0.25">
      <c r="E25" s="3">
        <f>SUM(E19:E24)</f>
        <v>2279.7774999999997</v>
      </c>
    </row>
    <row r="29" spans="1:5" x14ac:dyDescent="0.25">
      <c r="D29" t="s">
        <v>3</v>
      </c>
      <c r="E29" s="3">
        <f>E25+E13</f>
        <v>4559.5549999999994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8"/>
  <sheetViews>
    <sheetView topLeftCell="A13" workbookViewId="0">
      <selection activeCell="C19" sqref="C19"/>
    </sheetView>
  </sheetViews>
  <sheetFormatPr baseColWidth="10" defaultRowHeight="15" x14ac:dyDescent="0.25"/>
  <cols>
    <col min="1" max="1" width="16.85546875" customWidth="1"/>
    <col min="2" max="2" width="15.7109375" customWidth="1"/>
    <col min="3" max="3" width="16.7109375" customWidth="1"/>
  </cols>
  <sheetData>
    <row r="2" spans="1:5" x14ac:dyDescent="0.25">
      <c r="A2" t="s">
        <v>70</v>
      </c>
    </row>
    <row r="3" spans="1:5" x14ac:dyDescent="0.25">
      <c r="A3" t="s">
        <v>9</v>
      </c>
      <c r="B3" s="3">
        <f>'Datos Base Servicio'!B3</f>
        <v>5039374</v>
      </c>
      <c r="C3" s="1"/>
    </row>
    <row r="4" spans="1:5" x14ac:dyDescent="0.25">
      <c r="A4" t="s">
        <v>27</v>
      </c>
      <c r="B4" s="3">
        <f>'Datos Base Servicio'!B4</f>
        <v>3558999</v>
      </c>
      <c r="C4" s="1"/>
    </row>
    <row r="5" spans="1:5" x14ac:dyDescent="0.25">
      <c r="A5" t="s">
        <v>69</v>
      </c>
      <c r="B5" s="3">
        <f>'Datos Base Servicio'!B6</f>
        <v>0</v>
      </c>
    </row>
    <row r="6" spans="1:5" x14ac:dyDescent="0.25">
      <c r="B6" s="3">
        <f>B3-B4-B5</f>
        <v>1480375</v>
      </c>
    </row>
    <row r="8" spans="1:5" x14ac:dyDescent="0.25">
      <c r="A8" t="s">
        <v>19</v>
      </c>
      <c r="B8" t="s">
        <v>20</v>
      </c>
      <c r="C8" t="s">
        <v>1</v>
      </c>
      <c r="E8" t="s">
        <v>3</v>
      </c>
    </row>
    <row r="9" spans="1:5" x14ac:dyDescent="0.25">
      <c r="A9" s="2">
        <v>450000</v>
      </c>
      <c r="B9" s="2">
        <v>650000</v>
      </c>
      <c r="C9" s="2">
        <v>750</v>
      </c>
      <c r="E9" s="2">
        <f>IF(AND($B$6&gt;=A9,$B$6&lt;B9),C9,0)</f>
        <v>0</v>
      </c>
    </row>
    <row r="10" spans="1:5" x14ac:dyDescent="0.25">
      <c r="A10" s="2">
        <v>650000</v>
      </c>
      <c r="B10" s="2">
        <v>900000</v>
      </c>
      <c r="C10" s="2">
        <v>1500</v>
      </c>
      <c r="E10" s="2">
        <f t="shared" ref="E10:E11" si="0">IF(AND($B$6&gt;=A10,$B$6&lt;B10),C10,0)</f>
        <v>0</v>
      </c>
    </row>
    <row r="11" spans="1:5" x14ac:dyDescent="0.25">
      <c r="A11" s="2">
        <v>900000</v>
      </c>
      <c r="B11" s="2">
        <v>10000000</v>
      </c>
      <c r="C11" s="2">
        <v>3000</v>
      </c>
      <c r="E11" s="2">
        <f t="shared" si="0"/>
        <v>3000</v>
      </c>
    </row>
    <row r="12" spans="1:5" x14ac:dyDescent="0.25">
      <c r="E12" s="3">
        <f>SUM(E9:E11)</f>
        <v>3000</v>
      </c>
    </row>
    <row r="13" spans="1:5" x14ac:dyDescent="0.25">
      <c r="A13" t="s">
        <v>34</v>
      </c>
    </row>
    <row r="14" spans="1:5" x14ac:dyDescent="0.25">
      <c r="A14" t="s">
        <v>35</v>
      </c>
      <c r="B14" s="3">
        <f>'Datos Base Servicio'!B14</f>
        <v>2375003</v>
      </c>
    </row>
    <row r="15" spans="1:5" x14ac:dyDescent="0.25">
      <c r="A15" t="s">
        <v>27</v>
      </c>
      <c r="B15" s="3">
        <f>'Datos Base Servicio'!B16</f>
        <v>2188401</v>
      </c>
      <c r="C15" s="1"/>
    </row>
    <row r="16" spans="1:5" x14ac:dyDescent="0.25">
      <c r="A16" t="s">
        <v>8</v>
      </c>
      <c r="B16">
        <f>B14/B15*30</f>
        <v>32.558059514686747</v>
      </c>
    </row>
    <row r="18" spans="1:5" x14ac:dyDescent="0.25">
      <c r="A18" t="s">
        <v>19</v>
      </c>
      <c r="B18" t="s">
        <v>20</v>
      </c>
      <c r="C18" t="s">
        <v>1</v>
      </c>
      <c r="E18" t="s">
        <v>3</v>
      </c>
    </row>
    <row r="19" spans="1:5" x14ac:dyDescent="0.25">
      <c r="A19">
        <v>40</v>
      </c>
      <c r="B19">
        <v>45</v>
      </c>
      <c r="C19" s="2">
        <v>4500</v>
      </c>
      <c r="E19" s="2">
        <f>IF(AND($B$16&gt;=A19,$B$16&lt;B19),C19,0)</f>
        <v>0</v>
      </c>
    </row>
    <row r="20" spans="1:5" x14ac:dyDescent="0.25">
      <c r="A20">
        <v>35</v>
      </c>
      <c r="B20">
        <v>40</v>
      </c>
      <c r="C20" s="2">
        <v>5000</v>
      </c>
      <c r="E20" s="2">
        <f t="shared" ref="E20:E25" si="1">IF(AND($B$16&gt;=A20,$B$16&lt;B20),C20,0)</f>
        <v>0</v>
      </c>
    </row>
    <row r="21" spans="1:5" x14ac:dyDescent="0.25">
      <c r="A21">
        <v>30</v>
      </c>
      <c r="B21">
        <v>35</v>
      </c>
      <c r="C21" s="2">
        <v>5500</v>
      </c>
      <c r="E21" s="2">
        <f t="shared" si="1"/>
        <v>5500</v>
      </c>
    </row>
    <row r="22" spans="1:5" x14ac:dyDescent="0.25">
      <c r="A22">
        <v>25</v>
      </c>
      <c r="B22">
        <v>30</v>
      </c>
      <c r="C22" s="2">
        <v>6000</v>
      </c>
      <c r="E22" s="2">
        <f t="shared" si="1"/>
        <v>0</v>
      </c>
    </row>
    <row r="23" spans="1:5" x14ac:dyDescent="0.25">
      <c r="A23">
        <v>20</v>
      </c>
      <c r="B23">
        <v>25</v>
      </c>
      <c r="C23" s="2">
        <v>7000</v>
      </c>
      <c r="E23" s="2">
        <f t="shared" si="1"/>
        <v>0</v>
      </c>
    </row>
    <row r="24" spans="1:5" x14ac:dyDescent="0.25">
      <c r="A24">
        <v>15</v>
      </c>
      <c r="B24">
        <v>20</v>
      </c>
      <c r="C24" s="2">
        <v>8000</v>
      </c>
      <c r="E24" s="2">
        <f t="shared" si="1"/>
        <v>0</v>
      </c>
    </row>
    <row r="25" spans="1:5" x14ac:dyDescent="0.25">
      <c r="A25">
        <v>0</v>
      </c>
      <c r="B25">
        <v>15</v>
      </c>
      <c r="C25" s="2">
        <v>9000</v>
      </c>
      <c r="E25" s="2">
        <f t="shared" si="1"/>
        <v>0</v>
      </c>
    </row>
    <row r="26" spans="1:5" x14ac:dyDescent="0.25">
      <c r="E26" s="3">
        <f>SUM(E19:E25)</f>
        <v>5500</v>
      </c>
    </row>
    <row r="27" spans="1:5" x14ac:dyDescent="0.25">
      <c r="E27" s="3"/>
    </row>
    <row r="28" spans="1:5" x14ac:dyDescent="0.25">
      <c r="E28" s="3"/>
    </row>
    <row r="29" spans="1:5" x14ac:dyDescent="0.25">
      <c r="A29" t="s">
        <v>49</v>
      </c>
      <c r="B29" s="4">
        <f>'Datos Base Servicio'!B26</f>
        <v>0.90700000000000003</v>
      </c>
    </row>
    <row r="31" spans="1:5" x14ac:dyDescent="0.25">
      <c r="A31" t="s">
        <v>19</v>
      </c>
      <c r="B31" t="s">
        <v>20</v>
      </c>
      <c r="C31" t="s">
        <v>1</v>
      </c>
      <c r="E31" t="s">
        <v>3</v>
      </c>
    </row>
    <row r="32" spans="1:5" x14ac:dyDescent="0.25">
      <c r="A32" s="8">
        <v>0.8</v>
      </c>
      <c r="B32" s="8">
        <v>0.85</v>
      </c>
      <c r="C32" s="2">
        <v>3500</v>
      </c>
      <c r="D32" s="2"/>
      <c r="E32" s="2">
        <f>IF(AND($B$29&gt;A32,$B$29&lt;=B32),C32,0)</f>
        <v>0</v>
      </c>
    </row>
    <row r="33" spans="1:5" x14ac:dyDescent="0.25">
      <c r="A33" s="8">
        <v>0.85</v>
      </c>
      <c r="B33" s="8">
        <v>0.9</v>
      </c>
      <c r="C33" s="2">
        <v>5500</v>
      </c>
      <c r="D33" s="2"/>
      <c r="E33" s="2">
        <f t="shared" ref="E33:E34" si="2">IF(AND($B$29&gt;A33,$B$29&lt;=B33),C33,0)</f>
        <v>0</v>
      </c>
    </row>
    <row r="34" spans="1:5" x14ac:dyDescent="0.25">
      <c r="A34" s="8">
        <v>0.9</v>
      </c>
      <c r="B34" s="8">
        <v>1</v>
      </c>
      <c r="C34" s="2">
        <v>6500</v>
      </c>
      <c r="D34" s="2"/>
      <c r="E34" s="2">
        <f t="shared" si="2"/>
        <v>6500</v>
      </c>
    </row>
    <row r="35" spans="1:5" x14ac:dyDescent="0.25">
      <c r="E35" s="3">
        <f>SUM(E32:E34)</f>
        <v>6500</v>
      </c>
    </row>
    <row r="36" spans="1:5" x14ac:dyDescent="0.25">
      <c r="E36" s="3"/>
    </row>
    <row r="38" spans="1:5" x14ac:dyDescent="0.25">
      <c r="D38" t="s">
        <v>3</v>
      </c>
      <c r="E38" s="1">
        <f>E35+E26+E12</f>
        <v>15000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opLeftCell="A4" workbookViewId="0">
      <selection activeCell="B16" sqref="B16"/>
    </sheetView>
  </sheetViews>
  <sheetFormatPr baseColWidth="10" defaultRowHeight="15" x14ac:dyDescent="0.25"/>
  <cols>
    <col min="1" max="1" width="16.85546875" customWidth="1"/>
    <col min="2" max="2" width="15.7109375" customWidth="1"/>
    <col min="3" max="3" width="16.7109375" customWidth="1"/>
  </cols>
  <sheetData>
    <row r="2" spans="1:5" x14ac:dyDescent="0.25">
      <c r="A2" t="s">
        <v>70</v>
      </c>
    </row>
    <row r="3" spans="1:5" x14ac:dyDescent="0.25">
      <c r="A3" t="s">
        <v>9</v>
      </c>
      <c r="B3" s="3">
        <f>'Datos Base Servicio'!B3</f>
        <v>5039374</v>
      </c>
      <c r="C3" s="1"/>
    </row>
    <row r="4" spans="1:5" x14ac:dyDescent="0.25">
      <c r="A4" t="s">
        <v>27</v>
      </c>
      <c r="B4" s="3">
        <f>'Datos Base Servicio'!B4</f>
        <v>3558999</v>
      </c>
      <c r="C4" s="1"/>
    </row>
    <row r="5" spans="1:5" x14ac:dyDescent="0.25">
      <c r="A5" t="s">
        <v>69</v>
      </c>
      <c r="B5" s="3">
        <f>'Datos Base Servicio'!B6</f>
        <v>0</v>
      </c>
    </row>
    <row r="6" spans="1:5" x14ac:dyDescent="0.25">
      <c r="B6" s="3">
        <f>B3-B4-B5</f>
        <v>1480375</v>
      </c>
    </row>
    <row r="8" spans="1:5" x14ac:dyDescent="0.25">
      <c r="A8" t="s">
        <v>19</v>
      </c>
      <c r="B8" t="s">
        <v>20</v>
      </c>
      <c r="C8" t="s">
        <v>1</v>
      </c>
      <c r="E8" t="s">
        <v>3</v>
      </c>
    </row>
    <row r="9" spans="1:5" x14ac:dyDescent="0.25">
      <c r="A9" s="2">
        <v>450000</v>
      </c>
      <c r="B9" s="2">
        <v>650000</v>
      </c>
      <c r="C9" s="2">
        <v>500</v>
      </c>
      <c r="E9" s="2">
        <f>IF(AND($B$6&gt;=A9,$B$6&lt;B9),C9,0)</f>
        <v>0</v>
      </c>
    </row>
    <row r="10" spans="1:5" x14ac:dyDescent="0.25">
      <c r="A10" s="2">
        <v>650000</v>
      </c>
      <c r="B10" s="2">
        <v>900000</v>
      </c>
      <c r="C10" s="2">
        <v>650</v>
      </c>
      <c r="E10" s="2">
        <f t="shared" ref="E10:E11" si="0">IF(AND($B$6&gt;=A10,$B$6&lt;B10),C10,0)</f>
        <v>0</v>
      </c>
    </row>
    <row r="11" spans="1:5" x14ac:dyDescent="0.25">
      <c r="A11" s="2">
        <v>900000</v>
      </c>
      <c r="B11" s="2">
        <v>10000000</v>
      </c>
      <c r="C11" s="2">
        <v>750</v>
      </c>
      <c r="E11" s="2">
        <f t="shared" si="0"/>
        <v>750</v>
      </c>
    </row>
    <row r="12" spans="1:5" x14ac:dyDescent="0.25">
      <c r="E12" s="3">
        <f>SUM(E9:E11)</f>
        <v>750</v>
      </c>
    </row>
    <row r="13" spans="1:5" x14ac:dyDescent="0.25">
      <c r="A13" t="s">
        <v>34</v>
      </c>
    </row>
    <row r="14" spans="1:5" x14ac:dyDescent="0.25">
      <c r="A14" t="s">
        <v>35</v>
      </c>
      <c r="B14" s="3">
        <f>'Datos Base Servicio'!B14</f>
        <v>2375003</v>
      </c>
    </row>
    <row r="15" spans="1:5" x14ac:dyDescent="0.25">
      <c r="A15" t="s">
        <v>27</v>
      </c>
      <c r="B15" s="3">
        <f>'Datos Base Servicio'!B16</f>
        <v>2188401</v>
      </c>
      <c r="C15" s="1"/>
    </row>
    <row r="16" spans="1:5" x14ac:dyDescent="0.25">
      <c r="A16" t="s">
        <v>8</v>
      </c>
      <c r="B16">
        <f>B14/B15*30</f>
        <v>32.558059514686747</v>
      </c>
    </row>
    <row r="18" spans="1:7" x14ac:dyDescent="0.25">
      <c r="A18" t="s">
        <v>19</v>
      </c>
      <c r="B18" t="s">
        <v>20</v>
      </c>
      <c r="C18" t="s">
        <v>1</v>
      </c>
      <c r="E18" t="s">
        <v>3</v>
      </c>
    </row>
    <row r="19" spans="1:7" x14ac:dyDescent="0.25">
      <c r="A19">
        <v>40</v>
      </c>
      <c r="B19">
        <v>45</v>
      </c>
      <c r="C19" s="2">
        <v>1000</v>
      </c>
      <c r="E19" s="2">
        <f t="shared" ref="E19:E25" si="1">IF(AND($B$16&gt;=A19,$B$16&lt;B19),C19,0)</f>
        <v>0</v>
      </c>
      <c r="G19" s="3"/>
    </row>
    <row r="20" spans="1:7" x14ac:dyDescent="0.25">
      <c r="A20">
        <v>35</v>
      </c>
      <c r="B20">
        <v>40</v>
      </c>
      <c r="C20" s="2">
        <v>1250</v>
      </c>
      <c r="E20" s="2">
        <f t="shared" si="1"/>
        <v>0</v>
      </c>
      <c r="G20" s="3"/>
    </row>
    <row r="21" spans="1:7" x14ac:dyDescent="0.25">
      <c r="A21">
        <v>30</v>
      </c>
      <c r="B21">
        <v>35</v>
      </c>
      <c r="C21" s="2">
        <v>1500</v>
      </c>
      <c r="E21" s="2">
        <f t="shared" si="1"/>
        <v>1500</v>
      </c>
      <c r="G21" s="3"/>
    </row>
    <row r="22" spans="1:7" x14ac:dyDescent="0.25">
      <c r="A22">
        <v>25</v>
      </c>
      <c r="B22">
        <v>30</v>
      </c>
      <c r="C22" s="2">
        <v>1750</v>
      </c>
      <c r="E22" s="2">
        <f t="shared" si="1"/>
        <v>0</v>
      </c>
      <c r="G22" s="3"/>
    </row>
    <row r="23" spans="1:7" x14ac:dyDescent="0.25">
      <c r="A23">
        <v>20</v>
      </c>
      <c r="B23">
        <v>25</v>
      </c>
      <c r="C23" s="2">
        <v>2000</v>
      </c>
      <c r="E23" s="2">
        <f t="shared" si="1"/>
        <v>0</v>
      </c>
      <c r="G23" s="3"/>
    </row>
    <row r="24" spans="1:7" x14ac:dyDescent="0.25">
      <c r="A24">
        <v>15</v>
      </c>
      <c r="B24">
        <v>20</v>
      </c>
      <c r="C24" s="2">
        <v>2250</v>
      </c>
      <c r="E24" s="2">
        <f t="shared" si="1"/>
        <v>0</v>
      </c>
      <c r="G24" s="3"/>
    </row>
    <row r="25" spans="1:7" x14ac:dyDescent="0.25">
      <c r="A25">
        <v>0</v>
      </c>
      <c r="B25">
        <v>15</v>
      </c>
      <c r="C25" s="2">
        <v>2500</v>
      </c>
      <c r="E25" s="2">
        <f t="shared" si="1"/>
        <v>0</v>
      </c>
      <c r="G25" s="3"/>
    </row>
    <row r="26" spans="1:7" x14ac:dyDescent="0.25">
      <c r="E26" s="3">
        <f>SUM(E19:E25)</f>
        <v>1500</v>
      </c>
    </row>
    <row r="27" spans="1:7" x14ac:dyDescent="0.25">
      <c r="E27" s="3"/>
    </row>
    <row r="28" spans="1:7" x14ac:dyDescent="0.25">
      <c r="E28" s="3"/>
    </row>
    <row r="29" spans="1:7" x14ac:dyDescent="0.25">
      <c r="A29" t="s">
        <v>49</v>
      </c>
      <c r="B29" s="4">
        <f>'Datos Base Servicio'!B26</f>
        <v>0.90700000000000003</v>
      </c>
    </row>
    <row r="31" spans="1:7" x14ac:dyDescent="0.25">
      <c r="A31" t="s">
        <v>19</v>
      </c>
      <c r="B31" t="s">
        <v>20</v>
      </c>
      <c r="C31" t="s">
        <v>1</v>
      </c>
      <c r="E31" t="s">
        <v>3</v>
      </c>
    </row>
    <row r="32" spans="1:7" x14ac:dyDescent="0.25">
      <c r="A32" s="8">
        <v>0.8</v>
      </c>
      <c r="B32" s="8">
        <v>0.85</v>
      </c>
      <c r="C32" s="2">
        <v>500</v>
      </c>
      <c r="D32" s="2"/>
      <c r="E32" s="2">
        <f>IF(AND($B$29&gt;A32,$B$29&lt;=B32),C32,0)</f>
        <v>0</v>
      </c>
    </row>
    <row r="33" spans="1:5" x14ac:dyDescent="0.25">
      <c r="A33" s="8">
        <v>0.85</v>
      </c>
      <c r="B33" s="8">
        <v>0.9</v>
      </c>
      <c r="C33" s="2">
        <v>850</v>
      </c>
      <c r="D33" s="2"/>
      <c r="E33" s="2">
        <f t="shared" ref="E33:E34" si="2">IF(AND($B$29&gt;A33,$B$29&lt;=B33),C33,0)</f>
        <v>0</v>
      </c>
    </row>
    <row r="34" spans="1:5" x14ac:dyDescent="0.25">
      <c r="A34" s="8">
        <v>0.9</v>
      </c>
      <c r="B34" s="8">
        <v>1</v>
      </c>
      <c r="C34" s="2">
        <v>1000</v>
      </c>
      <c r="D34" s="2"/>
      <c r="E34" s="2">
        <f t="shared" si="2"/>
        <v>1000</v>
      </c>
    </row>
    <row r="35" spans="1:5" x14ac:dyDescent="0.25">
      <c r="E35" s="3">
        <f>SUM(E32:E34)</f>
        <v>1000</v>
      </c>
    </row>
    <row r="36" spans="1:5" x14ac:dyDescent="0.25">
      <c r="E36" s="3"/>
    </row>
    <row r="38" spans="1:5" x14ac:dyDescent="0.25">
      <c r="D38" t="s">
        <v>3</v>
      </c>
      <c r="E38" s="1">
        <f>E35+E26+E12</f>
        <v>3250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A7" sqref="A7"/>
    </sheetView>
  </sheetViews>
  <sheetFormatPr baseColWidth="10" defaultRowHeight="15" x14ac:dyDescent="0.25"/>
  <cols>
    <col min="1" max="5" width="12.5703125" customWidth="1"/>
  </cols>
  <sheetData>
    <row r="1" spans="1:5" x14ac:dyDescent="0.25">
      <c r="A1" t="s">
        <v>50</v>
      </c>
    </row>
    <row r="3" spans="1:5" x14ac:dyDescent="0.25">
      <c r="A3" t="s">
        <v>46</v>
      </c>
      <c r="C3">
        <f>'Datos Base Servicio'!B24</f>
        <v>324</v>
      </c>
    </row>
    <row r="5" spans="1:5" x14ac:dyDescent="0.25">
      <c r="A5" t="s">
        <v>19</v>
      </c>
      <c r="B5" t="s">
        <v>20</v>
      </c>
      <c r="C5" t="s">
        <v>1</v>
      </c>
      <c r="E5" t="s">
        <v>3</v>
      </c>
    </row>
    <row r="6" spans="1:5" x14ac:dyDescent="0.25">
      <c r="A6">
        <v>250</v>
      </c>
      <c r="B6">
        <v>400</v>
      </c>
      <c r="C6" s="2">
        <v>1000</v>
      </c>
      <c r="D6" s="2"/>
      <c r="E6" s="2">
        <f>IF(AND($C$3&gt;A6,$C$3&lt;=B6),C6,0)</f>
        <v>1000</v>
      </c>
    </row>
    <row r="7" spans="1:5" x14ac:dyDescent="0.25">
      <c r="A7">
        <v>400</v>
      </c>
      <c r="B7">
        <v>600</v>
      </c>
      <c r="C7" s="2">
        <v>2500</v>
      </c>
      <c r="D7" s="2"/>
      <c r="E7" s="2">
        <f t="shared" ref="E7:E10" si="0">IF(AND($C$3&gt;A7,$C$3&lt;=B7),C7,0)</f>
        <v>0</v>
      </c>
    </row>
    <row r="8" spans="1:5" x14ac:dyDescent="0.25">
      <c r="A8">
        <v>600</v>
      </c>
      <c r="B8">
        <v>800</v>
      </c>
      <c r="C8" s="2">
        <v>5000</v>
      </c>
      <c r="D8" s="2"/>
      <c r="E8" s="2">
        <f t="shared" si="0"/>
        <v>0</v>
      </c>
    </row>
    <row r="9" spans="1:5" x14ac:dyDescent="0.25">
      <c r="A9">
        <v>800</v>
      </c>
      <c r="B9" s="1">
        <v>1000</v>
      </c>
      <c r="C9" s="2">
        <v>6000</v>
      </c>
      <c r="D9" s="2"/>
      <c r="E9" s="2">
        <f t="shared" si="0"/>
        <v>0</v>
      </c>
    </row>
    <row r="10" spans="1:5" x14ac:dyDescent="0.25">
      <c r="A10" s="1">
        <v>1000</v>
      </c>
      <c r="B10" s="1">
        <v>100000</v>
      </c>
      <c r="C10" s="2">
        <v>7500</v>
      </c>
      <c r="D10" s="2"/>
      <c r="E10" s="2">
        <f t="shared" si="0"/>
        <v>0</v>
      </c>
    </row>
    <row r="11" spans="1:5" x14ac:dyDescent="0.25">
      <c r="E11" s="3">
        <f>SUM(E6:E10)</f>
        <v>1000</v>
      </c>
    </row>
    <row r="12" spans="1:5" x14ac:dyDescent="0.25">
      <c r="A12" t="s">
        <v>48</v>
      </c>
      <c r="C12" s="4">
        <f>'Datos Base Servicio'!B25</f>
        <v>0.47199999999999998</v>
      </c>
    </row>
    <row r="14" spans="1:5" x14ac:dyDescent="0.25">
      <c r="A14" t="s">
        <v>19</v>
      </c>
      <c r="B14" t="s">
        <v>20</v>
      </c>
      <c r="C14" t="s">
        <v>1</v>
      </c>
      <c r="E14" t="s">
        <v>3</v>
      </c>
    </row>
    <row r="15" spans="1:5" x14ac:dyDescent="0.25">
      <c r="A15" s="8">
        <v>0.35</v>
      </c>
      <c r="B15" s="8">
        <v>0.4</v>
      </c>
      <c r="C15" s="2">
        <v>1000</v>
      </c>
      <c r="D15" s="2"/>
      <c r="E15" s="2">
        <f>IF(AND($C$12&gt;A15,$C$12&lt;=B15),C15,0)</f>
        <v>0</v>
      </c>
    </row>
    <row r="16" spans="1:5" x14ac:dyDescent="0.25">
      <c r="A16" s="8">
        <v>0.4</v>
      </c>
      <c r="B16" s="8">
        <v>0.43</v>
      </c>
      <c r="C16" s="2">
        <v>2000</v>
      </c>
      <c r="D16" s="2"/>
      <c r="E16" s="2">
        <f t="shared" ref="E16:E20" si="1">IF(AND($C$12&gt;A16,$C$12&lt;=B16),C16,0)</f>
        <v>0</v>
      </c>
    </row>
    <row r="17" spans="1:5" x14ac:dyDescent="0.25">
      <c r="A17" s="8">
        <v>0.43</v>
      </c>
      <c r="B17" s="8">
        <v>0.45</v>
      </c>
      <c r="C17" s="2">
        <v>3000</v>
      </c>
      <c r="D17" s="2"/>
      <c r="E17" s="2">
        <f t="shared" si="1"/>
        <v>0</v>
      </c>
    </row>
    <row r="18" spans="1:5" x14ac:dyDescent="0.25">
      <c r="A18" s="8">
        <v>0.45</v>
      </c>
      <c r="B18" s="8">
        <v>0.47</v>
      </c>
      <c r="C18" s="2">
        <v>4000</v>
      </c>
      <c r="D18" s="2"/>
      <c r="E18" s="2">
        <f t="shared" si="1"/>
        <v>0</v>
      </c>
    </row>
    <row r="19" spans="1:5" x14ac:dyDescent="0.25">
      <c r="A19" s="8">
        <v>0.48</v>
      </c>
      <c r="B19" s="8">
        <v>0.49</v>
      </c>
      <c r="C19" s="2">
        <v>5000</v>
      </c>
      <c r="D19" s="2"/>
      <c r="E19" s="2">
        <f t="shared" si="1"/>
        <v>0</v>
      </c>
    </row>
    <row r="20" spans="1:5" x14ac:dyDescent="0.25">
      <c r="A20" s="8">
        <v>0.5</v>
      </c>
      <c r="B20" s="8">
        <v>1</v>
      </c>
      <c r="C20" s="2">
        <v>6000</v>
      </c>
      <c r="D20" s="2"/>
      <c r="E20" s="2">
        <f t="shared" si="1"/>
        <v>0</v>
      </c>
    </row>
    <row r="21" spans="1:5" x14ac:dyDescent="0.25">
      <c r="E21" s="3">
        <f>SUM(E15:E20)</f>
        <v>0</v>
      </c>
    </row>
    <row r="23" spans="1:5" x14ac:dyDescent="0.25">
      <c r="A23" t="s">
        <v>49</v>
      </c>
      <c r="B23" s="4">
        <f>'Datos Base Servicio'!B26</f>
        <v>0.90700000000000003</v>
      </c>
    </row>
    <row r="25" spans="1:5" x14ac:dyDescent="0.25">
      <c r="A25" t="s">
        <v>19</v>
      </c>
      <c r="B25" t="s">
        <v>20</v>
      </c>
      <c r="C25" t="s">
        <v>1</v>
      </c>
      <c r="E25" t="s">
        <v>3</v>
      </c>
    </row>
    <row r="26" spans="1:5" x14ac:dyDescent="0.25">
      <c r="A26" s="8">
        <v>0.8</v>
      </c>
      <c r="B26" s="8">
        <v>0.85</v>
      </c>
      <c r="C26" s="2">
        <v>1250</v>
      </c>
      <c r="D26" s="2"/>
      <c r="E26" s="2">
        <f>IF(AND($B$23&gt;A26,$B$23&lt;=B26),C26,0)</f>
        <v>0</v>
      </c>
    </row>
    <row r="27" spans="1:5" x14ac:dyDescent="0.25">
      <c r="A27" s="8">
        <v>0.85</v>
      </c>
      <c r="B27" s="8">
        <v>0.9</v>
      </c>
      <c r="C27" s="2">
        <v>2250</v>
      </c>
      <c r="D27" s="2"/>
      <c r="E27" s="2">
        <f t="shared" ref="E27:E28" si="2">IF(AND($B$23&gt;A27,$B$23&lt;=B27),C27,0)</f>
        <v>0</v>
      </c>
    </row>
    <row r="28" spans="1:5" x14ac:dyDescent="0.25">
      <c r="A28" s="8">
        <v>0.9</v>
      </c>
      <c r="B28" s="8">
        <v>1</v>
      </c>
      <c r="C28" s="2">
        <v>3000</v>
      </c>
      <c r="D28" s="2"/>
      <c r="E28" s="2">
        <f t="shared" si="2"/>
        <v>3000</v>
      </c>
    </row>
    <row r="29" spans="1:5" x14ac:dyDescent="0.25">
      <c r="E29" s="3">
        <f>SUM(E26:E28)</f>
        <v>3000</v>
      </c>
    </row>
    <row r="31" spans="1:5" x14ac:dyDescent="0.25">
      <c r="D31" t="s">
        <v>16</v>
      </c>
      <c r="E31" s="3">
        <f>E29+E21+E11</f>
        <v>4000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19" sqref="C19"/>
    </sheetView>
  </sheetViews>
  <sheetFormatPr baseColWidth="10" defaultRowHeight="15" x14ac:dyDescent="0.25"/>
  <cols>
    <col min="1" max="5" width="12.42578125" customWidth="1"/>
  </cols>
  <sheetData>
    <row r="1" spans="1:5" x14ac:dyDescent="0.25">
      <c r="A1" t="s">
        <v>63</v>
      </c>
    </row>
    <row r="4" spans="1:5" x14ac:dyDescent="0.25">
      <c r="A4" t="s">
        <v>62</v>
      </c>
      <c r="C4">
        <f>'Datos Base de Ventas'!B7</f>
        <v>142</v>
      </c>
    </row>
    <row r="6" spans="1:5" x14ac:dyDescent="0.25">
      <c r="A6" t="s">
        <v>19</v>
      </c>
      <c r="B6" t="s">
        <v>20</v>
      </c>
      <c r="C6" t="s">
        <v>1</v>
      </c>
      <c r="D6" t="s">
        <v>2</v>
      </c>
      <c r="E6" t="s">
        <v>3</v>
      </c>
    </row>
    <row r="7" spans="1:5" x14ac:dyDescent="0.25">
      <c r="A7">
        <v>1</v>
      </c>
      <c r="B7">
        <v>80</v>
      </c>
      <c r="C7" s="2">
        <v>14</v>
      </c>
      <c r="D7">
        <f>IF(AND($C$4&gt;=A7,$C$4&lt;B7),$C$4,0)</f>
        <v>0</v>
      </c>
      <c r="E7" s="2">
        <f>D7*C7</f>
        <v>0</v>
      </c>
    </row>
    <row r="8" spans="1:5" x14ac:dyDescent="0.25">
      <c r="A8">
        <v>80</v>
      </c>
      <c r="B8">
        <v>120</v>
      </c>
      <c r="C8" s="2">
        <v>15</v>
      </c>
      <c r="D8">
        <f t="shared" ref="D8:D11" si="0">IF(AND($C$4&gt;=A8,$C$4&lt;B8),$C$4,0)</f>
        <v>0</v>
      </c>
      <c r="E8" s="2">
        <f t="shared" ref="E8:E11" si="1">D8*C8</f>
        <v>0</v>
      </c>
    </row>
    <row r="9" spans="1:5" x14ac:dyDescent="0.25">
      <c r="A9">
        <v>120</v>
      </c>
      <c r="B9">
        <v>130</v>
      </c>
      <c r="C9" s="2">
        <v>16</v>
      </c>
      <c r="D9">
        <f t="shared" si="0"/>
        <v>0</v>
      </c>
      <c r="E9" s="2">
        <f t="shared" si="1"/>
        <v>0</v>
      </c>
    </row>
    <row r="10" spans="1:5" x14ac:dyDescent="0.25">
      <c r="A10">
        <v>130</v>
      </c>
      <c r="B10">
        <v>150</v>
      </c>
      <c r="C10" s="2">
        <v>18</v>
      </c>
      <c r="D10">
        <f t="shared" si="0"/>
        <v>142</v>
      </c>
      <c r="E10" s="2">
        <f t="shared" si="1"/>
        <v>2556</v>
      </c>
    </row>
    <row r="11" spans="1:5" x14ac:dyDescent="0.25">
      <c r="A11">
        <v>150</v>
      </c>
      <c r="B11" s="1">
        <v>1000</v>
      </c>
      <c r="C11" s="2">
        <v>20</v>
      </c>
      <c r="D11">
        <f t="shared" si="0"/>
        <v>0</v>
      </c>
      <c r="E11" s="2">
        <f t="shared" si="1"/>
        <v>0</v>
      </c>
    </row>
    <row r="12" spans="1:5" x14ac:dyDescent="0.25">
      <c r="E12" s="3">
        <f>SUM(E7:E11)</f>
        <v>2556</v>
      </c>
    </row>
    <row r="13" spans="1:5" x14ac:dyDescent="0.25">
      <c r="A13" t="s">
        <v>22</v>
      </c>
      <c r="B13" s="4">
        <f>'Datos Base de Ventas'!B3</f>
        <v>0.91900000000000004</v>
      </c>
    </row>
    <row r="15" spans="1:5" x14ac:dyDescent="0.25">
      <c r="A15" t="s">
        <v>19</v>
      </c>
      <c r="B15" t="s">
        <v>20</v>
      </c>
      <c r="C15" t="s">
        <v>3</v>
      </c>
      <c r="E15" t="s">
        <v>3</v>
      </c>
    </row>
    <row r="16" spans="1:5" x14ac:dyDescent="0.25">
      <c r="A16" s="5">
        <v>0.8</v>
      </c>
      <c r="B16" s="5">
        <v>0.85</v>
      </c>
      <c r="C16" s="2">
        <v>750</v>
      </c>
      <c r="E16" s="2">
        <f>IF(AND($B$13&gt;=A16,$B$13&lt;B16),C16,0)</f>
        <v>0</v>
      </c>
    </row>
    <row r="17" spans="1:5" x14ac:dyDescent="0.25">
      <c r="A17" s="5">
        <v>0.85</v>
      </c>
      <c r="B17" s="5">
        <v>0.9</v>
      </c>
      <c r="C17" s="2">
        <v>1500</v>
      </c>
      <c r="E17" s="2">
        <f>IF(AND($B$13&gt;=A17,$B$13&lt;B17),C17,0)</f>
        <v>0</v>
      </c>
    </row>
    <row r="18" spans="1:5" x14ac:dyDescent="0.25">
      <c r="A18" s="5">
        <v>0.9</v>
      </c>
      <c r="B18" s="5">
        <v>0.95</v>
      </c>
      <c r="C18" s="2">
        <v>2000</v>
      </c>
      <c r="E18" s="2">
        <f>IF(AND($B$13&gt;=A18,$B$13&lt;B18),C18,0)</f>
        <v>2000</v>
      </c>
    </row>
    <row r="19" spans="1:5" x14ac:dyDescent="0.25">
      <c r="A19" s="5">
        <v>0.95</v>
      </c>
      <c r="B19" s="4">
        <v>0.97499999999999998</v>
      </c>
      <c r="C19" s="2">
        <v>2000</v>
      </c>
      <c r="E19" s="2">
        <f>IF(AND($B$13&gt;=A19,$B$13&lt;B19),C19,0)</f>
        <v>0</v>
      </c>
    </row>
    <row r="20" spans="1:5" x14ac:dyDescent="0.25">
      <c r="E20" s="3">
        <f>SUM(E16:E19)</f>
        <v>2000</v>
      </c>
    </row>
    <row r="23" spans="1:5" x14ac:dyDescent="0.25">
      <c r="D23" t="s">
        <v>16</v>
      </c>
      <c r="E23" s="3">
        <f>E20+E12</f>
        <v>4556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10" sqref="C10"/>
    </sheetView>
  </sheetViews>
  <sheetFormatPr baseColWidth="10" defaultRowHeight="15" x14ac:dyDescent="0.25"/>
  <cols>
    <col min="1" max="5" width="12.5703125" customWidth="1"/>
  </cols>
  <sheetData>
    <row r="1" spans="1:5" x14ac:dyDescent="0.25">
      <c r="A1" t="s">
        <v>94</v>
      </c>
    </row>
    <row r="4" spans="1:5" x14ac:dyDescent="0.25">
      <c r="A4" t="s">
        <v>49</v>
      </c>
      <c r="B4" s="4">
        <f>'Datos Base Servicio'!B26</f>
        <v>0.90700000000000003</v>
      </c>
    </row>
    <row r="6" spans="1:5" x14ac:dyDescent="0.25">
      <c r="A6" t="s">
        <v>19</v>
      </c>
      <c r="B6" t="s">
        <v>20</v>
      </c>
      <c r="C6" t="s">
        <v>1</v>
      </c>
      <c r="E6" t="s">
        <v>3</v>
      </c>
    </row>
    <row r="7" spans="1:5" x14ac:dyDescent="0.25">
      <c r="A7" s="8">
        <v>0.8</v>
      </c>
      <c r="B7" s="8">
        <v>0.85</v>
      </c>
      <c r="C7" s="2">
        <v>2500</v>
      </c>
      <c r="D7" s="2"/>
      <c r="E7" s="2">
        <f>IF(AND($B$4&gt;A7,$B$4&lt;=B7),C7,0)</f>
        <v>0</v>
      </c>
    </row>
    <row r="8" spans="1:5" x14ac:dyDescent="0.25">
      <c r="A8" s="8">
        <v>0.85</v>
      </c>
      <c r="B8" s="8">
        <v>0.9</v>
      </c>
      <c r="C8" s="2">
        <v>3000</v>
      </c>
      <c r="D8" s="2"/>
      <c r="E8" s="2">
        <f t="shared" ref="E8:E9" si="0">IF(AND($B$4&gt;A8,$B$4&lt;=B8),C8,0)</f>
        <v>0</v>
      </c>
    </row>
    <row r="9" spans="1:5" x14ac:dyDescent="0.25">
      <c r="A9" s="8">
        <v>0.9</v>
      </c>
      <c r="B9" s="8">
        <v>1</v>
      </c>
      <c r="C9" s="2">
        <v>3500</v>
      </c>
      <c r="D9" s="2"/>
      <c r="E9" s="2">
        <f t="shared" si="0"/>
        <v>3500</v>
      </c>
    </row>
    <row r="10" spans="1:5" x14ac:dyDescent="0.25">
      <c r="E10" s="3">
        <f>SUM(E7:E9)</f>
        <v>3500</v>
      </c>
    </row>
    <row r="12" spans="1:5" x14ac:dyDescent="0.25">
      <c r="D12" t="s">
        <v>16</v>
      </c>
      <c r="E12" s="3">
        <f>E10</f>
        <v>3500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F33" activeCellId="1" sqref="A26:B29 F33"/>
    </sheetView>
  </sheetViews>
  <sheetFormatPr baseColWidth="10" defaultRowHeight="15" x14ac:dyDescent="0.25"/>
  <cols>
    <col min="1" max="1" width="14.42578125" customWidth="1"/>
    <col min="2" max="2" width="20" customWidth="1"/>
    <col min="3" max="5" width="14.42578125" customWidth="1"/>
  </cols>
  <sheetData>
    <row r="1" spans="1:5" x14ac:dyDescent="0.25">
      <c r="A1" t="s">
        <v>59</v>
      </c>
      <c r="C1" s="3">
        <f>'Datos Base de Ventas'!B5</f>
        <v>522131</v>
      </c>
    </row>
    <row r="3" spans="1:5" x14ac:dyDescent="0.25">
      <c r="A3" t="s">
        <v>19</v>
      </c>
      <c r="B3" t="s">
        <v>20</v>
      </c>
      <c r="C3" t="s">
        <v>1</v>
      </c>
      <c r="E3" t="s">
        <v>3</v>
      </c>
    </row>
    <row r="4" spans="1:5" x14ac:dyDescent="0.25">
      <c r="A4" s="2">
        <v>150000</v>
      </c>
      <c r="B4" s="2">
        <v>400000</v>
      </c>
      <c r="C4" s="15">
        <f>ROUND(C5/1.1,4)</f>
        <v>8.3000000000000001E-3</v>
      </c>
      <c r="D4" s="2"/>
      <c r="E4" s="2">
        <f>IF(AND($C$1&gt;=A4,$C$1&lt;B4),C4*$C$1,0)</f>
        <v>0</v>
      </c>
    </row>
    <row r="5" spans="1:5" x14ac:dyDescent="0.25">
      <c r="A5" s="2">
        <v>400000.01</v>
      </c>
      <c r="B5" s="2">
        <v>450000</v>
      </c>
      <c r="C5" s="15">
        <f t="shared" ref="C5:C6" si="0">ROUND(C6/1.1,4)</f>
        <v>9.1000000000000004E-3</v>
      </c>
      <c r="D5" s="2"/>
      <c r="E5" s="2">
        <f t="shared" ref="E5:E8" si="1">IF(AND($C$1&gt;=A5,$C$1&lt;B5),C5*$C$1,0)</f>
        <v>0</v>
      </c>
    </row>
    <row r="6" spans="1:5" x14ac:dyDescent="0.25">
      <c r="A6" s="2">
        <v>450000.01</v>
      </c>
      <c r="B6" s="2">
        <v>500000</v>
      </c>
      <c r="C6" s="15">
        <f t="shared" si="0"/>
        <v>0.01</v>
      </c>
      <c r="D6" s="2"/>
      <c r="E6" s="2">
        <f t="shared" si="1"/>
        <v>0</v>
      </c>
    </row>
    <row r="7" spans="1:5" x14ac:dyDescent="0.25">
      <c r="A7" s="2">
        <v>500000.01</v>
      </c>
      <c r="B7" s="2">
        <v>550000</v>
      </c>
      <c r="C7" s="15">
        <v>1.0999999999999999E-2</v>
      </c>
      <c r="D7" s="2"/>
      <c r="E7" s="2">
        <f t="shared" si="1"/>
        <v>5743.4409999999998</v>
      </c>
    </row>
    <row r="8" spans="1:5" x14ac:dyDescent="0.25">
      <c r="A8" s="2">
        <v>550000.01</v>
      </c>
      <c r="B8" s="2">
        <v>1000000</v>
      </c>
      <c r="C8" s="15">
        <f>ROUND(C7*1.1,4)</f>
        <v>1.21E-2</v>
      </c>
      <c r="D8" s="2"/>
      <c r="E8" s="2">
        <f t="shared" si="1"/>
        <v>0</v>
      </c>
    </row>
    <row r="9" spans="1:5" x14ac:dyDescent="0.25">
      <c r="E9" s="3">
        <f>SUM(E4:E8)</f>
        <v>5743.4409999999998</v>
      </c>
    </row>
    <row r="11" spans="1:5" x14ac:dyDescent="0.25">
      <c r="A11" t="s">
        <v>60</v>
      </c>
      <c r="B11" s="4">
        <f>'Datos Base de Ventas'!B3</f>
        <v>0.91900000000000004</v>
      </c>
    </row>
    <row r="13" spans="1:5" x14ac:dyDescent="0.25">
      <c r="A13" t="s">
        <v>19</v>
      </c>
      <c r="B13" t="s">
        <v>20</v>
      </c>
      <c r="C13" t="s">
        <v>1</v>
      </c>
      <c r="E13" t="s">
        <v>3</v>
      </c>
    </row>
    <row r="14" spans="1:5" x14ac:dyDescent="0.25">
      <c r="A14" s="8">
        <v>0.8</v>
      </c>
      <c r="B14" s="8">
        <v>0.85</v>
      </c>
      <c r="C14" s="15">
        <v>3.5000000000000001E-3</v>
      </c>
      <c r="E14" s="2">
        <f>IF(AND($B$11&gt;=A14,$B$11&lt;B14),C14*$C$1,0)</f>
        <v>0</v>
      </c>
    </row>
    <row r="15" spans="1:5" x14ac:dyDescent="0.25">
      <c r="A15" s="8">
        <v>0.85</v>
      </c>
      <c r="B15" s="8">
        <v>0.9</v>
      </c>
      <c r="C15" s="15">
        <v>5.0000000000000001E-3</v>
      </c>
      <c r="E15" s="2">
        <f t="shared" ref="E15:E16" si="2">IF(AND($B$11&gt;=A15,$B$11&lt;B15),C15*$C$1,0)</f>
        <v>0</v>
      </c>
    </row>
    <row r="16" spans="1:5" x14ac:dyDescent="0.25">
      <c r="A16" s="8">
        <v>0.9</v>
      </c>
      <c r="B16" s="8">
        <v>1</v>
      </c>
      <c r="C16" s="15">
        <v>6.0000000000000001E-3</v>
      </c>
      <c r="E16" s="2">
        <f t="shared" si="2"/>
        <v>3132.7860000000001</v>
      </c>
    </row>
    <row r="17" spans="1:5" x14ac:dyDescent="0.25">
      <c r="E17" s="3">
        <f>SUM(E14:E16)</f>
        <v>3132.7860000000001</v>
      </c>
    </row>
    <row r="19" spans="1:5" x14ac:dyDescent="0.25">
      <c r="A19" t="s">
        <v>165</v>
      </c>
      <c r="C19" s="1">
        <f>'Datos Base de Ventas'!B20</f>
        <v>62</v>
      </c>
      <c r="E19" s="1"/>
    </row>
    <row r="20" spans="1:5" x14ac:dyDescent="0.25">
      <c r="A20" t="s">
        <v>166</v>
      </c>
      <c r="C20" s="1">
        <f>'Datos Base de Ventas'!B21</f>
        <v>89</v>
      </c>
      <c r="E20" s="1"/>
    </row>
    <row r="21" spans="1:5" x14ac:dyDescent="0.25">
      <c r="A21" t="s">
        <v>164</v>
      </c>
      <c r="C21" s="8">
        <f>C20/C19</f>
        <v>1.435483870967742</v>
      </c>
      <c r="E21" s="1"/>
    </row>
    <row r="22" spans="1:5" x14ac:dyDescent="0.25">
      <c r="C22" s="1"/>
      <c r="E22" s="1"/>
    </row>
    <row r="25" spans="1:5" x14ac:dyDescent="0.25">
      <c r="A25" t="s">
        <v>19</v>
      </c>
      <c r="B25" t="s">
        <v>20</v>
      </c>
      <c r="C25" t="s">
        <v>1</v>
      </c>
      <c r="D25" t="s">
        <v>2</v>
      </c>
      <c r="E25" t="s">
        <v>3</v>
      </c>
    </row>
    <row r="26" spans="1:5" x14ac:dyDescent="0.25">
      <c r="A26" s="13">
        <v>0.95</v>
      </c>
      <c r="B26" s="13">
        <v>1</v>
      </c>
      <c r="C26" s="9">
        <v>5.0000000000000001E-3</v>
      </c>
      <c r="D26" s="2">
        <f>IF(AND($C$21&gt;=A26,$C$21&lt;B26),$C$1,0)</f>
        <v>0</v>
      </c>
      <c r="E26" s="2">
        <f>D26*C26</f>
        <v>0</v>
      </c>
    </row>
    <row r="27" spans="1:5" x14ac:dyDescent="0.25">
      <c r="A27" s="13">
        <f>B26</f>
        <v>1</v>
      </c>
      <c r="B27" s="8">
        <v>1.1000000000000001</v>
      </c>
      <c r="C27" s="9">
        <v>6.2500000000000003E-3</v>
      </c>
      <c r="D27" s="2">
        <f>IF(AND($C$21&gt;=A27,$C$21&lt;B27),$C$1,0)</f>
        <v>0</v>
      </c>
      <c r="E27" s="2">
        <f t="shared" ref="E27:E29" si="3">D27*C27</f>
        <v>0</v>
      </c>
    </row>
    <row r="28" spans="1:5" x14ac:dyDescent="0.25">
      <c r="A28" s="13">
        <v>1.1000000000000001</v>
      </c>
      <c r="B28" s="8">
        <v>1.2</v>
      </c>
      <c r="C28" s="9">
        <v>7.0000000000000001E-3</v>
      </c>
      <c r="D28" s="2">
        <f>IF(AND($C$21&gt;=A28,$C$21&lt;B28),$C$1,0)</f>
        <v>0</v>
      </c>
      <c r="E28" s="2">
        <f t="shared" si="3"/>
        <v>0</v>
      </c>
    </row>
    <row r="29" spans="1:5" x14ac:dyDescent="0.25">
      <c r="A29" s="13">
        <v>1.2</v>
      </c>
      <c r="B29" s="8">
        <v>1.5</v>
      </c>
      <c r="C29" s="9">
        <v>7.4999999999999997E-3</v>
      </c>
      <c r="D29" s="2">
        <f>IF(AND($C$21&gt;=A29,$C$21&lt;B29),$C$1,0)</f>
        <v>522131</v>
      </c>
      <c r="E29" s="2">
        <f t="shared" si="3"/>
        <v>3915.9825000000001</v>
      </c>
    </row>
    <row r="30" spans="1:5" x14ac:dyDescent="0.25">
      <c r="E30" s="3">
        <f>SUM(E26:E29)</f>
        <v>3915.9825000000001</v>
      </c>
    </row>
    <row r="32" spans="1:5" x14ac:dyDescent="0.25">
      <c r="D32" t="s">
        <v>16</v>
      </c>
      <c r="E32" s="1">
        <f>E30+E17+E9</f>
        <v>12792.209500000001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2" sqref="C12"/>
    </sheetView>
  </sheetViews>
  <sheetFormatPr baseColWidth="10" defaultRowHeight="15" x14ac:dyDescent="0.25"/>
  <cols>
    <col min="1" max="5" width="12.42578125" customWidth="1"/>
  </cols>
  <sheetData>
    <row r="1" spans="1:5" x14ac:dyDescent="0.25">
      <c r="A1" t="s">
        <v>52</v>
      </c>
    </row>
    <row r="4" spans="1:5" x14ac:dyDescent="0.25">
      <c r="A4" t="s">
        <v>21</v>
      </c>
      <c r="C4">
        <f>'Datos Base de Ventas'!B2</f>
        <v>152</v>
      </c>
    </row>
    <row r="6" spans="1:5" x14ac:dyDescent="0.25">
      <c r="A6" t="s">
        <v>19</v>
      </c>
      <c r="B6" t="s">
        <v>20</v>
      </c>
      <c r="C6" t="s">
        <v>1</v>
      </c>
      <c r="D6" t="s">
        <v>2</v>
      </c>
      <c r="E6" t="s">
        <v>3</v>
      </c>
    </row>
    <row r="7" spans="1:5" x14ac:dyDescent="0.25">
      <c r="A7">
        <v>1</v>
      </c>
      <c r="B7">
        <v>80</v>
      </c>
      <c r="C7" s="2">
        <v>20</v>
      </c>
      <c r="D7">
        <f>IF(AND($C$4&gt;=A7,$C$4&lt;B7),$C$4,0)</f>
        <v>0</v>
      </c>
      <c r="E7" s="2">
        <f>D7*C7</f>
        <v>0</v>
      </c>
    </row>
    <row r="8" spans="1:5" x14ac:dyDescent="0.25">
      <c r="A8">
        <v>80</v>
      </c>
      <c r="B8">
        <v>120</v>
      </c>
      <c r="C8" s="2">
        <v>25</v>
      </c>
      <c r="D8">
        <f t="shared" ref="D8:D11" si="0">IF(AND($C$4&gt;=A8,$C$4&lt;B8),$C$4,0)</f>
        <v>0</v>
      </c>
      <c r="E8" s="2">
        <f t="shared" ref="E8:E11" si="1">D8*C8</f>
        <v>0</v>
      </c>
    </row>
    <row r="9" spans="1:5" x14ac:dyDescent="0.25">
      <c r="A9">
        <v>120</v>
      </c>
      <c r="B9">
        <v>130</v>
      </c>
      <c r="C9" s="2">
        <v>30</v>
      </c>
      <c r="D9">
        <f t="shared" si="0"/>
        <v>0</v>
      </c>
      <c r="E9" s="2">
        <f t="shared" si="1"/>
        <v>0</v>
      </c>
    </row>
    <row r="10" spans="1:5" x14ac:dyDescent="0.25">
      <c r="A10">
        <v>130</v>
      </c>
      <c r="B10">
        <v>150</v>
      </c>
      <c r="C10" s="2">
        <v>35</v>
      </c>
      <c r="D10">
        <f t="shared" si="0"/>
        <v>0</v>
      </c>
      <c r="E10" s="2">
        <f t="shared" si="1"/>
        <v>0</v>
      </c>
    </row>
    <row r="11" spans="1:5" x14ac:dyDescent="0.25">
      <c r="A11">
        <v>150</v>
      </c>
      <c r="B11" s="1">
        <v>1000</v>
      </c>
      <c r="C11" s="2">
        <v>38</v>
      </c>
      <c r="D11">
        <f t="shared" si="0"/>
        <v>152</v>
      </c>
      <c r="E11" s="2">
        <f t="shared" si="1"/>
        <v>5776</v>
      </c>
    </row>
    <row r="12" spans="1:5" x14ac:dyDescent="0.25">
      <c r="E12" s="3">
        <f>SUM(E7:E11)</f>
        <v>5776</v>
      </c>
    </row>
    <row r="13" spans="1:5" x14ac:dyDescent="0.25">
      <c r="A13" t="s">
        <v>22</v>
      </c>
      <c r="B13" s="4">
        <f>'Datos Base de Ventas'!B3</f>
        <v>0.91900000000000004</v>
      </c>
    </row>
    <row r="15" spans="1:5" x14ac:dyDescent="0.25">
      <c r="A15" t="s">
        <v>19</v>
      </c>
      <c r="B15" t="s">
        <v>20</v>
      </c>
      <c r="C15" t="s">
        <v>3</v>
      </c>
      <c r="E15" t="s">
        <v>3</v>
      </c>
    </row>
    <row r="16" spans="1:5" x14ac:dyDescent="0.25">
      <c r="A16" s="5">
        <v>0.8</v>
      </c>
      <c r="B16" s="5">
        <v>0.85</v>
      </c>
      <c r="C16" s="2">
        <v>1000</v>
      </c>
      <c r="E16" s="2">
        <f>IF(AND($B$13&gt;=A16,$B$13&lt;B16),C16,0)</f>
        <v>0</v>
      </c>
    </row>
    <row r="17" spans="1:5" x14ac:dyDescent="0.25">
      <c r="A17" s="5">
        <v>0.85</v>
      </c>
      <c r="B17" s="5">
        <v>0.9</v>
      </c>
      <c r="C17" s="2">
        <v>2000</v>
      </c>
      <c r="E17" s="2">
        <f>IF(AND($B$13&gt;=A17,$B$13&lt;B17),C17,0)</f>
        <v>0</v>
      </c>
    </row>
    <row r="18" spans="1:5" x14ac:dyDescent="0.25">
      <c r="A18" s="5">
        <v>0.9</v>
      </c>
      <c r="B18" s="5">
        <v>0.95</v>
      </c>
      <c r="C18" s="2">
        <v>3000</v>
      </c>
      <c r="E18" s="2">
        <f>IF(AND($B$13&gt;=A18,$B$13&lt;B18),C18,0)</f>
        <v>3000</v>
      </c>
    </row>
    <row r="19" spans="1:5" x14ac:dyDescent="0.25">
      <c r="A19" s="5">
        <v>0.95</v>
      </c>
      <c r="B19" s="4">
        <v>0.97499999999999998</v>
      </c>
      <c r="C19" s="2">
        <v>4000</v>
      </c>
      <c r="E19" s="2">
        <f>IF(AND($B$13&gt;=A19,$B$13&lt;B19),C19,0)</f>
        <v>0</v>
      </c>
    </row>
    <row r="20" spans="1:5" x14ac:dyDescent="0.25">
      <c r="A20" s="4">
        <v>0.97499999999999998</v>
      </c>
      <c r="B20" s="5">
        <v>1</v>
      </c>
      <c r="C20" s="2">
        <v>5000</v>
      </c>
      <c r="E20" s="2">
        <f>IF(AND($B$13&gt;=A20,$B$13&lt;B20),C20,0)</f>
        <v>0</v>
      </c>
    </row>
    <row r="21" spans="1:5" x14ac:dyDescent="0.25">
      <c r="E21" s="3">
        <f>SUM(E16:E20)</f>
        <v>3000</v>
      </c>
    </row>
    <row r="24" spans="1:5" x14ac:dyDescent="0.25">
      <c r="D24" t="s">
        <v>16</v>
      </c>
      <c r="E24" s="3">
        <f>E21+E12</f>
        <v>8776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26" sqref="B26"/>
    </sheetView>
  </sheetViews>
  <sheetFormatPr baseColWidth="10" defaultRowHeight="15" x14ac:dyDescent="0.25"/>
  <cols>
    <col min="1" max="1" width="14.85546875" customWidth="1"/>
    <col min="2" max="2" width="14.140625" bestFit="1" customWidth="1"/>
    <col min="3" max="3" width="12.140625" customWidth="1"/>
    <col min="4" max="4" width="13.28515625" customWidth="1"/>
  </cols>
  <sheetData>
    <row r="1" spans="1:5" x14ac:dyDescent="0.25">
      <c r="A1" t="s">
        <v>42</v>
      </c>
    </row>
    <row r="3" spans="1:5" x14ac:dyDescent="0.25">
      <c r="A3" t="s">
        <v>43</v>
      </c>
    </row>
    <row r="4" spans="1:5" x14ac:dyDescent="0.25">
      <c r="A4" t="s">
        <v>9</v>
      </c>
      <c r="B4" s="1">
        <f>'Datos Base Servicio'!B19</f>
        <v>2047703</v>
      </c>
    </row>
    <row r="5" spans="1:5" x14ac:dyDescent="0.25">
      <c r="A5" t="s">
        <v>27</v>
      </c>
      <c r="B5" s="1">
        <f>'Datos Base Servicio'!B20</f>
        <v>1073934</v>
      </c>
    </row>
    <row r="6" spans="1:5" x14ac:dyDescent="0.25">
      <c r="B6" s="1">
        <f>B4-B5</f>
        <v>973769</v>
      </c>
    </row>
    <row r="8" spans="1:5" x14ac:dyDescent="0.25">
      <c r="A8" t="s">
        <v>19</v>
      </c>
      <c r="B8" t="s">
        <v>20</v>
      </c>
      <c r="C8" t="s">
        <v>1</v>
      </c>
      <c r="D8" t="s">
        <v>2</v>
      </c>
      <c r="E8" t="s">
        <v>3</v>
      </c>
    </row>
    <row r="9" spans="1:5" x14ac:dyDescent="0.25">
      <c r="A9" s="2">
        <v>350000</v>
      </c>
      <c r="B9" s="2">
        <v>400000</v>
      </c>
      <c r="C9" s="6">
        <v>2.15E-3</v>
      </c>
      <c r="D9" s="2">
        <f>IF(AND($B$6&gt;=A9,$B$6&lt;B9),$B$6,0)</f>
        <v>0</v>
      </c>
      <c r="E9" s="2">
        <f>C9*D9</f>
        <v>0</v>
      </c>
    </row>
    <row r="10" spans="1:5" x14ac:dyDescent="0.25">
      <c r="A10" s="2">
        <v>400000</v>
      </c>
      <c r="B10" s="2">
        <v>500000</v>
      </c>
      <c r="C10" s="6">
        <v>2.5000000000000001E-3</v>
      </c>
      <c r="D10" s="2">
        <f>IF(AND($B$6&gt;=A10,$B$6&lt;B10),$B$6,0)</f>
        <v>0</v>
      </c>
      <c r="E10" s="2">
        <f t="shared" ref="E10:E13" si="0">C10*D10</f>
        <v>0</v>
      </c>
    </row>
    <row r="11" spans="1:5" x14ac:dyDescent="0.25">
      <c r="A11" s="2">
        <v>500000</v>
      </c>
      <c r="B11" s="2">
        <v>600000</v>
      </c>
      <c r="C11" s="6">
        <v>2.5999999999999999E-3</v>
      </c>
      <c r="D11" s="2">
        <f t="shared" ref="D11:D13" si="1">IF(AND($B$6&gt;=A11,$B$6&lt;B11),$B$6,0)</f>
        <v>0</v>
      </c>
      <c r="E11" s="2">
        <f t="shared" si="0"/>
        <v>0</v>
      </c>
    </row>
    <row r="12" spans="1:5" x14ac:dyDescent="0.25">
      <c r="A12" s="2">
        <v>600000</v>
      </c>
      <c r="B12" s="2">
        <v>700000</v>
      </c>
      <c r="C12" s="6">
        <v>2.7000000000000001E-3</v>
      </c>
      <c r="D12" s="2">
        <f t="shared" si="1"/>
        <v>0</v>
      </c>
      <c r="E12" s="2">
        <f t="shared" si="0"/>
        <v>0</v>
      </c>
    </row>
    <row r="13" spans="1:5" x14ac:dyDescent="0.25">
      <c r="A13" s="2">
        <v>700000</v>
      </c>
      <c r="B13" s="2">
        <v>1000000</v>
      </c>
      <c r="C13" s="6">
        <v>2.8500000000000001E-3</v>
      </c>
      <c r="D13" s="2">
        <f t="shared" si="1"/>
        <v>973769</v>
      </c>
      <c r="E13" s="2">
        <f t="shared" si="0"/>
        <v>2775.2416499999999</v>
      </c>
    </row>
    <row r="14" spans="1:5" x14ac:dyDescent="0.25">
      <c r="A14" t="s">
        <v>10</v>
      </c>
      <c r="E14" s="3">
        <f>SUM(E9:E13)</f>
        <v>2775.2416499999999</v>
      </c>
    </row>
    <row r="16" spans="1:5" x14ac:dyDescent="0.25">
      <c r="A16" t="s">
        <v>44</v>
      </c>
      <c r="D16">
        <f>'Datos Base Servicio'!B22</f>
        <v>7.51</v>
      </c>
    </row>
    <row r="18" spans="1:5" x14ac:dyDescent="0.25">
      <c r="A18" t="s">
        <v>19</v>
      </c>
      <c r="B18" t="s">
        <v>20</v>
      </c>
      <c r="C18" t="s">
        <v>1</v>
      </c>
      <c r="E18" t="s">
        <v>3</v>
      </c>
    </row>
    <row r="19" spans="1:5" x14ac:dyDescent="0.25">
      <c r="A19">
        <v>7</v>
      </c>
      <c r="B19">
        <v>8</v>
      </c>
      <c r="C19" s="2">
        <v>500</v>
      </c>
      <c r="E19" s="2">
        <f>IF(AND($D$16&gt;A19,$D$16&lt;=B19),C19,0)</f>
        <v>500</v>
      </c>
    </row>
    <row r="20" spans="1:5" x14ac:dyDescent="0.25">
      <c r="A20">
        <v>3</v>
      </c>
      <c r="B20">
        <v>5</v>
      </c>
      <c r="C20" s="2">
        <v>750</v>
      </c>
      <c r="E20" s="2">
        <f t="shared" ref="E20:E21" si="2">IF(AND($D$16&gt;A20,$D$16&lt;=B20),C20,0)</f>
        <v>0</v>
      </c>
    </row>
    <row r="21" spans="1:5" x14ac:dyDescent="0.25">
      <c r="A21">
        <v>0</v>
      </c>
      <c r="B21">
        <v>3</v>
      </c>
      <c r="C21" s="2">
        <v>1000</v>
      </c>
      <c r="E21" s="2">
        <f t="shared" si="2"/>
        <v>0</v>
      </c>
    </row>
    <row r="22" spans="1:5" x14ac:dyDescent="0.25">
      <c r="E22" s="3">
        <f>SUM(E19:E21)</f>
        <v>500</v>
      </c>
    </row>
    <row r="24" spans="1:5" x14ac:dyDescent="0.25">
      <c r="A24" t="s">
        <v>6</v>
      </c>
    </row>
    <row r="26" spans="1:5" x14ac:dyDescent="0.25">
      <c r="A26" t="s">
        <v>7</v>
      </c>
      <c r="B26" s="3">
        <f>'Datos Base Servicio'!B2</f>
        <v>3038421</v>
      </c>
    </row>
    <row r="27" spans="1:5" x14ac:dyDescent="0.25">
      <c r="A27" t="s">
        <v>9</v>
      </c>
      <c r="B27" s="3">
        <f>'Datos Base Servicio'!B3</f>
        <v>5039374</v>
      </c>
    </row>
    <row r="28" spans="1:5" x14ac:dyDescent="0.25">
      <c r="A28" t="s">
        <v>8</v>
      </c>
      <c r="B28">
        <f>B26/B27*30</f>
        <v>18.088085940833125</v>
      </c>
    </row>
    <row r="30" spans="1:5" x14ac:dyDescent="0.25">
      <c r="A30" t="s">
        <v>11</v>
      </c>
      <c r="B30" t="s">
        <v>0</v>
      </c>
      <c r="C30" t="s">
        <v>3</v>
      </c>
      <c r="E30" t="s">
        <v>3</v>
      </c>
    </row>
    <row r="31" spans="1:5" x14ac:dyDescent="0.25">
      <c r="A31" t="s">
        <v>10</v>
      </c>
      <c r="B31" t="s">
        <v>10</v>
      </c>
      <c r="C31" t="s">
        <v>10</v>
      </c>
      <c r="E31" t="s">
        <v>10</v>
      </c>
    </row>
    <row r="32" spans="1:5" x14ac:dyDescent="0.25">
      <c r="A32">
        <v>25</v>
      </c>
      <c r="B32">
        <v>30</v>
      </c>
      <c r="C32" s="2">
        <v>4000</v>
      </c>
      <c r="E32" s="2">
        <f>IF(AND($B$28&gt;A32,$B$28&lt;=B32),C32,0)</f>
        <v>0</v>
      </c>
    </row>
    <row r="33" spans="1:5" x14ac:dyDescent="0.25">
      <c r="A33">
        <v>20</v>
      </c>
      <c r="B33">
        <v>25</v>
      </c>
      <c r="C33" s="2">
        <v>5000</v>
      </c>
      <c r="E33" s="2">
        <f>IF(AND($B$28&gt;A33,$B$28&lt;=B33),C33,0)</f>
        <v>0</v>
      </c>
    </row>
    <row r="34" spans="1:5" x14ac:dyDescent="0.25">
      <c r="A34">
        <v>15</v>
      </c>
      <c r="B34">
        <v>20</v>
      </c>
      <c r="C34" s="2">
        <v>7000</v>
      </c>
      <c r="E34" s="2">
        <f>IF(AND($B$28&gt;A34,$B$28&lt;=B34),C34,0)</f>
        <v>7000</v>
      </c>
    </row>
    <row r="35" spans="1:5" x14ac:dyDescent="0.25">
      <c r="A35">
        <v>0</v>
      </c>
      <c r="B35">
        <v>15</v>
      </c>
      <c r="C35" s="2">
        <v>10000</v>
      </c>
      <c r="E35" s="2">
        <f>IF(AND($B$28&gt;A35,$B$28&lt;=B35),C35,0)</f>
        <v>0</v>
      </c>
    </row>
    <row r="36" spans="1:5" x14ac:dyDescent="0.25">
      <c r="E36" s="3">
        <f>SUM(E32:E35)</f>
        <v>7000</v>
      </c>
    </row>
    <row r="37" spans="1:5" x14ac:dyDescent="0.25">
      <c r="E37" s="1"/>
    </row>
    <row r="38" spans="1:5" x14ac:dyDescent="0.25">
      <c r="D38" t="s">
        <v>12</v>
      </c>
      <c r="E38" s="3">
        <f>E36+E22+E14</f>
        <v>10275.24165</v>
      </c>
    </row>
    <row r="39" spans="1:5" x14ac:dyDescent="0.25">
      <c r="D39" s="3"/>
    </row>
    <row r="40" spans="1:5" x14ac:dyDescent="0.25">
      <c r="D40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9"/>
  <sheetViews>
    <sheetView workbookViewId="0">
      <selection activeCell="A20" sqref="A20:XFD20"/>
    </sheetView>
  </sheetViews>
  <sheetFormatPr baseColWidth="10" defaultRowHeight="15" x14ac:dyDescent="0.25"/>
  <cols>
    <col min="1" max="1" width="14.7109375" customWidth="1"/>
    <col min="2" max="2" width="14.140625" bestFit="1" customWidth="1"/>
  </cols>
  <sheetData>
    <row r="3" spans="1:5" x14ac:dyDescent="0.25">
      <c r="A3" t="s">
        <v>34</v>
      </c>
    </row>
    <row r="4" spans="1:5" x14ac:dyDescent="0.25">
      <c r="A4" t="s">
        <v>35</v>
      </c>
      <c r="B4" s="3">
        <f>'Datos Base Servicio'!B14</f>
        <v>2375003</v>
      </c>
    </row>
    <row r="5" spans="1:5" x14ac:dyDescent="0.25">
      <c r="A5" t="s">
        <v>27</v>
      </c>
      <c r="B5" s="3">
        <f>'Datos Base Servicio'!B15</f>
        <v>2978472</v>
      </c>
      <c r="C5" s="1"/>
    </row>
    <row r="6" spans="1:5" x14ac:dyDescent="0.25">
      <c r="A6" t="s">
        <v>36</v>
      </c>
      <c r="B6">
        <f>B4/B5*30</f>
        <v>23.921692062238623</v>
      </c>
    </row>
    <row r="8" spans="1:5" x14ac:dyDescent="0.25">
      <c r="A8" t="s">
        <v>19</v>
      </c>
      <c r="B8" t="s">
        <v>20</v>
      </c>
      <c r="C8" t="s">
        <v>1</v>
      </c>
      <c r="E8" t="s">
        <v>3</v>
      </c>
    </row>
    <row r="9" spans="1:5" x14ac:dyDescent="0.25">
      <c r="A9">
        <v>40</v>
      </c>
      <c r="B9">
        <v>45</v>
      </c>
      <c r="C9" s="2">
        <v>1500</v>
      </c>
      <c r="E9" s="2">
        <f>IF(AND($B$6&gt;A9,$B$6&lt;=B9),C9,0)</f>
        <v>0</v>
      </c>
    </row>
    <row r="10" spans="1:5" x14ac:dyDescent="0.25">
      <c r="A10">
        <v>35</v>
      </c>
      <c r="B10">
        <v>40</v>
      </c>
      <c r="C10" s="2">
        <v>1750</v>
      </c>
      <c r="E10" s="2">
        <f t="shared" ref="E10:E15" si="0">IF(AND($B$6&gt;A10,$B$6&lt;=B10),C10,0)</f>
        <v>0</v>
      </c>
    </row>
    <row r="11" spans="1:5" x14ac:dyDescent="0.25">
      <c r="A11">
        <v>30</v>
      </c>
      <c r="B11">
        <v>35</v>
      </c>
      <c r="C11" s="2">
        <v>2000</v>
      </c>
      <c r="E11" s="2">
        <f t="shared" si="0"/>
        <v>0</v>
      </c>
    </row>
    <row r="12" spans="1:5" x14ac:dyDescent="0.25">
      <c r="A12">
        <v>25</v>
      </c>
      <c r="B12">
        <v>30</v>
      </c>
      <c r="C12" s="2">
        <v>2500</v>
      </c>
      <c r="E12" s="2">
        <f t="shared" si="0"/>
        <v>0</v>
      </c>
    </row>
    <row r="13" spans="1:5" x14ac:dyDescent="0.25">
      <c r="A13">
        <v>20</v>
      </c>
      <c r="B13">
        <v>25</v>
      </c>
      <c r="C13" s="2">
        <v>2750</v>
      </c>
      <c r="E13" s="2">
        <f t="shared" si="0"/>
        <v>2750</v>
      </c>
    </row>
    <row r="14" spans="1:5" x14ac:dyDescent="0.25">
      <c r="A14">
        <v>15</v>
      </c>
      <c r="B14">
        <v>20</v>
      </c>
      <c r="C14" s="2">
        <v>3000</v>
      </c>
      <c r="E14" s="2">
        <f t="shared" si="0"/>
        <v>0</v>
      </c>
    </row>
    <row r="15" spans="1:5" x14ac:dyDescent="0.25">
      <c r="A15">
        <v>0</v>
      </c>
      <c r="B15">
        <v>15</v>
      </c>
      <c r="C15" s="2">
        <v>3250</v>
      </c>
      <c r="E15" s="2">
        <f t="shared" si="0"/>
        <v>0</v>
      </c>
    </row>
    <row r="16" spans="1:5" x14ac:dyDescent="0.25">
      <c r="C16" s="1"/>
      <c r="E16" s="3">
        <f>SUM(E9:E15)</f>
        <v>2750</v>
      </c>
    </row>
    <row r="19" spans="4:5" x14ac:dyDescent="0.25">
      <c r="D19" t="s">
        <v>16</v>
      </c>
      <c r="E19" s="3">
        <f>E16</f>
        <v>2750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4" workbookViewId="0">
      <selection activeCell="C36" sqref="C36"/>
    </sheetView>
  </sheetViews>
  <sheetFormatPr baseColWidth="10" defaultRowHeight="15" x14ac:dyDescent="0.25"/>
  <cols>
    <col min="1" max="1" width="14.85546875" customWidth="1"/>
    <col min="2" max="2" width="14.140625" bestFit="1" customWidth="1"/>
    <col min="3" max="3" width="12.140625" customWidth="1"/>
    <col min="4" max="4" width="13.28515625" customWidth="1"/>
  </cols>
  <sheetData>
    <row r="1" spans="1:5" x14ac:dyDescent="0.25">
      <c r="A1" t="s">
        <v>26</v>
      </c>
    </row>
    <row r="3" spans="1:5" x14ac:dyDescent="0.25">
      <c r="A3" t="s">
        <v>28</v>
      </c>
    </row>
    <row r="4" spans="1:5" x14ac:dyDescent="0.25">
      <c r="A4" t="s">
        <v>9</v>
      </c>
      <c r="B4" s="1">
        <f>'Datos Base Servicio'!B9</f>
        <v>296170</v>
      </c>
    </row>
    <row r="5" spans="1:5" x14ac:dyDescent="0.25">
      <c r="A5" t="s">
        <v>27</v>
      </c>
      <c r="B5" s="1">
        <f>'Datos Base Servicio'!B10</f>
        <v>227696</v>
      </c>
    </row>
    <row r="6" spans="1:5" x14ac:dyDescent="0.25">
      <c r="B6" s="1">
        <f>B4-B5</f>
        <v>68474</v>
      </c>
    </row>
    <row r="8" spans="1:5" x14ac:dyDescent="0.25">
      <c r="A8" t="s">
        <v>19</v>
      </c>
      <c r="B8" t="s">
        <v>20</v>
      </c>
      <c r="C8" t="s">
        <v>1</v>
      </c>
      <c r="D8" t="s">
        <v>2</v>
      </c>
      <c r="E8" t="s">
        <v>3</v>
      </c>
    </row>
    <row r="9" spans="1:5" x14ac:dyDescent="0.25">
      <c r="A9" s="2">
        <v>25000</v>
      </c>
      <c r="B9" s="2">
        <v>150000</v>
      </c>
      <c r="C9" s="6">
        <v>2.5000000000000001E-2</v>
      </c>
      <c r="D9" s="2">
        <f>IF(AND($B$6&gt;=A9,$B$6&lt;B9),$B$6,0)</f>
        <v>68474</v>
      </c>
      <c r="E9" s="2">
        <f>C9*D9</f>
        <v>1711.8500000000001</v>
      </c>
    </row>
    <row r="10" spans="1:5" x14ac:dyDescent="0.25">
      <c r="A10" s="2">
        <v>150000</v>
      </c>
      <c r="B10" s="2">
        <v>200000</v>
      </c>
      <c r="C10" s="6">
        <v>2.8000000000000001E-2</v>
      </c>
      <c r="D10" s="2">
        <f>IF(AND($B$6&gt;=A10,$B$6&lt;B10),$B$6,0)</f>
        <v>0</v>
      </c>
      <c r="E10" s="2">
        <f t="shared" ref="E10:E13" si="0">C10*D10</f>
        <v>0</v>
      </c>
    </row>
    <row r="11" spans="1:5" x14ac:dyDescent="0.25">
      <c r="A11" s="2">
        <v>200000</v>
      </c>
      <c r="B11" s="2">
        <v>250000</v>
      </c>
      <c r="C11" s="6">
        <v>0.03</v>
      </c>
      <c r="D11" s="2">
        <f t="shared" ref="D11:D13" si="1">IF(AND($B$6&gt;=A11,$B$6&lt;B11),$B$6,0)</f>
        <v>0</v>
      </c>
      <c r="E11" s="2">
        <f t="shared" si="0"/>
        <v>0</v>
      </c>
    </row>
    <row r="12" spans="1:5" x14ac:dyDescent="0.25">
      <c r="A12" s="2">
        <v>250000</v>
      </c>
      <c r="B12" s="2">
        <v>275000</v>
      </c>
      <c r="C12" s="6">
        <v>3.1E-2</v>
      </c>
      <c r="D12" s="2">
        <f t="shared" si="1"/>
        <v>0</v>
      </c>
      <c r="E12" s="2">
        <f t="shared" si="0"/>
        <v>0</v>
      </c>
    </row>
    <row r="13" spans="1:5" x14ac:dyDescent="0.25">
      <c r="A13" s="2">
        <v>275000</v>
      </c>
      <c r="B13" s="2">
        <v>1000000</v>
      </c>
      <c r="C13" s="6">
        <v>3.2000000000000001E-2</v>
      </c>
      <c r="D13" s="2">
        <f t="shared" si="1"/>
        <v>0</v>
      </c>
      <c r="E13" s="2">
        <f t="shared" si="0"/>
        <v>0</v>
      </c>
    </row>
    <row r="14" spans="1:5" x14ac:dyDescent="0.25">
      <c r="A14" t="s">
        <v>10</v>
      </c>
      <c r="E14" s="3">
        <f>SUM(E9:E13)</f>
        <v>1711.8500000000001</v>
      </c>
    </row>
    <row r="16" spans="1:5" x14ac:dyDescent="0.25">
      <c r="A16" t="s">
        <v>29</v>
      </c>
      <c r="D16">
        <f>'Datos Base Servicio'!B12</f>
        <v>2.5499999999999998</v>
      </c>
    </row>
    <row r="18" spans="1:6" x14ac:dyDescent="0.25">
      <c r="A18" t="s">
        <v>19</v>
      </c>
      <c r="B18" t="s">
        <v>20</v>
      </c>
      <c r="C18" t="s">
        <v>1</v>
      </c>
      <c r="E18" t="s">
        <v>3</v>
      </c>
    </row>
    <row r="19" spans="1:6" x14ac:dyDescent="0.25">
      <c r="A19">
        <v>4.5</v>
      </c>
      <c r="B19">
        <v>5</v>
      </c>
      <c r="C19" s="2">
        <v>250</v>
      </c>
      <c r="E19" s="2">
        <f>IF(AND($D$16&gt;A19,$D$16&lt;=B19),C19,0)</f>
        <v>0</v>
      </c>
    </row>
    <row r="20" spans="1:6" x14ac:dyDescent="0.25">
      <c r="A20">
        <v>3</v>
      </c>
      <c r="B20">
        <v>4.49</v>
      </c>
      <c r="C20" s="2">
        <v>350</v>
      </c>
      <c r="E20" s="2">
        <f t="shared" ref="E20:E21" si="2">IF(AND($D$16&gt;A20,$D$16&lt;=B20),C20,0)</f>
        <v>0</v>
      </c>
    </row>
    <row r="21" spans="1:6" x14ac:dyDescent="0.25">
      <c r="A21">
        <v>0</v>
      </c>
      <c r="B21">
        <v>2.99</v>
      </c>
      <c r="C21" s="2">
        <v>500</v>
      </c>
      <c r="E21" s="2">
        <f t="shared" si="2"/>
        <v>500</v>
      </c>
    </row>
    <row r="22" spans="1:6" x14ac:dyDescent="0.25">
      <c r="E22" s="3">
        <f>SUM(E19:E21)</f>
        <v>500</v>
      </c>
    </row>
    <row r="23" spans="1:6" x14ac:dyDescent="0.25">
      <c r="F23" s="3">
        <f>AG!E38</f>
        <v>2211.8500000000004</v>
      </c>
    </row>
    <row r="24" spans="1:6" x14ac:dyDescent="0.25">
      <c r="A24" t="s">
        <v>133</v>
      </c>
    </row>
    <row r="26" spans="1:6" x14ac:dyDescent="0.25">
      <c r="A26" t="s">
        <v>7</v>
      </c>
      <c r="B26" s="3">
        <f>'Datos Base Servicio'!B8</f>
        <v>0</v>
      </c>
    </row>
    <row r="27" spans="1:6" x14ac:dyDescent="0.25">
      <c r="A27" t="s">
        <v>9</v>
      </c>
      <c r="B27" s="3">
        <f>'Datos Base Servicio'!B9</f>
        <v>296170</v>
      </c>
    </row>
    <row r="28" spans="1:6" x14ac:dyDescent="0.25">
      <c r="A28" t="s">
        <v>8</v>
      </c>
      <c r="B28">
        <f>B26/B27*30</f>
        <v>0</v>
      </c>
    </row>
    <row r="30" spans="1:6" x14ac:dyDescent="0.25">
      <c r="A30" t="s">
        <v>11</v>
      </c>
      <c r="B30" t="s">
        <v>0</v>
      </c>
      <c r="C30" t="s">
        <v>3</v>
      </c>
      <c r="E30" t="s">
        <v>3</v>
      </c>
    </row>
    <row r="31" spans="1:6" x14ac:dyDescent="0.25">
      <c r="A31" t="s">
        <v>10</v>
      </c>
      <c r="B31" t="s">
        <v>10</v>
      </c>
      <c r="C31" t="s">
        <v>10</v>
      </c>
      <c r="E31" t="s">
        <v>10</v>
      </c>
    </row>
    <row r="32" spans="1:6" x14ac:dyDescent="0.25">
      <c r="A32">
        <v>25</v>
      </c>
      <c r="B32">
        <v>30</v>
      </c>
      <c r="C32" s="2">
        <v>2000</v>
      </c>
      <c r="E32" s="2">
        <f>IF(AND($B$28&gt;A32,$B$28&lt;=B32),C32,0)</f>
        <v>0</v>
      </c>
    </row>
    <row r="33" spans="1:5" x14ac:dyDescent="0.25">
      <c r="A33">
        <v>20</v>
      </c>
      <c r="B33">
        <v>25</v>
      </c>
      <c r="C33" s="2">
        <v>3000</v>
      </c>
      <c r="E33" s="2">
        <f>IF(AND($B$28&gt;A33,$B$28&lt;=B33),C33,0)</f>
        <v>0</v>
      </c>
    </row>
    <row r="34" spans="1:5" x14ac:dyDescent="0.25">
      <c r="A34">
        <v>15</v>
      </c>
      <c r="B34">
        <v>20</v>
      </c>
      <c r="C34" s="2">
        <v>3500</v>
      </c>
      <c r="E34" s="2">
        <f>IF(AND($B$28&gt;A34,$B$28&lt;=B34),C34,0)</f>
        <v>0</v>
      </c>
    </row>
    <row r="35" spans="1:5" x14ac:dyDescent="0.25">
      <c r="A35">
        <v>0</v>
      </c>
      <c r="B35">
        <v>15</v>
      </c>
      <c r="C35" s="2">
        <v>5000</v>
      </c>
      <c r="E35" s="2">
        <f>IF(AND($B$28&gt;A35,$B$28&lt;=B35),C35,0)</f>
        <v>0</v>
      </c>
    </row>
    <row r="36" spans="1:5" x14ac:dyDescent="0.25">
      <c r="E36" s="3">
        <f>SUM(E32:E35)</f>
        <v>0</v>
      </c>
    </row>
    <row r="37" spans="1:5" x14ac:dyDescent="0.25">
      <c r="E37" s="1"/>
    </row>
    <row r="38" spans="1:5" x14ac:dyDescent="0.25">
      <c r="D38" t="s">
        <v>12</v>
      </c>
      <c r="E38" s="3">
        <f>E36+E22+E14</f>
        <v>2211.8500000000004</v>
      </c>
    </row>
    <row r="39" spans="1:5" x14ac:dyDescent="0.25">
      <c r="D39" s="3"/>
    </row>
    <row r="40" spans="1:5" x14ac:dyDescent="0.25">
      <c r="D40" s="3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E12" sqref="E12"/>
    </sheetView>
  </sheetViews>
  <sheetFormatPr baseColWidth="10" defaultRowHeight="15" x14ac:dyDescent="0.25"/>
  <cols>
    <col min="1" max="1" width="14.85546875" customWidth="1"/>
    <col min="2" max="2" width="14.140625" bestFit="1" customWidth="1"/>
    <col min="3" max="3" width="12.140625" customWidth="1"/>
    <col min="4" max="4" width="13.28515625" customWidth="1"/>
  </cols>
  <sheetData>
    <row r="1" spans="1:6" x14ac:dyDescent="0.25">
      <c r="A1" t="s">
        <v>42</v>
      </c>
    </row>
    <row r="3" spans="1:6" x14ac:dyDescent="0.25">
      <c r="A3" t="s">
        <v>43</v>
      </c>
    </row>
    <row r="4" spans="1:6" x14ac:dyDescent="0.25">
      <c r="A4" t="s">
        <v>9</v>
      </c>
      <c r="B4" s="1">
        <f>'Datos Base Servicio'!B19</f>
        <v>2047703</v>
      </c>
    </row>
    <row r="5" spans="1:6" x14ac:dyDescent="0.25">
      <c r="A5" t="s">
        <v>27</v>
      </c>
      <c r="B5" s="1">
        <f>'Datos Base Servicio'!B20</f>
        <v>1073934</v>
      </c>
    </row>
    <row r="6" spans="1:6" x14ac:dyDescent="0.25">
      <c r="B6" s="1">
        <f>B4-B5</f>
        <v>973769</v>
      </c>
    </row>
    <row r="8" spans="1:6" x14ac:dyDescent="0.25">
      <c r="A8" t="s">
        <v>19</v>
      </c>
      <c r="B8" t="s">
        <v>20</v>
      </c>
      <c r="C8" t="s">
        <v>1</v>
      </c>
      <c r="D8" t="s">
        <v>2</v>
      </c>
      <c r="E8" t="s">
        <v>3</v>
      </c>
    </row>
    <row r="9" spans="1:6" x14ac:dyDescent="0.25">
      <c r="A9" s="2">
        <v>350000</v>
      </c>
      <c r="B9" s="2">
        <v>400000</v>
      </c>
      <c r="C9" s="6">
        <v>1.29E-2</v>
      </c>
      <c r="D9" s="2">
        <f>IF(AND($B$6&gt;=A9,$B$6&lt;B9),$B$6,0)</f>
        <v>0</v>
      </c>
      <c r="E9" s="2">
        <f>C9*D9</f>
        <v>0</v>
      </c>
      <c r="F9" s="15"/>
    </row>
    <row r="10" spans="1:6" x14ac:dyDescent="0.25">
      <c r="A10" s="2">
        <v>400000</v>
      </c>
      <c r="B10" s="2">
        <v>500000</v>
      </c>
      <c r="C10" s="6">
        <v>1.4999999999999999E-2</v>
      </c>
      <c r="D10" s="2">
        <f>IF(AND($B$6&gt;=A10,$B$6&lt;B10),$B$6,0)</f>
        <v>0</v>
      </c>
      <c r="E10" s="2">
        <f t="shared" ref="E10:E13" si="0">C10*D10</f>
        <v>0</v>
      </c>
      <c r="F10" s="15"/>
    </row>
    <row r="11" spans="1:6" x14ac:dyDescent="0.25">
      <c r="A11" s="2">
        <v>500000</v>
      </c>
      <c r="B11" s="2">
        <v>600000</v>
      </c>
      <c r="C11" s="6">
        <v>1.5599999999999999E-2</v>
      </c>
      <c r="D11" s="2">
        <f t="shared" ref="D11:D13" si="1">IF(AND($B$6&gt;=A11,$B$6&lt;B11),$B$6,0)</f>
        <v>0</v>
      </c>
      <c r="E11" s="2">
        <f t="shared" si="0"/>
        <v>0</v>
      </c>
      <c r="F11" s="15"/>
    </row>
    <row r="12" spans="1:6" x14ac:dyDescent="0.25">
      <c r="A12" s="2">
        <v>600000</v>
      </c>
      <c r="B12" s="2">
        <v>700000</v>
      </c>
      <c r="C12" s="6">
        <v>1.6199999999999999E-2</v>
      </c>
      <c r="D12" s="2">
        <f t="shared" si="1"/>
        <v>0</v>
      </c>
      <c r="E12" s="2">
        <f t="shared" si="0"/>
        <v>0</v>
      </c>
      <c r="F12" s="15"/>
    </row>
    <row r="13" spans="1:6" x14ac:dyDescent="0.25">
      <c r="A13" s="2">
        <v>700000</v>
      </c>
      <c r="B13" s="2">
        <v>1000000</v>
      </c>
      <c r="C13" s="6">
        <v>1.7100000000000001E-2</v>
      </c>
      <c r="D13" s="2">
        <f t="shared" si="1"/>
        <v>973769</v>
      </c>
      <c r="E13" s="2">
        <f t="shared" si="0"/>
        <v>16651.4499</v>
      </c>
      <c r="F13" s="15"/>
    </row>
    <row r="14" spans="1:6" x14ac:dyDescent="0.25">
      <c r="A14" t="s">
        <v>10</v>
      </c>
      <c r="E14" s="3">
        <f>SUM(E9:E13)</f>
        <v>16651.4499</v>
      </c>
    </row>
    <row r="16" spans="1:6" x14ac:dyDescent="0.25">
      <c r="A16" t="s">
        <v>44</v>
      </c>
      <c r="D16">
        <f>'Datos Base Servicio'!B22</f>
        <v>7.51</v>
      </c>
    </row>
    <row r="18" spans="1:5" x14ac:dyDescent="0.25">
      <c r="A18" t="s">
        <v>19</v>
      </c>
      <c r="B18" t="s">
        <v>20</v>
      </c>
      <c r="C18" t="s">
        <v>1</v>
      </c>
      <c r="E18" t="s">
        <v>3</v>
      </c>
    </row>
    <row r="19" spans="1:5" x14ac:dyDescent="0.25">
      <c r="A19">
        <v>7</v>
      </c>
      <c r="B19">
        <v>8</v>
      </c>
      <c r="C19" s="16">
        <v>0.01</v>
      </c>
      <c r="D19" s="2">
        <f>IF(AND($D$16&gt;A19,$D$16&lt;=B19),$B$6,0)</f>
        <v>973769</v>
      </c>
      <c r="E19" s="2">
        <f>D19*C19</f>
        <v>9737.69</v>
      </c>
    </row>
    <row r="20" spans="1:5" x14ac:dyDescent="0.25">
      <c r="A20">
        <v>3</v>
      </c>
      <c r="B20">
        <v>5</v>
      </c>
      <c r="C20" s="16">
        <v>1.2500000000000001E-2</v>
      </c>
      <c r="D20" s="2">
        <f t="shared" ref="D20:D21" si="2">IF(AND($D$16&gt;A20,$D$16&lt;=B20),$B$6,0)</f>
        <v>0</v>
      </c>
      <c r="E20" s="2">
        <f t="shared" ref="E20:E21" si="3">IF(AND($D$16&gt;A20,$D$16&lt;=B20),C20,0)</f>
        <v>0</v>
      </c>
    </row>
    <row r="21" spans="1:5" x14ac:dyDescent="0.25">
      <c r="A21">
        <v>0</v>
      </c>
      <c r="B21">
        <v>3</v>
      </c>
      <c r="C21" s="16">
        <v>1.4999999999999999E-2</v>
      </c>
      <c r="D21" s="2">
        <f t="shared" si="2"/>
        <v>0</v>
      </c>
      <c r="E21" s="2">
        <f t="shared" si="3"/>
        <v>0</v>
      </c>
    </row>
    <row r="22" spans="1:5" x14ac:dyDescent="0.25">
      <c r="E22" s="3">
        <f>SUM(E19:E21)</f>
        <v>9737.69</v>
      </c>
    </row>
    <row r="24" spans="1:5" x14ac:dyDescent="0.25">
      <c r="E24" s="1"/>
    </row>
    <row r="25" spans="1:5" x14ac:dyDescent="0.25">
      <c r="D25" t="s">
        <v>12</v>
      </c>
      <c r="E25" s="3">
        <f>E22+E14</f>
        <v>26389.139900000002</v>
      </c>
    </row>
    <row r="26" spans="1:5" x14ac:dyDescent="0.25">
      <c r="D26" s="3"/>
    </row>
    <row r="27" spans="1:5" x14ac:dyDescent="0.25">
      <c r="D27" s="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14" sqref="A14"/>
    </sheetView>
  </sheetViews>
  <sheetFormatPr baseColWidth="10" defaultRowHeight="15" x14ac:dyDescent="0.25"/>
  <cols>
    <col min="1" max="1" width="14.85546875" customWidth="1"/>
    <col min="2" max="2" width="14.140625" bestFit="1" customWidth="1"/>
    <col min="3" max="3" width="12.140625" customWidth="1"/>
    <col min="4" max="4" width="13.28515625" customWidth="1"/>
  </cols>
  <sheetData>
    <row r="1" spans="1:6" x14ac:dyDescent="0.25">
      <c r="A1" t="s">
        <v>125</v>
      </c>
    </row>
    <row r="3" spans="1:6" x14ac:dyDescent="0.25">
      <c r="A3" t="s">
        <v>43</v>
      </c>
    </row>
    <row r="4" spans="1:6" x14ac:dyDescent="0.25">
      <c r="A4" t="s">
        <v>9</v>
      </c>
      <c r="B4" s="1">
        <f>'Datos Base Servicio'!B19</f>
        <v>2047703</v>
      </c>
    </row>
    <row r="5" spans="1:6" x14ac:dyDescent="0.25">
      <c r="A5" t="s">
        <v>27</v>
      </c>
      <c r="B5" s="1">
        <f>'Datos Base Servicio'!B20</f>
        <v>1073934</v>
      </c>
    </row>
    <row r="6" spans="1:6" x14ac:dyDescent="0.25">
      <c r="A6" t="s">
        <v>126</v>
      </c>
      <c r="B6" s="1">
        <f>B4-B5</f>
        <v>973769</v>
      </c>
    </row>
    <row r="7" spans="1:6" x14ac:dyDescent="0.25">
      <c r="A7" t="s">
        <v>127</v>
      </c>
      <c r="B7" s="15">
        <f>B6/B4</f>
        <v>0.47554210742475839</v>
      </c>
    </row>
    <row r="9" spans="1:6" x14ac:dyDescent="0.25">
      <c r="A9" t="s">
        <v>19</v>
      </c>
      <c r="B9" t="s">
        <v>20</v>
      </c>
      <c r="C9" t="s">
        <v>1</v>
      </c>
      <c r="D9" t="s">
        <v>2</v>
      </c>
      <c r="E9" t="s">
        <v>3</v>
      </c>
    </row>
    <row r="10" spans="1:6" x14ac:dyDescent="0.25">
      <c r="A10" s="13">
        <v>0.35</v>
      </c>
      <c r="B10" s="13">
        <v>0.39</v>
      </c>
      <c r="C10" s="6">
        <v>7.0879120879120882E-3</v>
      </c>
      <c r="D10" s="2">
        <f>IF(AND($B$7&gt;=A10,$B$7&lt;B10),$B$6,0)</f>
        <v>0</v>
      </c>
      <c r="E10" s="2">
        <f>C10*D10</f>
        <v>0</v>
      </c>
      <c r="F10" s="15"/>
    </row>
    <row r="11" spans="1:6" x14ac:dyDescent="0.25">
      <c r="A11" s="13">
        <v>0.39</v>
      </c>
      <c r="B11" s="13">
        <v>0.41</v>
      </c>
      <c r="C11" s="6">
        <v>8.241758241758242E-3</v>
      </c>
      <c r="D11" s="2">
        <f t="shared" ref="D11:D14" si="0">IF(AND($B$7&gt;=A11,$B$7&lt;B11),$B$6,0)</f>
        <v>0</v>
      </c>
      <c r="E11" s="2">
        <f t="shared" ref="E11:E14" si="1">C11*D11</f>
        <v>0</v>
      </c>
      <c r="F11" s="15"/>
    </row>
    <row r="12" spans="1:6" x14ac:dyDescent="0.25">
      <c r="A12" s="13">
        <v>0.41</v>
      </c>
      <c r="B12" s="13">
        <v>0.42</v>
      </c>
      <c r="C12" s="6">
        <v>8.5714285714285701E-3</v>
      </c>
      <c r="D12" s="2">
        <f t="shared" si="0"/>
        <v>0</v>
      </c>
      <c r="E12" s="2">
        <f t="shared" si="1"/>
        <v>0</v>
      </c>
      <c r="F12" s="15"/>
    </row>
    <row r="13" spans="1:6" x14ac:dyDescent="0.25">
      <c r="A13" s="13">
        <v>0.42</v>
      </c>
      <c r="B13" s="13">
        <v>0.44</v>
      </c>
      <c r="C13" s="6">
        <v>8.9010989010989E-3</v>
      </c>
      <c r="D13" s="2">
        <f t="shared" si="0"/>
        <v>0</v>
      </c>
      <c r="E13" s="2">
        <f t="shared" si="1"/>
        <v>0</v>
      </c>
      <c r="F13" s="15"/>
    </row>
    <row r="14" spans="1:6" x14ac:dyDescent="0.25">
      <c r="A14" s="13">
        <v>0.44</v>
      </c>
      <c r="B14" s="13">
        <v>0.45</v>
      </c>
      <c r="C14" s="6">
        <v>9.3956043956043948E-3</v>
      </c>
      <c r="D14" s="2">
        <f t="shared" si="0"/>
        <v>0</v>
      </c>
      <c r="E14" s="2">
        <f t="shared" si="1"/>
        <v>0</v>
      </c>
      <c r="F14" s="15"/>
    </row>
    <row r="15" spans="1:6" x14ac:dyDescent="0.25">
      <c r="A15" t="s">
        <v>10</v>
      </c>
      <c r="E15" s="3">
        <f>SUM(E10:E14)</f>
        <v>0</v>
      </c>
    </row>
    <row r="17" spans="1:5" x14ac:dyDescent="0.25">
      <c r="A17" t="s">
        <v>6</v>
      </c>
    </row>
    <row r="19" spans="1:5" x14ac:dyDescent="0.25">
      <c r="A19" t="s">
        <v>7</v>
      </c>
      <c r="B19" s="3">
        <f>'Datos Base Servicio'!B2</f>
        <v>3038421</v>
      </c>
    </row>
    <row r="20" spans="1:5" x14ac:dyDescent="0.25">
      <c r="A20" t="s">
        <v>9</v>
      </c>
      <c r="B20" s="3">
        <f>'Datos Base Servicio'!B3</f>
        <v>5039374</v>
      </c>
    </row>
    <row r="21" spans="1:5" x14ac:dyDescent="0.25">
      <c r="A21" t="s">
        <v>8</v>
      </c>
      <c r="B21">
        <f>B19/B20*30</f>
        <v>18.088085940833125</v>
      </c>
    </row>
    <row r="23" spans="1:5" x14ac:dyDescent="0.25">
      <c r="A23" t="s">
        <v>11</v>
      </c>
      <c r="B23" t="s">
        <v>0</v>
      </c>
      <c r="C23" t="s">
        <v>3</v>
      </c>
      <c r="E23" t="s">
        <v>3</v>
      </c>
    </row>
    <row r="24" spans="1:5" x14ac:dyDescent="0.25">
      <c r="A24" t="s">
        <v>10</v>
      </c>
      <c r="B24" t="s">
        <v>10</v>
      </c>
      <c r="C24" t="s">
        <v>10</v>
      </c>
      <c r="E24" t="s">
        <v>10</v>
      </c>
    </row>
    <row r="25" spans="1:5" x14ac:dyDescent="0.25">
      <c r="A25">
        <v>25</v>
      </c>
      <c r="B25">
        <v>30</v>
      </c>
      <c r="C25" s="2">
        <v>1000</v>
      </c>
      <c r="E25" s="2">
        <f>IF(AND($B$21&gt;A25,$B$21&lt;=B25),C25,0)</f>
        <v>0</v>
      </c>
    </row>
    <row r="26" spans="1:5" x14ac:dyDescent="0.25">
      <c r="A26">
        <v>20</v>
      </c>
      <c r="B26">
        <v>25</v>
      </c>
      <c r="C26" s="2">
        <v>1500</v>
      </c>
      <c r="E26" s="2">
        <f t="shared" ref="E26:E28" si="2">IF(AND($B$21&gt;A26,$B$21&lt;=B26),C26,0)</f>
        <v>0</v>
      </c>
    </row>
    <row r="27" spans="1:5" x14ac:dyDescent="0.25">
      <c r="A27">
        <v>15</v>
      </c>
      <c r="B27">
        <v>20</v>
      </c>
      <c r="C27" s="2">
        <v>2000</v>
      </c>
      <c r="E27" s="2">
        <f t="shared" si="2"/>
        <v>2000</v>
      </c>
    </row>
    <row r="28" spans="1:5" x14ac:dyDescent="0.25">
      <c r="A28">
        <v>0</v>
      </c>
      <c r="B28">
        <v>15</v>
      </c>
      <c r="C28" s="2">
        <v>2500</v>
      </c>
      <c r="E28" s="2">
        <f t="shared" si="2"/>
        <v>0</v>
      </c>
    </row>
    <row r="29" spans="1:5" x14ac:dyDescent="0.25">
      <c r="E29" s="3">
        <f>SUM(E25:E28)</f>
        <v>2000</v>
      </c>
    </row>
    <row r="32" spans="1:5" x14ac:dyDescent="0.25">
      <c r="D32" t="s">
        <v>3</v>
      </c>
      <c r="E32" s="3">
        <f>E29+E15</f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Datos Base Servicio</vt:lpstr>
      <vt:lpstr>Datos Base de Ventas</vt:lpstr>
      <vt:lpstr>Nomina</vt:lpstr>
      <vt:lpstr>JR</vt:lpstr>
      <vt:lpstr>GG</vt:lpstr>
      <vt:lpstr>GV</vt:lpstr>
      <vt:lpstr>Control</vt:lpstr>
      <vt:lpstr>MR</vt:lpstr>
      <vt:lpstr>GS</vt:lpstr>
      <vt:lpstr>Citas</vt:lpstr>
      <vt:lpstr>GR</vt:lpstr>
      <vt:lpstr>Bodega</vt:lpstr>
      <vt:lpstr>Champion</vt:lpstr>
      <vt:lpstr>FAC</vt:lpstr>
      <vt:lpstr>SSI</vt:lpstr>
      <vt:lpstr>F&amp;I</vt:lpstr>
      <vt:lpstr>ENT</vt:lpstr>
      <vt:lpstr>CAR</vt:lpstr>
      <vt:lpstr>AR</vt:lpstr>
      <vt:lpstr>AG</vt:lpstr>
      <vt:lpstr>HYP</vt:lpstr>
      <vt:lpstr>VAL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Sabas Leal Muldoon</dc:creator>
  <cp:lastModifiedBy>ljimenez</cp:lastModifiedBy>
  <dcterms:created xsi:type="dcterms:W3CDTF">2015-03-05T15:46:58Z</dcterms:created>
  <dcterms:modified xsi:type="dcterms:W3CDTF">2016-05-11T21:57:39Z</dcterms:modified>
</cp:coreProperties>
</file>