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935"/>
  </bookViews>
  <sheets>
    <sheet name="FACTURACIÓN" sheetId="1" r:id="rId1"/>
    <sheet name="C&amp;A" sheetId="4" r:id="rId2"/>
    <sheet name="SINDICATO" sheetId="2" r:id="rId3"/>
    <sheet name="C&amp;A BANCOS" sheetId="6" r:id="rId4"/>
    <sheet name="SINDICATO BANCOS" sheetId="7" r:id="rId5"/>
    <sheet name="SINDICATO BANCOS (2)" sheetId="8" r:id="rId6"/>
    <sheet name="Hoja1" sheetId="9" r:id="rId7"/>
  </sheets>
  <definedNames>
    <definedName name="_xlnm.Print_Area" localSheetId="1">'C&amp;A'!$A$1:$I$68</definedName>
    <definedName name="_xlnm.Print_Area" localSheetId="3">'C&amp;A BANCOS'!$A$1:$N$78</definedName>
    <definedName name="_xlnm.Print_Area" localSheetId="2">SINDICATO!$A$1:$N$66</definedName>
    <definedName name="_xlnm.Print_Area" localSheetId="4">'SINDICATO BANCOS'!$A$1:$O$69</definedName>
    <definedName name="_xlnm.Print_Area" localSheetId="5">'SINDICATO BANCOS (2)'!$A$1:$U$78</definedName>
  </definedNames>
  <calcPr calcId="145621"/>
</workbook>
</file>

<file path=xl/calcChain.xml><?xml version="1.0" encoding="utf-8"?>
<calcChain xmlns="http://schemas.openxmlformats.org/spreadsheetml/2006/main">
  <c r="J10" i="1" l="1"/>
  <c r="D89" i="9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D64" i="2"/>
  <c r="O64" i="2"/>
  <c r="P64" i="2"/>
  <c r="Q64" i="2"/>
  <c r="R64" i="2"/>
  <c r="S64" i="2"/>
  <c r="T64" i="2"/>
  <c r="U64" i="2"/>
  <c r="V64" i="2"/>
  <c r="W64" i="2"/>
  <c r="X64" i="2"/>
  <c r="Y64" i="2"/>
  <c r="D64" i="1"/>
  <c r="H64" i="1"/>
  <c r="I64" i="1"/>
  <c r="N64" i="1"/>
  <c r="C64" i="4"/>
  <c r="F8" i="2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K11" i="1"/>
  <c r="F11" i="2" s="1"/>
  <c r="K12" i="1"/>
  <c r="F12" i="2" s="1"/>
  <c r="K13" i="1"/>
  <c r="F13" i="2" s="1"/>
  <c r="K14" i="1"/>
  <c r="F14" i="2" s="1"/>
  <c r="K15" i="1"/>
  <c r="F15" i="2" s="1"/>
  <c r="K16" i="1"/>
  <c r="F16" i="2" s="1"/>
  <c r="K17" i="1"/>
  <c r="F17" i="2" s="1"/>
  <c r="K18" i="1"/>
  <c r="F18" i="2" s="1"/>
  <c r="K19" i="1"/>
  <c r="F19" i="2" s="1"/>
  <c r="K20" i="1"/>
  <c r="F20" i="2" s="1"/>
  <c r="K21" i="1"/>
  <c r="F21" i="2" s="1"/>
  <c r="K22" i="1"/>
  <c r="F22" i="2" s="1"/>
  <c r="K23" i="1"/>
  <c r="F23" i="2" s="1"/>
  <c r="K24" i="1"/>
  <c r="F24" i="2" s="1"/>
  <c r="K25" i="1"/>
  <c r="F25" i="2" s="1"/>
  <c r="K26" i="1"/>
  <c r="F26" i="2" s="1"/>
  <c r="K27" i="1"/>
  <c r="F27" i="2" s="1"/>
  <c r="K28" i="1"/>
  <c r="F28" i="2" s="1"/>
  <c r="K29" i="1"/>
  <c r="F29" i="2" s="1"/>
  <c r="K30" i="1"/>
  <c r="F30" i="2" s="1"/>
  <c r="K31" i="1"/>
  <c r="F31" i="2" s="1"/>
  <c r="K32" i="1"/>
  <c r="F32" i="2" s="1"/>
  <c r="K33" i="1"/>
  <c r="F33" i="2" s="1"/>
  <c r="K34" i="1"/>
  <c r="F34" i="2" s="1"/>
  <c r="K35" i="1"/>
  <c r="F35" i="2" s="1"/>
  <c r="K36" i="1"/>
  <c r="F36" i="2" s="1"/>
  <c r="K37" i="1"/>
  <c r="F37" i="2" s="1"/>
  <c r="K38" i="1"/>
  <c r="F38" i="2" s="1"/>
  <c r="K39" i="1"/>
  <c r="F39" i="2" s="1"/>
  <c r="K40" i="1"/>
  <c r="F40" i="2" s="1"/>
  <c r="K41" i="1"/>
  <c r="F41" i="2" s="1"/>
  <c r="K42" i="1"/>
  <c r="F42" i="2" s="1"/>
  <c r="K43" i="1"/>
  <c r="F43" i="2" s="1"/>
  <c r="K44" i="1"/>
  <c r="F44" i="2" s="1"/>
  <c r="K45" i="1"/>
  <c r="F45" i="2" s="1"/>
  <c r="K46" i="1"/>
  <c r="F46" i="2" s="1"/>
  <c r="K47" i="1"/>
  <c r="F47" i="2" s="1"/>
  <c r="K48" i="1"/>
  <c r="F48" i="2" s="1"/>
  <c r="K49" i="1"/>
  <c r="F49" i="2" s="1"/>
  <c r="K50" i="1"/>
  <c r="F50" i="2" s="1"/>
  <c r="K51" i="1"/>
  <c r="F51" i="2" s="1"/>
  <c r="K52" i="1"/>
  <c r="F52" i="2" s="1"/>
  <c r="K53" i="1"/>
  <c r="F53" i="2" s="1"/>
  <c r="K54" i="1"/>
  <c r="F54" i="2" s="1"/>
  <c r="K55" i="1"/>
  <c r="F55" i="2" s="1"/>
  <c r="K56" i="1"/>
  <c r="F56" i="2" s="1"/>
  <c r="K57" i="1"/>
  <c r="F57" i="2" s="1"/>
  <c r="K58" i="1"/>
  <c r="F58" i="2" s="1"/>
  <c r="K59" i="1"/>
  <c r="F59" i="2" s="1"/>
  <c r="K60" i="1"/>
  <c r="F60" i="2" s="1"/>
  <c r="K61" i="1"/>
  <c r="F61" i="2" s="1"/>
  <c r="K62" i="1"/>
  <c r="F62" i="2" s="1"/>
  <c r="K10" i="1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I51" i="2"/>
  <c r="J51" i="2"/>
  <c r="I52" i="2"/>
  <c r="J52" i="2"/>
  <c r="I53" i="2"/>
  <c r="J53" i="2"/>
  <c r="I54" i="2"/>
  <c r="J54" i="2"/>
  <c r="I55" i="2"/>
  <c r="J55" i="2"/>
  <c r="I56" i="2"/>
  <c r="J56" i="2"/>
  <c r="I57" i="2"/>
  <c r="J57" i="2"/>
  <c r="I58" i="2"/>
  <c r="I59" i="2"/>
  <c r="J59" i="2"/>
  <c r="I60" i="2"/>
  <c r="J60" i="2"/>
  <c r="I61" i="2"/>
  <c r="J61" i="2"/>
  <c r="I62" i="2"/>
  <c r="J62" i="2"/>
  <c r="I10" i="2"/>
  <c r="I64" i="2" s="1"/>
  <c r="J10" i="2"/>
  <c r="O62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10" i="2"/>
  <c r="J62" i="4"/>
  <c r="J50" i="4"/>
  <c r="J51" i="4"/>
  <c r="J52" i="4"/>
  <c r="J53" i="4"/>
  <c r="J54" i="4"/>
  <c r="J55" i="4"/>
  <c r="J56" i="4"/>
  <c r="J57" i="4"/>
  <c r="J58" i="4"/>
  <c r="J59" i="4"/>
  <c r="J60" i="4"/>
  <c r="J61" i="4"/>
  <c r="H51" i="4"/>
  <c r="E51" i="4"/>
  <c r="I51" i="4" s="1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10" i="4"/>
  <c r="E62" i="4"/>
  <c r="E61" i="4"/>
  <c r="E60" i="4"/>
  <c r="E59" i="4"/>
  <c r="E58" i="4"/>
  <c r="E57" i="4"/>
  <c r="E56" i="4"/>
  <c r="E55" i="4"/>
  <c r="E54" i="4"/>
  <c r="E53" i="4"/>
  <c r="E52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P11" i="1"/>
  <c r="K11" i="2" s="1"/>
  <c r="P12" i="1"/>
  <c r="K12" i="2" s="1"/>
  <c r="P13" i="1"/>
  <c r="K13" i="2" s="1"/>
  <c r="P14" i="1"/>
  <c r="K14" i="2" s="1"/>
  <c r="P15" i="1"/>
  <c r="K15" i="2" s="1"/>
  <c r="P16" i="1"/>
  <c r="K16" i="2" s="1"/>
  <c r="P17" i="1"/>
  <c r="K17" i="2" s="1"/>
  <c r="P18" i="1"/>
  <c r="K18" i="2" s="1"/>
  <c r="P19" i="1"/>
  <c r="K19" i="2" s="1"/>
  <c r="P20" i="1"/>
  <c r="K20" i="2" s="1"/>
  <c r="P21" i="1"/>
  <c r="K21" i="2" s="1"/>
  <c r="P22" i="1"/>
  <c r="K22" i="2" s="1"/>
  <c r="P23" i="1"/>
  <c r="K23" i="2" s="1"/>
  <c r="P24" i="1"/>
  <c r="K24" i="2" s="1"/>
  <c r="P25" i="1"/>
  <c r="K25" i="2" s="1"/>
  <c r="P26" i="1"/>
  <c r="K26" i="2" s="1"/>
  <c r="P27" i="1"/>
  <c r="K27" i="2" s="1"/>
  <c r="P28" i="1"/>
  <c r="K28" i="2" s="1"/>
  <c r="P29" i="1"/>
  <c r="K29" i="2" s="1"/>
  <c r="P30" i="1"/>
  <c r="K30" i="2" s="1"/>
  <c r="P31" i="1"/>
  <c r="K31" i="2" s="1"/>
  <c r="P32" i="1"/>
  <c r="K32" i="2" s="1"/>
  <c r="P33" i="1"/>
  <c r="K33" i="2" s="1"/>
  <c r="P34" i="1"/>
  <c r="K34" i="2" s="1"/>
  <c r="P35" i="1"/>
  <c r="K35" i="2" s="1"/>
  <c r="P36" i="1"/>
  <c r="K36" i="2" s="1"/>
  <c r="P37" i="1"/>
  <c r="K37" i="2" s="1"/>
  <c r="P38" i="1"/>
  <c r="K38" i="2" s="1"/>
  <c r="P39" i="1"/>
  <c r="K39" i="2" s="1"/>
  <c r="P40" i="1"/>
  <c r="K40" i="2" s="1"/>
  <c r="P41" i="1"/>
  <c r="K41" i="2" s="1"/>
  <c r="P42" i="1"/>
  <c r="K42" i="2" s="1"/>
  <c r="P43" i="1"/>
  <c r="K43" i="2" s="1"/>
  <c r="P44" i="1"/>
  <c r="K44" i="2" s="1"/>
  <c r="P45" i="1"/>
  <c r="K45" i="2" s="1"/>
  <c r="P46" i="1"/>
  <c r="K46" i="2" s="1"/>
  <c r="P47" i="1"/>
  <c r="K47" i="2" s="1"/>
  <c r="P48" i="1"/>
  <c r="K48" i="2" s="1"/>
  <c r="P49" i="1"/>
  <c r="K49" i="2" s="1"/>
  <c r="P50" i="1"/>
  <c r="K50" i="2" s="1"/>
  <c r="P51" i="1"/>
  <c r="K51" i="2" s="1"/>
  <c r="P52" i="1"/>
  <c r="K52" i="2" s="1"/>
  <c r="P53" i="1"/>
  <c r="K53" i="2" s="1"/>
  <c r="P54" i="1"/>
  <c r="K54" i="2" s="1"/>
  <c r="P55" i="1"/>
  <c r="K55" i="2" s="1"/>
  <c r="P56" i="1"/>
  <c r="K56" i="2" s="1"/>
  <c r="P57" i="1"/>
  <c r="K57" i="2" s="1"/>
  <c r="P58" i="1"/>
  <c r="K58" i="2" s="1"/>
  <c r="P59" i="1"/>
  <c r="K59" i="2" s="1"/>
  <c r="P60" i="1"/>
  <c r="K60" i="2" s="1"/>
  <c r="P61" i="1"/>
  <c r="K61" i="2" s="1"/>
  <c r="P62" i="1"/>
  <c r="K62" i="2" s="1"/>
  <c r="P10" i="1"/>
  <c r="AS58" i="1"/>
  <c r="M11" i="1"/>
  <c r="H11" i="2" s="1"/>
  <c r="M12" i="1"/>
  <c r="H12" i="2" s="1"/>
  <c r="M13" i="1"/>
  <c r="H13" i="2" s="1"/>
  <c r="M14" i="1"/>
  <c r="H14" i="2" s="1"/>
  <c r="M15" i="1"/>
  <c r="H15" i="2" s="1"/>
  <c r="M16" i="1"/>
  <c r="H16" i="2" s="1"/>
  <c r="M17" i="1"/>
  <c r="H17" i="2" s="1"/>
  <c r="M18" i="1"/>
  <c r="H18" i="2" s="1"/>
  <c r="M19" i="1"/>
  <c r="H19" i="2" s="1"/>
  <c r="M20" i="1"/>
  <c r="H20" i="2" s="1"/>
  <c r="M21" i="1"/>
  <c r="H21" i="2" s="1"/>
  <c r="M22" i="1"/>
  <c r="H22" i="2" s="1"/>
  <c r="M23" i="1"/>
  <c r="H23" i="2" s="1"/>
  <c r="M24" i="1"/>
  <c r="H24" i="2" s="1"/>
  <c r="M25" i="1"/>
  <c r="H25" i="2" s="1"/>
  <c r="M26" i="1"/>
  <c r="H26" i="2" s="1"/>
  <c r="M27" i="1"/>
  <c r="H27" i="2" s="1"/>
  <c r="M28" i="1"/>
  <c r="H28" i="2" s="1"/>
  <c r="M29" i="1"/>
  <c r="H29" i="2" s="1"/>
  <c r="M30" i="1"/>
  <c r="H30" i="2" s="1"/>
  <c r="M31" i="1"/>
  <c r="H31" i="2" s="1"/>
  <c r="M32" i="1"/>
  <c r="H32" i="2" s="1"/>
  <c r="M33" i="1"/>
  <c r="H33" i="2" s="1"/>
  <c r="M34" i="1"/>
  <c r="H34" i="2" s="1"/>
  <c r="M35" i="1"/>
  <c r="H35" i="2" s="1"/>
  <c r="M36" i="1"/>
  <c r="H36" i="2" s="1"/>
  <c r="M37" i="1"/>
  <c r="H37" i="2" s="1"/>
  <c r="M38" i="1"/>
  <c r="H38" i="2" s="1"/>
  <c r="M39" i="1"/>
  <c r="H39" i="2" s="1"/>
  <c r="M40" i="1"/>
  <c r="H40" i="2" s="1"/>
  <c r="M41" i="1"/>
  <c r="H41" i="2" s="1"/>
  <c r="M42" i="1"/>
  <c r="H42" i="2" s="1"/>
  <c r="M43" i="1"/>
  <c r="H43" i="2" s="1"/>
  <c r="M44" i="1"/>
  <c r="H44" i="2" s="1"/>
  <c r="M45" i="1"/>
  <c r="H45" i="2" s="1"/>
  <c r="M46" i="1"/>
  <c r="H46" i="2" s="1"/>
  <c r="M47" i="1"/>
  <c r="H47" i="2" s="1"/>
  <c r="M48" i="1"/>
  <c r="H48" i="2" s="1"/>
  <c r="M49" i="1"/>
  <c r="H49" i="2" s="1"/>
  <c r="M50" i="1"/>
  <c r="H50" i="2" s="1"/>
  <c r="M51" i="1"/>
  <c r="H51" i="2" s="1"/>
  <c r="M52" i="1"/>
  <c r="H52" i="2" s="1"/>
  <c r="M53" i="1"/>
  <c r="H53" i="2" s="1"/>
  <c r="M54" i="1"/>
  <c r="H54" i="2" s="1"/>
  <c r="M55" i="1"/>
  <c r="H55" i="2" s="1"/>
  <c r="M56" i="1"/>
  <c r="H56" i="2" s="1"/>
  <c r="M57" i="1"/>
  <c r="H57" i="2" s="1"/>
  <c r="M58" i="1"/>
  <c r="H58" i="2" s="1"/>
  <c r="M59" i="1"/>
  <c r="H59" i="2" s="1"/>
  <c r="M60" i="1"/>
  <c r="H60" i="2" s="1"/>
  <c r="M61" i="1"/>
  <c r="H61" i="2" s="1"/>
  <c r="M62" i="1"/>
  <c r="H62" i="2" s="1"/>
  <c r="M10" i="1"/>
  <c r="H10" i="2" s="1"/>
  <c r="L11" i="1"/>
  <c r="G11" i="2" s="1"/>
  <c r="L12" i="1"/>
  <c r="G12" i="2" s="1"/>
  <c r="L13" i="1"/>
  <c r="G13" i="2" s="1"/>
  <c r="L14" i="1"/>
  <c r="G14" i="2" s="1"/>
  <c r="L15" i="1"/>
  <c r="G15" i="2" s="1"/>
  <c r="L16" i="1"/>
  <c r="G16" i="2" s="1"/>
  <c r="L17" i="1"/>
  <c r="G17" i="2" s="1"/>
  <c r="L18" i="1"/>
  <c r="G18" i="2" s="1"/>
  <c r="L19" i="1"/>
  <c r="G19" i="2" s="1"/>
  <c r="L20" i="1"/>
  <c r="G20" i="2" s="1"/>
  <c r="L21" i="1"/>
  <c r="G21" i="2" s="1"/>
  <c r="L22" i="1"/>
  <c r="G22" i="2" s="1"/>
  <c r="L23" i="1"/>
  <c r="G23" i="2" s="1"/>
  <c r="L24" i="1"/>
  <c r="G24" i="2" s="1"/>
  <c r="L25" i="1"/>
  <c r="G25" i="2" s="1"/>
  <c r="L26" i="1"/>
  <c r="G26" i="2" s="1"/>
  <c r="L27" i="1"/>
  <c r="G27" i="2" s="1"/>
  <c r="L28" i="1"/>
  <c r="G28" i="2" s="1"/>
  <c r="L29" i="1"/>
  <c r="G29" i="2" s="1"/>
  <c r="L30" i="1"/>
  <c r="G30" i="2" s="1"/>
  <c r="L31" i="1"/>
  <c r="G31" i="2" s="1"/>
  <c r="L32" i="1"/>
  <c r="L33" i="1"/>
  <c r="G33" i="2" s="1"/>
  <c r="L34" i="1"/>
  <c r="G34" i="2" s="1"/>
  <c r="L35" i="1"/>
  <c r="G35" i="2" s="1"/>
  <c r="L36" i="1"/>
  <c r="G36" i="2" s="1"/>
  <c r="L37" i="1"/>
  <c r="G37" i="2" s="1"/>
  <c r="L38" i="1"/>
  <c r="G38" i="2" s="1"/>
  <c r="L39" i="1"/>
  <c r="G39" i="2" s="1"/>
  <c r="L40" i="1"/>
  <c r="G40" i="2" s="1"/>
  <c r="L41" i="1"/>
  <c r="G41" i="2" s="1"/>
  <c r="L42" i="1"/>
  <c r="L43" i="1"/>
  <c r="G43" i="2" s="1"/>
  <c r="L44" i="1"/>
  <c r="G44" i="2" s="1"/>
  <c r="L45" i="1"/>
  <c r="G45" i="2" s="1"/>
  <c r="L46" i="1"/>
  <c r="L47" i="1"/>
  <c r="G47" i="2" s="1"/>
  <c r="L48" i="1"/>
  <c r="L49" i="1"/>
  <c r="G49" i="2" s="1"/>
  <c r="L50" i="1"/>
  <c r="G50" i="2" s="1"/>
  <c r="L51" i="1"/>
  <c r="G51" i="2" s="1"/>
  <c r="L52" i="1"/>
  <c r="L53" i="1"/>
  <c r="G53" i="2" s="1"/>
  <c r="L54" i="1"/>
  <c r="G54" i="2" s="1"/>
  <c r="L55" i="1"/>
  <c r="G55" i="2" s="1"/>
  <c r="L56" i="1"/>
  <c r="G56" i="2" s="1"/>
  <c r="L57" i="1"/>
  <c r="G57" i="2" s="1"/>
  <c r="L58" i="1"/>
  <c r="G58" i="2" s="1"/>
  <c r="L59" i="1"/>
  <c r="G59" i="2" s="1"/>
  <c r="L60" i="1"/>
  <c r="G60" i="2" s="1"/>
  <c r="L61" i="1"/>
  <c r="G61" i="2" s="1"/>
  <c r="L62" i="1"/>
  <c r="G62" i="2" s="1"/>
  <c r="L10" i="1"/>
  <c r="L64" i="1" s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G10" i="1"/>
  <c r="G64" i="1" s="1"/>
  <c r="F10" i="1"/>
  <c r="F64" i="1" s="1"/>
  <c r="E11" i="1"/>
  <c r="E12" i="1"/>
  <c r="E13" i="1"/>
  <c r="E14" i="1"/>
  <c r="E15" i="1"/>
  <c r="E16" i="1"/>
  <c r="E17" i="1"/>
  <c r="E18" i="1"/>
  <c r="E19" i="1"/>
  <c r="E21" i="1"/>
  <c r="E22" i="1"/>
  <c r="E23" i="1"/>
  <c r="E26" i="1"/>
  <c r="E28" i="1"/>
  <c r="E29" i="1"/>
  <c r="E31" i="1"/>
  <c r="E32" i="1"/>
  <c r="E33" i="1"/>
  <c r="E34" i="1"/>
  <c r="E35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5" i="1"/>
  <c r="E56" i="1"/>
  <c r="E57" i="1"/>
  <c r="E58" i="1"/>
  <c r="E59" i="1"/>
  <c r="E60" i="1"/>
  <c r="E61" i="1"/>
  <c r="E10" i="1"/>
  <c r="AP65" i="1"/>
  <c r="AZ65" i="1" s="1"/>
  <c r="BB65" i="1" s="1"/>
  <c r="BG63" i="1"/>
  <c r="BA63" i="1"/>
  <c r="AP63" i="1"/>
  <c r="AZ63" i="1" s="1"/>
  <c r="BG62" i="1"/>
  <c r="BA62" i="1"/>
  <c r="AL62" i="1"/>
  <c r="E62" i="1" s="1"/>
  <c r="AK62" i="1"/>
  <c r="C62" i="1" s="1"/>
  <c r="BG61" i="1"/>
  <c r="BA61" i="1"/>
  <c r="AK61" i="1"/>
  <c r="AP61" i="1" s="1"/>
  <c r="AW61" i="1" s="1"/>
  <c r="BG60" i="1"/>
  <c r="BA60" i="1"/>
  <c r="AJ60" i="1"/>
  <c r="AK60" i="1" s="1"/>
  <c r="AP60" i="1" s="1"/>
  <c r="AZ60" i="1" s="1"/>
  <c r="U60" i="1" s="1"/>
  <c r="BG59" i="1"/>
  <c r="BA59" i="1"/>
  <c r="AK59" i="1"/>
  <c r="AP59" i="1" s="1"/>
  <c r="AW59" i="1" s="1"/>
  <c r="BG58" i="1"/>
  <c r="BA58" i="1"/>
  <c r="AK58" i="1"/>
  <c r="AP58" i="1" s="1"/>
  <c r="BG57" i="1"/>
  <c r="BA57" i="1"/>
  <c r="AK57" i="1"/>
  <c r="AP57" i="1" s="1"/>
  <c r="AW57" i="1" s="1"/>
  <c r="BG56" i="1"/>
  <c r="BA56" i="1"/>
  <c r="AK56" i="1"/>
  <c r="AP56" i="1" s="1"/>
  <c r="AW56" i="1" s="1"/>
  <c r="BG55" i="1"/>
  <c r="BA55" i="1"/>
  <c r="AK55" i="1"/>
  <c r="AP55" i="1" s="1"/>
  <c r="AW55" i="1" s="1"/>
  <c r="BG54" i="1"/>
  <c r="BA54" i="1"/>
  <c r="AL54" i="1"/>
  <c r="E54" i="1" s="1"/>
  <c r="AK54" i="1"/>
  <c r="C54" i="1" s="1"/>
  <c r="BG53" i="1"/>
  <c r="BA53" i="1"/>
  <c r="AK53" i="1"/>
  <c r="AP53" i="1" s="1"/>
  <c r="BG52" i="1"/>
  <c r="BA52" i="1"/>
  <c r="AK52" i="1"/>
  <c r="AP52" i="1" s="1"/>
  <c r="AW52" i="1" s="1"/>
  <c r="BA51" i="1"/>
  <c r="AK51" i="1"/>
  <c r="AP51" i="1" s="1"/>
  <c r="AW51" i="1" s="1"/>
  <c r="BG50" i="1"/>
  <c r="BA50" i="1"/>
  <c r="AK50" i="1"/>
  <c r="AP50" i="1" s="1"/>
  <c r="AW50" i="1" s="1"/>
  <c r="BG49" i="1"/>
  <c r="BA49" i="1"/>
  <c r="AJ49" i="1"/>
  <c r="AK49" i="1" s="1"/>
  <c r="AP49" i="1" s="1"/>
  <c r="AW49" i="1" s="1"/>
  <c r="BG48" i="1"/>
  <c r="BA48" i="1"/>
  <c r="AK48" i="1"/>
  <c r="AP48" i="1" s="1"/>
  <c r="AZ48" i="1" s="1"/>
  <c r="U48" i="1" s="1"/>
  <c r="BG47" i="1"/>
  <c r="BA47" i="1"/>
  <c r="AK47" i="1"/>
  <c r="AP47" i="1" s="1"/>
  <c r="AW47" i="1" s="1"/>
  <c r="BG45" i="1"/>
  <c r="BA45" i="1"/>
  <c r="AK45" i="1"/>
  <c r="AP45" i="1" s="1"/>
  <c r="AX45" i="1" s="1"/>
  <c r="Q45" i="1" s="1"/>
  <c r="BG46" i="1"/>
  <c r="BA46" i="1"/>
  <c r="AK46" i="1"/>
  <c r="AP46" i="1" s="1"/>
  <c r="AW46" i="1" s="1"/>
  <c r="BG44" i="1"/>
  <c r="BA44" i="1"/>
  <c r="AK44" i="1"/>
  <c r="AP44" i="1" s="1"/>
  <c r="AW44" i="1" s="1"/>
  <c r="BG43" i="1"/>
  <c r="BA43" i="1"/>
  <c r="AJ43" i="1"/>
  <c r="AK43" i="1" s="1"/>
  <c r="AP43" i="1" s="1"/>
  <c r="AW43" i="1" s="1"/>
  <c r="BG69" i="1"/>
  <c r="BA69" i="1"/>
  <c r="AK69" i="1"/>
  <c r="AP69" i="1" s="1"/>
  <c r="AW69" i="1" s="1"/>
  <c r="BG42" i="1"/>
  <c r="BA42" i="1"/>
  <c r="AK42" i="1"/>
  <c r="AP42" i="1" s="1"/>
  <c r="AW42" i="1" s="1"/>
  <c r="BG41" i="1"/>
  <c r="BA41" i="1"/>
  <c r="AJ41" i="1"/>
  <c r="AK41" i="1" s="1"/>
  <c r="AP41" i="1" s="1"/>
  <c r="AW41" i="1" s="1"/>
  <c r="BG40" i="1"/>
  <c r="BA40" i="1"/>
  <c r="AK40" i="1"/>
  <c r="AP40" i="1" s="1"/>
  <c r="AW40" i="1" s="1"/>
  <c r="BG39" i="1"/>
  <c r="BA39" i="1"/>
  <c r="AJ39" i="1"/>
  <c r="AK39" i="1" s="1"/>
  <c r="AP39" i="1" s="1"/>
  <c r="AW39" i="1" s="1"/>
  <c r="BG38" i="1"/>
  <c r="BA38" i="1"/>
  <c r="AJ38" i="1"/>
  <c r="AK38" i="1" s="1"/>
  <c r="AP38" i="1" s="1"/>
  <c r="AW38" i="1" s="1"/>
  <c r="BG37" i="1"/>
  <c r="BA37" i="1"/>
  <c r="AL37" i="1"/>
  <c r="E37" i="1" s="1"/>
  <c r="AK37" i="1"/>
  <c r="C37" i="1" s="1"/>
  <c r="BG36" i="1"/>
  <c r="BA36" i="1"/>
  <c r="AL36" i="1"/>
  <c r="E36" i="1" s="1"/>
  <c r="J36" i="1" s="1"/>
  <c r="C36" i="2" s="1"/>
  <c r="AK36" i="1"/>
  <c r="C36" i="1" s="1"/>
  <c r="BG35" i="1"/>
  <c r="BA35" i="1"/>
  <c r="AK35" i="1"/>
  <c r="AP35" i="1" s="1"/>
  <c r="BG34" i="1"/>
  <c r="BA34" i="1"/>
  <c r="AK34" i="1"/>
  <c r="AP34" i="1" s="1"/>
  <c r="BG31" i="1"/>
  <c r="BA31" i="1"/>
  <c r="AK31" i="1"/>
  <c r="AP31" i="1" s="1"/>
  <c r="BG33" i="1"/>
  <c r="BA33" i="1"/>
  <c r="AJ33" i="1"/>
  <c r="AK33" i="1" s="1"/>
  <c r="AP33" i="1" s="1"/>
  <c r="BG32" i="1"/>
  <c r="BA32" i="1"/>
  <c r="AK32" i="1"/>
  <c r="AP32" i="1" s="1"/>
  <c r="BG30" i="1"/>
  <c r="BA30" i="1"/>
  <c r="AL30" i="1"/>
  <c r="E30" i="1" s="1"/>
  <c r="AK30" i="1"/>
  <c r="C30" i="1" s="1"/>
  <c r="BG29" i="1"/>
  <c r="BA29" i="1"/>
  <c r="AK29" i="1"/>
  <c r="AP29" i="1" s="1"/>
  <c r="BG28" i="1"/>
  <c r="BA28" i="1"/>
  <c r="AK28" i="1"/>
  <c r="AP28" i="1" s="1"/>
  <c r="BG27" i="1"/>
  <c r="BA27" i="1"/>
  <c r="AL27" i="1"/>
  <c r="E27" i="1" s="1"/>
  <c r="AK27" i="1"/>
  <c r="C27" i="1" s="1"/>
  <c r="BG26" i="1"/>
  <c r="BA26" i="1"/>
  <c r="AK26" i="1"/>
  <c r="AP26" i="1" s="1"/>
  <c r="AW26" i="1" s="1"/>
  <c r="BG25" i="1"/>
  <c r="BA25" i="1"/>
  <c r="AL25" i="1"/>
  <c r="E25" i="1" s="1"/>
  <c r="J25" i="1" s="1"/>
  <c r="AK25" i="1"/>
  <c r="C25" i="1" s="1"/>
  <c r="BG68" i="1"/>
  <c r="BA68" i="1"/>
  <c r="AP68" i="1"/>
  <c r="AW68" i="1" s="1"/>
  <c r="BG24" i="1"/>
  <c r="BA24" i="1"/>
  <c r="AL24" i="1"/>
  <c r="E24" i="1" s="1"/>
  <c r="AK24" i="1"/>
  <c r="C24" i="1" s="1"/>
  <c r="BG23" i="1"/>
  <c r="BA23" i="1"/>
  <c r="AK23" i="1"/>
  <c r="AP23" i="1" s="1"/>
  <c r="BG22" i="1"/>
  <c r="BA22" i="1"/>
  <c r="AK22" i="1"/>
  <c r="AP22" i="1" s="1"/>
  <c r="BG21" i="1"/>
  <c r="BA21" i="1"/>
  <c r="AK21" i="1"/>
  <c r="AP21" i="1" s="1"/>
  <c r="BG20" i="1"/>
  <c r="BA20" i="1"/>
  <c r="AL20" i="1"/>
  <c r="E20" i="1" s="1"/>
  <c r="J20" i="1" s="1"/>
  <c r="AK20" i="1"/>
  <c r="C20" i="1" s="1"/>
  <c r="BG19" i="1"/>
  <c r="BA19" i="1"/>
  <c r="AK19" i="1"/>
  <c r="AP19" i="1" s="1"/>
  <c r="AW19" i="1" s="1"/>
  <c r="BG67" i="1"/>
  <c r="BA67" i="1"/>
  <c r="AK67" i="1"/>
  <c r="AP67" i="1" s="1"/>
  <c r="AW67" i="1" s="1"/>
  <c r="BG18" i="1"/>
  <c r="BA18" i="1"/>
  <c r="AJ18" i="1"/>
  <c r="AK18" i="1" s="1"/>
  <c r="AP18" i="1" s="1"/>
  <c r="BG17" i="1"/>
  <c r="BA17" i="1"/>
  <c r="AJ17" i="1"/>
  <c r="AK17" i="1" s="1"/>
  <c r="AP17" i="1" s="1"/>
  <c r="BG16" i="1"/>
  <c r="BA16" i="1"/>
  <c r="AK16" i="1"/>
  <c r="AP16" i="1" s="1"/>
  <c r="AW16" i="1" s="1"/>
  <c r="BG15" i="1"/>
  <c r="BA15" i="1"/>
  <c r="AK15" i="1"/>
  <c r="AP15" i="1" s="1"/>
  <c r="AW15" i="1" s="1"/>
  <c r="BG14" i="1"/>
  <c r="BA14" i="1"/>
  <c r="AJ14" i="1"/>
  <c r="AK14" i="1" s="1"/>
  <c r="AP14" i="1" s="1"/>
  <c r="BG13" i="1"/>
  <c r="BA13" i="1"/>
  <c r="AK13" i="1"/>
  <c r="AP13" i="1" s="1"/>
  <c r="AW13" i="1" s="1"/>
  <c r="BG12" i="1"/>
  <c r="BA12" i="1"/>
  <c r="AK12" i="1"/>
  <c r="AP12" i="1" s="1"/>
  <c r="AW12" i="1" s="1"/>
  <c r="BG11" i="1"/>
  <c r="BA11" i="1"/>
  <c r="AK11" i="1"/>
  <c r="AP11" i="1" s="1"/>
  <c r="AW11" i="1" s="1"/>
  <c r="BC10" i="1"/>
  <c r="BA10" i="1"/>
  <c r="AK10" i="1"/>
  <c r="C10" i="1" s="1"/>
  <c r="L74" i="9"/>
  <c r="P74" i="9" s="1"/>
  <c r="W74" i="9" s="1"/>
  <c r="P73" i="9"/>
  <c r="W73" i="9" s="1"/>
  <c r="P72" i="9"/>
  <c r="W72" i="9" s="1"/>
  <c r="L72" i="9"/>
  <c r="W71" i="9"/>
  <c r="Z71" i="9" s="1"/>
  <c r="P71" i="9"/>
  <c r="L70" i="9"/>
  <c r="P70" i="9" s="1"/>
  <c r="W70" i="9" s="1"/>
  <c r="V67" i="9"/>
  <c r="U67" i="9"/>
  <c r="T67" i="9"/>
  <c r="S67" i="9"/>
  <c r="Q67" i="9"/>
  <c r="O67" i="9"/>
  <c r="N67" i="9"/>
  <c r="M67" i="9"/>
  <c r="P65" i="9"/>
  <c r="Z65" i="9" s="1"/>
  <c r="AG63" i="9"/>
  <c r="AA63" i="9"/>
  <c r="P63" i="9"/>
  <c r="W63" i="9" s="1"/>
  <c r="AG62" i="9"/>
  <c r="AA62" i="9"/>
  <c r="L62" i="9"/>
  <c r="K62" i="9"/>
  <c r="P62" i="9" s="1"/>
  <c r="AG61" i="9"/>
  <c r="AA61" i="9"/>
  <c r="K61" i="9"/>
  <c r="P61" i="9" s="1"/>
  <c r="AG60" i="9"/>
  <c r="AA60" i="9"/>
  <c r="J60" i="9"/>
  <c r="K60" i="9" s="1"/>
  <c r="P60" i="9" s="1"/>
  <c r="AG59" i="9"/>
  <c r="AA59" i="9"/>
  <c r="K59" i="9"/>
  <c r="P59" i="9" s="1"/>
  <c r="AG58" i="9"/>
  <c r="AA58" i="9"/>
  <c r="K58" i="9"/>
  <c r="P58" i="9" s="1"/>
  <c r="AG57" i="9"/>
  <c r="AA57" i="9"/>
  <c r="K57" i="9"/>
  <c r="P57" i="9" s="1"/>
  <c r="AG56" i="9"/>
  <c r="AA56" i="9"/>
  <c r="K56" i="9"/>
  <c r="P56" i="9" s="1"/>
  <c r="AG55" i="9"/>
  <c r="AA55" i="9"/>
  <c r="K55" i="9"/>
  <c r="P55" i="9" s="1"/>
  <c r="AG54" i="9"/>
  <c r="AA54" i="9"/>
  <c r="L54" i="9"/>
  <c r="K54" i="9"/>
  <c r="P54" i="9" s="1"/>
  <c r="AG53" i="9"/>
  <c r="AA53" i="9"/>
  <c r="K53" i="9"/>
  <c r="P53" i="9" s="1"/>
  <c r="AG52" i="9"/>
  <c r="AA52" i="9"/>
  <c r="K52" i="9"/>
  <c r="P52" i="9" s="1"/>
  <c r="AA51" i="9"/>
  <c r="K51" i="9"/>
  <c r="P51" i="9" s="1"/>
  <c r="AG50" i="9"/>
  <c r="AA50" i="9"/>
  <c r="K50" i="9"/>
  <c r="P50" i="9" s="1"/>
  <c r="AG49" i="9"/>
  <c r="AA49" i="9"/>
  <c r="J49" i="9"/>
  <c r="K49" i="9" s="1"/>
  <c r="P49" i="9" s="1"/>
  <c r="AG48" i="9"/>
  <c r="AA48" i="9"/>
  <c r="K48" i="9"/>
  <c r="P48" i="9" s="1"/>
  <c r="AG47" i="9"/>
  <c r="AA47" i="9"/>
  <c r="P47" i="9"/>
  <c r="W47" i="9" s="1"/>
  <c r="K47" i="9"/>
  <c r="AG46" i="9"/>
  <c r="AA46" i="9"/>
  <c r="P46" i="9"/>
  <c r="Z46" i="9" s="1"/>
  <c r="K46" i="9"/>
  <c r="AG45" i="9"/>
  <c r="AA45" i="9"/>
  <c r="P45" i="9"/>
  <c r="K45" i="9"/>
  <c r="AG44" i="9"/>
  <c r="AA44" i="9"/>
  <c r="P44" i="9"/>
  <c r="K44" i="9"/>
  <c r="AG43" i="9"/>
  <c r="AA43" i="9"/>
  <c r="J43" i="9"/>
  <c r="K43" i="9" s="1"/>
  <c r="P43" i="9" s="1"/>
  <c r="AG42" i="9"/>
  <c r="AA42" i="9"/>
  <c r="K42" i="9"/>
  <c r="P42" i="9" s="1"/>
  <c r="AG41" i="9"/>
  <c r="AA41" i="9"/>
  <c r="K41" i="9"/>
  <c r="P41" i="9" s="1"/>
  <c r="AG40" i="9"/>
  <c r="AA40" i="9"/>
  <c r="K40" i="9"/>
  <c r="P40" i="9" s="1"/>
  <c r="J40" i="9"/>
  <c r="AG39" i="9"/>
  <c r="AA39" i="9"/>
  <c r="P39" i="9"/>
  <c r="K39" i="9"/>
  <c r="AG38" i="9"/>
  <c r="AA38" i="9"/>
  <c r="J38" i="9"/>
  <c r="K38" i="9" s="1"/>
  <c r="P38" i="9" s="1"/>
  <c r="AG37" i="9"/>
  <c r="AA37" i="9"/>
  <c r="K37" i="9"/>
  <c r="P37" i="9" s="1"/>
  <c r="J37" i="9"/>
  <c r="AG36" i="9"/>
  <c r="AA36" i="9"/>
  <c r="L36" i="9"/>
  <c r="K36" i="9"/>
  <c r="P36" i="9" s="1"/>
  <c r="AG35" i="9"/>
  <c r="AA35" i="9"/>
  <c r="L35" i="9"/>
  <c r="K35" i="9"/>
  <c r="P35" i="9" s="1"/>
  <c r="AG34" i="9"/>
  <c r="AA34" i="9"/>
  <c r="P34" i="9"/>
  <c r="K34" i="9"/>
  <c r="AG33" i="9"/>
  <c r="AA33" i="9"/>
  <c r="P33" i="9"/>
  <c r="K33" i="9"/>
  <c r="AG32" i="9"/>
  <c r="AA32" i="9"/>
  <c r="P32" i="9"/>
  <c r="K32" i="9"/>
  <c r="AG31" i="9"/>
  <c r="AA31" i="9"/>
  <c r="J31" i="9"/>
  <c r="K31" i="9" s="1"/>
  <c r="P31" i="9" s="1"/>
  <c r="AG30" i="9"/>
  <c r="AA30" i="9"/>
  <c r="K30" i="9"/>
  <c r="P30" i="9" s="1"/>
  <c r="AG29" i="9"/>
  <c r="AA29" i="9"/>
  <c r="L29" i="9"/>
  <c r="K29" i="9"/>
  <c r="P29" i="9" s="1"/>
  <c r="AG28" i="9"/>
  <c r="AA28" i="9"/>
  <c r="P28" i="9"/>
  <c r="K28" i="9"/>
  <c r="AG27" i="9"/>
  <c r="AA27" i="9"/>
  <c r="K27" i="9"/>
  <c r="P27" i="9" s="1"/>
  <c r="AG26" i="9"/>
  <c r="AA26" i="9"/>
  <c r="L26" i="9"/>
  <c r="K26" i="9"/>
  <c r="P26" i="9" s="1"/>
  <c r="AG25" i="9"/>
  <c r="AA25" i="9"/>
  <c r="K25" i="9"/>
  <c r="P25" i="9" s="1"/>
  <c r="AG24" i="9"/>
  <c r="AA24" i="9"/>
  <c r="L24" i="9"/>
  <c r="K24" i="9"/>
  <c r="P24" i="9" s="1"/>
  <c r="AG23" i="9"/>
  <c r="AA23" i="9"/>
  <c r="P23" i="9"/>
  <c r="AG22" i="9"/>
  <c r="AA22" i="9"/>
  <c r="L22" i="9"/>
  <c r="K22" i="9"/>
  <c r="P22" i="9" s="1"/>
  <c r="AG21" i="9"/>
  <c r="AA21" i="9"/>
  <c r="P21" i="9"/>
  <c r="W21" i="9" s="1"/>
  <c r="K21" i="9"/>
  <c r="AG20" i="9"/>
  <c r="AA20" i="9"/>
  <c r="P20" i="9"/>
  <c r="W20" i="9" s="1"/>
  <c r="K20" i="9"/>
  <c r="AG19" i="9"/>
  <c r="AA19" i="9"/>
  <c r="P19" i="9"/>
  <c r="W19" i="9" s="1"/>
  <c r="K19" i="9"/>
  <c r="AG18" i="9"/>
  <c r="AA18" i="9"/>
  <c r="L18" i="9"/>
  <c r="L67" i="9" s="1"/>
  <c r="K18" i="9"/>
  <c r="P18" i="9" s="1"/>
  <c r="AG17" i="9"/>
  <c r="AA17" i="9"/>
  <c r="K17" i="9"/>
  <c r="P17" i="9" s="1"/>
  <c r="AG16" i="9"/>
  <c r="AA16" i="9"/>
  <c r="K16" i="9"/>
  <c r="P16" i="9" s="1"/>
  <c r="AG15" i="9"/>
  <c r="AA15" i="9"/>
  <c r="K15" i="9"/>
  <c r="P15" i="9" s="1"/>
  <c r="J15" i="9"/>
  <c r="AG14" i="9"/>
  <c r="AA14" i="9"/>
  <c r="J14" i="9"/>
  <c r="K14" i="9" s="1"/>
  <c r="P14" i="9" s="1"/>
  <c r="AG13" i="9"/>
  <c r="AA13" i="9"/>
  <c r="K13" i="9"/>
  <c r="P13" i="9" s="1"/>
  <c r="AG12" i="9"/>
  <c r="AA12" i="9"/>
  <c r="K12" i="9"/>
  <c r="P12" i="9" s="1"/>
  <c r="AG11" i="9"/>
  <c r="AA11" i="9"/>
  <c r="K11" i="9"/>
  <c r="P11" i="9" s="1"/>
  <c r="J11" i="9"/>
  <c r="AG10" i="9"/>
  <c r="AA10" i="9"/>
  <c r="P10" i="9"/>
  <c r="W10" i="9" s="1"/>
  <c r="K10" i="9"/>
  <c r="AG9" i="9"/>
  <c r="AA9" i="9"/>
  <c r="P9" i="9"/>
  <c r="W9" i="9" s="1"/>
  <c r="K9" i="9"/>
  <c r="AG8" i="9"/>
  <c r="AA8" i="9"/>
  <c r="P8" i="9"/>
  <c r="W8" i="9" s="1"/>
  <c r="K8" i="9"/>
  <c r="AC7" i="9"/>
  <c r="AA7" i="9"/>
  <c r="AA67" i="9" s="1"/>
  <c r="K7" i="9"/>
  <c r="H64" i="2" l="1"/>
  <c r="J37" i="1"/>
  <c r="J54" i="1"/>
  <c r="C54" i="2" s="1"/>
  <c r="E64" i="1"/>
  <c r="G52" i="2"/>
  <c r="G48" i="2"/>
  <c r="G46" i="2"/>
  <c r="G42" i="2"/>
  <c r="G32" i="2"/>
  <c r="J24" i="1"/>
  <c r="J27" i="1"/>
  <c r="C27" i="2" s="1"/>
  <c r="J30" i="1"/>
  <c r="M64" i="1"/>
  <c r="P64" i="1"/>
  <c r="G10" i="2"/>
  <c r="K10" i="2"/>
  <c r="K64" i="2" s="1"/>
  <c r="K64" i="1"/>
  <c r="F10" i="2"/>
  <c r="C20" i="2"/>
  <c r="T20" i="1"/>
  <c r="C25" i="2"/>
  <c r="T25" i="1"/>
  <c r="C37" i="2"/>
  <c r="T37" i="1"/>
  <c r="R45" i="1"/>
  <c r="L45" i="2"/>
  <c r="M45" i="2" s="1"/>
  <c r="T36" i="1"/>
  <c r="T54" i="1"/>
  <c r="T27" i="1"/>
  <c r="AW58" i="1"/>
  <c r="J62" i="1"/>
  <c r="T62" i="1" s="1"/>
  <c r="C61" i="1"/>
  <c r="J61" i="1" s="1"/>
  <c r="C60" i="1"/>
  <c r="J60" i="1" s="1"/>
  <c r="C59" i="1"/>
  <c r="J59" i="1" s="1"/>
  <c r="C58" i="1"/>
  <c r="J58" i="1" s="1"/>
  <c r="C57" i="1"/>
  <c r="J57" i="1" s="1"/>
  <c r="C56" i="1"/>
  <c r="J56" i="1" s="1"/>
  <c r="C55" i="1"/>
  <c r="J55" i="1" s="1"/>
  <c r="C53" i="1"/>
  <c r="J53" i="1" s="1"/>
  <c r="C52" i="1"/>
  <c r="J52" i="1" s="1"/>
  <c r="C51" i="1"/>
  <c r="J51" i="1" s="1"/>
  <c r="C50" i="1"/>
  <c r="J50" i="1" s="1"/>
  <c r="C49" i="1"/>
  <c r="J49" i="1" s="1"/>
  <c r="C48" i="1"/>
  <c r="J48" i="1" s="1"/>
  <c r="C47" i="1"/>
  <c r="J47" i="1" s="1"/>
  <c r="C46" i="1"/>
  <c r="J46" i="1" s="1"/>
  <c r="C45" i="1"/>
  <c r="J45" i="1" s="1"/>
  <c r="C44" i="1"/>
  <c r="J44" i="1" s="1"/>
  <c r="C43" i="1"/>
  <c r="J43" i="1" s="1"/>
  <c r="C42" i="1"/>
  <c r="J42" i="1" s="1"/>
  <c r="C41" i="1"/>
  <c r="J41" i="1" s="1"/>
  <c r="C40" i="1"/>
  <c r="J40" i="1" s="1"/>
  <c r="C39" i="1"/>
  <c r="J39" i="1" s="1"/>
  <c r="C38" i="1"/>
  <c r="J38" i="1" s="1"/>
  <c r="C35" i="1"/>
  <c r="J35" i="1" s="1"/>
  <c r="C34" i="1"/>
  <c r="J34" i="1" s="1"/>
  <c r="C33" i="1"/>
  <c r="J33" i="1" s="1"/>
  <c r="C32" i="1"/>
  <c r="J32" i="1" s="1"/>
  <c r="C31" i="1"/>
  <c r="J31" i="1" s="1"/>
  <c r="C29" i="1"/>
  <c r="J29" i="1" s="1"/>
  <c r="C28" i="1"/>
  <c r="J28" i="1" s="1"/>
  <c r="C26" i="1"/>
  <c r="J26" i="1" s="1"/>
  <c r="C23" i="1"/>
  <c r="J23" i="1" s="1"/>
  <c r="C22" i="1"/>
  <c r="J22" i="1" s="1"/>
  <c r="C21" i="1"/>
  <c r="J21" i="1" s="1"/>
  <c r="C19" i="1"/>
  <c r="J19" i="1" s="1"/>
  <c r="C18" i="1"/>
  <c r="J18" i="1" s="1"/>
  <c r="C17" i="1"/>
  <c r="J17" i="1" s="1"/>
  <c r="C16" i="1"/>
  <c r="J16" i="1" s="1"/>
  <c r="C15" i="1"/>
  <c r="J15" i="1" s="1"/>
  <c r="C14" i="1"/>
  <c r="J14" i="1" s="1"/>
  <c r="C13" i="1"/>
  <c r="J13" i="1" s="1"/>
  <c r="C12" i="1"/>
  <c r="J12" i="1" s="1"/>
  <c r="C11" i="1"/>
  <c r="J11" i="1" s="1"/>
  <c r="AP36" i="1"/>
  <c r="AW36" i="1" s="1"/>
  <c r="AP37" i="1"/>
  <c r="AX37" i="1" s="1"/>
  <c r="Q37" i="1" s="1"/>
  <c r="BB60" i="1"/>
  <c r="BB48" i="1"/>
  <c r="AP30" i="1"/>
  <c r="AW30" i="1" s="1"/>
  <c r="AW45" i="1"/>
  <c r="AY45" i="1" s="1"/>
  <c r="BD45" i="1" s="1"/>
  <c r="AP54" i="1"/>
  <c r="AZ54" i="1" s="1"/>
  <c r="U54" i="1" s="1"/>
  <c r="W54" i="1" s="1"/>
  <c r="BB63" i="1"/>
  <c r="AW32" i="1"/>
  <c r="AX32" i="1"/>
  <c r="Q32" i="1" s="1"/>
  <c r="L32" i="2" s="1"/>
  <c r="M32" i="2" s="1"/>
  <c r="AX16" i="1"/>
  <c r="AX19" i="1"/>
  <c r="AP24" i="1"/>
  <c r="AW24" i="1" s="1"/>
  <c r="AP25" i="1"/>
  <c r="AW25" i="1" s="1"/>
  <c r="AX26" i="1"/>
  <c r="AX42" i="1"/>
  <c r="Q42" i="1" s="1"/>
  <c r="L42" i="2" s="1"/>
  <c r="M42" i="2" s="1"/>
  <c r="AX47" i="1"/>
  <c r="Q47" i="1" s="1"/>
  <c r="L47" i="2" s="1"/>
  <c r="M47" i="2" s="1"/>
  <c r="AX52" i="1"/>
  <c r="Q52" i="1" s="1"/>
  <c r="L52" i="2" s="1"/>
  <c r="M52" i="2" s="1"/>
  <c r="AX61" i="1"/>
  <c r="Q61" i="1" s="1"/>
  <c r="L61" i="2" s="1"/>
  <c r="M61" i="2" s="1"/>
  <c r="AW65" i="1"/>
  <c r="AX25" i="1"/>
  <c r="Q25" i="1" s="1"/>
  <c r="AZ14" i="1"/>
  <c r="U14" i="1" s="1"/>
  <c r="AX14" i="1"/>
  <c r="Q14" i="1" s="1"/>
  <c r="AW14" i="1"/>
  <c r="AW18" i="1"/>
  <c r="AZ18" i="1"/>
  <c r="U18" i="1" s="1"/>
  <c r="AX18" i="1"/>
  <c r="Q18" i="1" s="1"/>
  <c r="AX30" i="1"/>
  <c r="Q30" i="1" s="1"/>
  <c r="BG10" i="1"/>
  <c r="AX11" i="1"/>
  <c r="AZ11" i="1"/>
  <c r="AX12" i="1"/>
  <c r="AZ12" i="1"/>
  <c r="AX13" i="1"/>
  <c r="AZ13" i="1"/>
  <c r="AZ15" i="1"/>
  <c r="AZ17" i="1"/>
  <c r="U17" i="1" s="1"/>
  <c r="AX17" i="1"/>
  <c r="Q17" i="1" s="1"/>
  <c r="AZ67" i="1"/>
  <c r="BB67" i="1" s="1"/>
  <c r="AZ21" i="1"/>
  <c r="AX21" i="1"/>
  <c r="Q21" i="1" s="1"/>
  <c r="L21" i="2" s="1"/>
  <c r="M21" i="2" s="1"/>
  <c r="AZ22" i="1"/>
  <c r="AX22" i="1"/>
  <c r="Q22" i="1" s="1"/>
  <c r="L22" i="2" s="1"/>
  <c r="M22" i="2" s="1"/>
  <c r="AZ23" i="1"/>
  <c r="AX23" i="1"/>
  <c r="Q23" i="1" s="1"/>
  <c r="L23" i="2" s="1"/>
  <c r="M23" i="2" s="1"/>
  <c r="AZ28" i="1"/>
  <c r="AX28" i="1"/>
  <c r="Q28" i="1" s="1"/>
  <c r="L28" i="2" s="1"/>
  <c r="M28" i="2" s="1"/>
  <c r="AZ29" i="1"/>
  <c r="AX29" i="1"/>
  <c r="Q29" i="1" s="1"/>
  <c r="L29" i="2" s="1"/>
  <c r="M29" i="2" s="1"/>
  <c r="AZ33" i="1"/>
  <c r="U33" i="1" s="1"/>
  <c r="AX33" i="1"/>
  <c r="Q33" i="1" s="1"/>
  <c r="AZ31" i="1"/>
  <c r="U31" i="1" s="1"/>
  <c r="AX31" i="1"/>
  <c r="Q31" i="1" s="1"/>
  <c r="AZ34" i="1"/>
  <c r="AX34" i="1"/>
  <c r="Q34" i="1" s="1"/>
  <c r="L34" i="2" s="1"/>
  <c r="M34" i="2" s="1"/>
  <c r="AZ35" i="1"/>
  <c r="AX35" i="1"/>
  <c r="Q35" i="1" s="1"/>
  <c r="L35" i="2" s="1"/>
  <c r="M35" i="2" s="1"/>
  <c r="AZ38" i="1"/>
  <c r="U38" i="1" s="1"/>
  <c r="AZ41" i="1"/>
  <c r="U41" i="1" s="1"/>
  <c r="AZ69" i="1"/>
  <c r="BB69" i="1" s="1"/>
  <c r="AW53" i="1"/>
  <c r="AX53" i="1"/>
  <c r="Q53" i="1" s="1"/>
  <c r="L53" i="2" s="1"/>
  <c r="M53" i="2" s="1"/>
  <c r="AP10" i="1"/>
  <c r="AX15" i="1"/>
  <c r="AZ16" i="1"/>
  <c r="AW17" i="1"/>
  <c r="AX67" i="1"/>
  <c r="AY67" i="1" s="1"/>
  <c r="BD67" i="1" s="1"/>
  <c r="AZ19" i="1"/>
  <c r="AP20" i="1"/>
  <c r="AW21" i="1"/>
  <c r="AY21" i="1" s="1"/>
  <c r="BD21" i="1" s="1"/>
  <c r="AW22" i="1"/>
  <c r="AW23" i="1"/>
  <c r="AY23" i="1" s="1"/>
  <c r="BD23" i="1" s="1"/>
  <c r="AZ26" i="1"/>
  <c r="AP27" i="1"/>
  <c r="AW28" i="1"/>
  <c r="AY28" i="1" s="1"/>
  <c r="BD28" i="1" s="1"/>
  <c r="AW29" i="1"/>
  <c r="AY32" i="1"/>
  <c r="BD32" i="1" s="1"/>
  <c r="AZ32" i="1"/>
  <c r="AW33" i="1"/>
  <c r="AW31" i="1"/>
  <c r="AW34" i="1"/>
  <c r="AY34" i="1" s="1"/>
  <c r="BD34" i="1" s="1"/>
  <c r="AW35" i="1"/>
  <c r="AX38" i="1"/>
  <c r="AZ39" i="1"/>
  <c r="U39" i="1" s="1"/>
  <c r="AX39" i="1"/>
  <c r="AZ40" i="1"/>
  <c r="AX40" i="1"/>
  <c r="AX41" i="1"/>
  <c r="AY42" i="1"/>
  <c r="BD42" i="1" s="1"/>
  <c r="AZ42" i="1"/>
  <c r="AX69" i="1"/>
  <c r="AY69" i="1" s="1"/>
  <c r="BD69" i="1" s="1"/>
  <c r="AZ43" i="1"/>
  <c r="U43" i="1" s="1"/>
  <c r="AX43" i="1"/>
  <c r="AZ44" i="1"/>
  <c r="AX44" i="1"/>
  <c r="AZ46" i="1"/>
  <c r="AX46" i="1"/>
  <c r="AZ45" i="1"/>
  <c r="U45" i="1" s="1"/>
  <c r="AW48" i="1"/>
  <c r="AX48" i="1"/>
  <c r="Q48" i="1" s="1"/>
  <c r="L48" i="2" s="1"/>
  <c r="M48" i="2" s="1"/>
  <c r="AZ53" i="1"/>
  <c r="AW60" i="1"/>
  <c r="AX60" i="1"/>
  <c r="Q60" i="1" s="1"/>
  <c r="AW63" i="1"/>
  <c r="AX63" i="1"/>
  <c r="AX68" i="1"/>
  <c r="AY68" i="1" s="1"/>
  <c r="BD68" i="1" s="1"/>
  <c r="AZ68" i="1"/>
  <c r="BB68" i="1" s="1"/>
  <c r="AY47" i="1"/>
  <c r="BD47" i="1" s="1"/>
  <c r="AZ47" i="1"/>
  <c r="AZ49" i="1"/>
  <c r="U49" i="1" s="1"/>
  <c r="AX49" i="1"/>
  <c r="AZ50" i="1"/>
  <c r="AX50" i="1"/>
  <c r="AZ51" i="1"/>
  <c r="U51" i="1" s="1"/>
  <c r="AX51" i="1"/>
  <c r="AY52" i="1"/>
  <c r="BD52" i="1" s="1"/>
  <c r="AZ52" i="1"/>
  <c r="AZ55" i="1"/>
  <c r="AX55" i="1"/>
  <c r="AZ56" i="1"/>
  <c r="AX56" i="1"/>
  <c r="AZ57" i="1"/>
  <c r="AX57" i="1"/>
  <c r="AZ58" i="1"/>
  <c r="AX58" i="1"/>
  <c r="AZ59" i="1"/>
  <c r="AX59" i="1"/>
  <c r="AY61" i="1"/>
  <c r="BD61" i="1" s="1"/>
  <c r="AZ61" i="1"/>
  <c r="AP62" i="1"/>
  <c r="AX65" i="1"/>
  <c r="Y8" i="9"/>
  <c r="AD8" i="9" s="1"/>
  <c r="Y10" i="9"/>
  <c r="AD10" i="9" s="1"/>
  <c r="Z11" i="9"/>
  <c r="AB11" i="9" s="1"/>
  <c r="X11" i="9"/>
  <c r="W11" i="9"/>
  <c r="Y11" i="9" s="1"/>
  <c r="AD11" i="9" s="1"/>
  <c r="Z13" i="9"/>
  <c r="AB13" i="9" s="1"/>
  <c r="X13" i="9"/>
  <c r="W13" i="9"/>
  <c r="Y13" i="9" s="1"/>
  <c r="AD13" i="9" s="1"/>
  <c r="Z16" i="9"/>
  <c r="AB16" i="9" s="1"/>
  <c r="X16" i="9"/>
  <c r="W16" i="9"/>
  <c r="Y16" i="9" s="1"/>
  <c r="AD16" i="9" s="1"/>
  <c r="W18" i="9"/>
  <c r="AB18" i="9"/>
  <c r="Z18" i="9"/>
  <c r="X18" i="9"/>
  <c r="Z22" i="9"/>
  <c r="AB22" i="9" s="1"/>
  <c r="X22" i="9"/>
  <c r="W22" i="9"/>
  <c r="Y22" i="9" s="1"/>
  <c r="AD22" i="9" s="1"/>
  <c r="Z12" i="9"/>
  <c r="AB12" i="9" s="1"/>
  <c r="X12" i="9"/>
  <c r="W12" i="9"/>
  <c r="Y12" i="9" s="1"/>
  <c r="AD12" i="9" s="1"/>
  <c r="W14" i="9"/>
  <c r="AB14" i="9"/>
  <c r="Z14" i="9"/>
  <c r="X14" i="9"/>
  <c r="Z15" i="9"/>
  <c r="AB15" i="9" s="1"/>
  <c r="X15" i="9"/>
  <c r="W15" i="9"/>
  <c r="Y15" i="9" s="1"/>
  <c r="AD15" i="9" s="1"/>
  <c r="Z17" i="9"/>
  <c r="AB17" i="9" s="1"/>
  <c r="X17" i="9"/>
  <c r="W17" i="9"/>
  <c r="Y17" i="9" s="1"/>
  <c r="AD17" i="9" s="1"/>
  <c r="Y20" i="9"/>
  <c r="AD20" i="9" s="1"/>
  <c r="AG7" i="9"/>
  <c r="X8" i="9"/>
  <c r="Z8" i="9"/>
  <c r="AB8" i="9" s="1"/>
  <c r="X9" i="9"/>
  <c r="Y9" i="9" s="1"/>
  <c r="AD9" i="9" s="1"/>
  <c r="Z9" i="9"/>
  <c r="AB9" i="9"/>
  <c r="X10" i="9"/>
  <c r="Z10" i="9"/>
  <c r="AB10" i="9" s="1"/>
  <c r="X19" i="9"/>
  <c r="Y19" i="9" s="1"/>
  <c r="AD19" i="9" s="1"/>
  <c r="Z19" i="9"/>
  <c r="AB19" i="9"/>
  <c r="X20" i="9"/>
  <c r="Z20" i="9"/>
  <c r="AB20" i="9" s="1"/>
  <c r="X21" i="9"/>
  <c r="Y21" i="9" s="1"/>
  <c r="AD21" i="9" s="1"/>
  <c r="Z21" i="9"/>
  <c r="AB21" i="9"/>
  <c r="Z23" i="9"/>
  <c r="AB23" i="9" s="1"/>
  <c r="X23" i="9"/>
  <c r="AB26" i="9"/>
  <c r="Z26" i="9"/>
  <c r="X26" i="9"/>
  <c r="W26" i="9"/>
  <c r="AB27" i="9"/>
  <c r="Z27" i="9"/>
  <c r="X27" i="9"/>
  <c r="W27" i="9"/>
  <c r="Z31" i="9"/>
  <c r="AB31" i="9" s="1"/>
  <c r="X31" i="9"/>
  <c r="W31" i="9"/>
  <c r="Y31" i="9" s="1"/>
  <c r="AD31" i="9" s="1"/>
  <c r="W37" i="9"/>
  <c r="Y37" i="9" s="1"/>
  <c r="AD37" i="9" s="1"/>
  <c r="Z37" i="9"/>
  <c r="AB37" i="9" s="1"/>
  <c r="X37" i="9"/>
  <c r="W41" i="9"/>
  <c r="Y41" i="9" s="1"/>
  <c r="AD41" i="9" s="1"/>
  <c r="Z41" i="9"/>
  <c r="AB41" i="9" s="1"/>
  <c r="X41" i="9"/>
  <c r="AB43" i="9"/>
  <c r="Z43" i="9"/>
  <c r="X43" i="9"/>
  <c r="W43" i="9"/>
  <c r="K67" i="9"/>
  <c r="P7" i="9"/>
  <c r="W23" i="9"/>
  <c r="Y23" i="9" s="1"/>
  <c r="AD23" i="9" s="1"/>
  <c r="W24" i="9"/>
  <c r="AB24" i="9"/>
  <c r="Z24" i="9"/>
  <c r="X24" i="9"/>
  <c r="W25" i="9"/>
  <c r="AB25" i="9"/>
  <c r="Z25" i="9"/>
  <c r="X25" i="9"/>
  <c r="W29" i="9"/>
  <c r="AB29" i="9"/>
  <c r="Z29" i="9"/>
  <c r="X29" i="9"/>
  <c r="W30" i="9"/>
  <c r="AB30" i="9"/>
  <c r="Z30" i="9"/>
  <c r="X30" i="9"/>
  <c r="W35" i="9"/>
  <c r="AB35" i="9"/>
  <c r="Z35" i="9"/>
  <c r="X35" i="9"/>
  <c r="Z36" i="9"/>
  <c r="AB36" i="9" s="1"/>
  <c r="X36" i="9"/>
  <c r="W36" i="9"/>
  <c r="Y36" i="9" s="1"/>
  <c r="AD36" i="9" s="1"/>
  <c r="Z38" i="9"/>
  <c r="AB38" i="9" s="1"/>
  <c r="X38" i="9"/>
  <c r="W38" i="9"/>
  <c r="Y38" i="9" s="1"/>
  <c r="AD38" i="9" s="1"/>
  <c r="W40" i="9"/>
  <c r="Y40" i="9" s="1"/>
  <c r="AD40" i="9" s="1"/>
  <c r="Z40" i="9"/>
  <c r="AB40" i="9" s="1"/>
  <c r="X40" i="9"/>
  <c r="W42" i="9"/>
  <c r="Y42" i="9" s="1"/>
  <c r="AD42" i="9" s="1"/>
  <c r="Z42" i="9"/>
  <c r="AB42" i="9" s="1"/>
  <c r="X42" i="9"/>
  <c r="W28" i="9"/>
  <c r="Y28" i="9" s="1"/>
  <c r="AD28" i="9" s="1"/>
  <c r="W32" i="9"/>
  <c r="W33" i="9"/>
  <c r="Y33" i="9" s="1"/>
  <c r="AD33" i="9" s="1"/>
  <c r="W34" i="9"/>
  <c r="W39" i="9"/>
  <c r="Y39" i="9" s="1"/>
  <c r="AD39" i="9" s="1"/>
  <c r="W44" i="9"/>
  <c r="W45" i="9"/>
  <c r="Y45" i="9" s="1"/>
  <c r="AD45" i="9" s="1"/>
  <c r="W46" i="9"/>
  <c r="Z49" i="9"/>
  <c r="AB49" i="9" s="1"/>
  <c r="X49" i="9"/>
  <c r="W49" i="9"/>
  <c r="Y49" i="9" s="1"/>
  <c r="AD49" i="9" s="1"/>
  <c r="Z51" i="9"/>
  <c r="AB51" i="9" s="1"/>
  <c r="X51" i="9"/>
  <c r="W51" i="9"/>
  <c r="Y51" i="9" s="1"/>
  <c r="AD51" i="9" s="1"/>
  <c r="W52" i="9"/>
  <c r="AB52" i="9"/>
  <c r="Z52" i="9"/>
  <c r="X52" i="9"/>
  <c r="Z54" i="9"/>
  <c r="AB54" i="9" s="1"/>
  <c r="X54" i="9"/>
  <c r="W54" i="9"/>
  <c r="Y54" i="9" s="1"/>
  <c r="AD54" i="9" s="1"/>
  <c r="Z55" i="9"/>
  <c r="AB55" i="9" s="1"/>
  <c r="X55" i="9"/>
  <c r="W55" i="9"/>
  <c r="Y55" i="9" s="1"/>
  <c r="AD55" i="9" s="1"/>
  <c r="Z57" i="9"/>
  <c r="AB57" i="9" s="1"/>
  <c r="X57" i="9"/>
  <c r="W57" i="9"/>
  <c r="Y57" i="9" s="1"/>
  <c r="AD57" i="9" s="1"/>
  <c r="Z59" i="9"/>
  <c r="AB59" i="9" s="1"/>
  <c r="X59" i="9"/>
  <c r="W59" i="9"/>
  <c r="Y59" i="9" s="1"/>
  <c r="AD59" i="9" s="1"/>
  <c r="W61" i="9"/>
  <c r="AB61" i="9"/>
  <c r="Z61" i="9"/>
  <c r="X61" i="9"/>
  <c r="Y73" i="9"/>
  <c r="Z73" i="9"/>
  <c r="AB73" i="9" s="1"/>
  <c r="X73" i="9"/>
  <c r="X28" i="9"/>
  <c r="Z28" i="9"/>
  <c r="AB28" i="9" s="1"/>
  <c r="X32" i="9"/>
  <c r="Z32" i="9"/>
  <c r="AB32" i="9" s="1"/>
  <c r="X33" i="9"/>
  <c r="Z33" i="9"/>
  <c r="AB33" i="9" s="1"/>
  <c r="X34" i="9"/>
  <c r="Z34" i="9"/>
  <c r="AB34" i="9" s="1"/>
  <c r="X39" i="9"/>
  <c r="Z39" i="9"/>
  <c r="AB39" i="9" s="1"/>
  <c r="X44" i="9"/>
  <c r="Z44" i="9"/>
  <c r="AB44" i="9" s="1"/>
  <c r="X45" i="9"/>
  <c r="Z45" i="9"/>
  <c r="AB45" i="9" s="1"/>
  <c r="AB46" i="9"/>
  <c r="X46" i="9"/>
  <c r="W48" i="9"/>
  <c r="AB48" i="9"/>
  <c r="Z48" i="9"/>
  <c r="X48" i="9"/>
  <c r="Z50" i="9"/>
  <c r="AB50" i="9" s="1"/>
  <c r="X50" i="9"/>
  <c r="W50" i="9"/>
  <c r="Y50" i="9" s="1"/>
  <c r="AD50" i="9" s="1"/>
  <c r="W53" i="9"/>
  <c r="AB53" i="9"/>
  <c r="Z53" i="9"/>
  <c r="X53" i="9"/>
  <c r="Z56" i="9"/>
  <c r="AB56" i="9" s="1"/>
  <c r="X56" i="9"/>
  <c r="W56" i="9"/>
  <c r="Y56" i="9" s="1"/>
  <c r="AD56" i="9" s="1"/>
  <c r="Z58" i="9"/>
  <c r="AB58" i="9" s="1"/>
  <c r="X58" i="9"/>
  <c r="W58" i="9"/>
  <c r="Y58" i="9" s="1"/>
  <c r="AD58" i="9" s="1"/>
  <c r="W60" i="9"/>
  <c r="AB60" i="9"/>
  <c r="Z60" i="9"/>
  <c r="X60" i="9"/>
  <c r="Z62" i="9"/>
  <c r="AB62" i="9" s="1"/>
  <c r="X62" i="9"/>
  <c r="W62" i="9"/>
  <c r="Y62" i="9" s="1"/>
  <c r="AD62" i="9" s="1"/>
  <c r="Z70" i="9"/>
  <c r="X70" i="9"/>
  <c r="AB70" i="9"/>
  <c r="Y70" i="9"/>
  <c r="Y72" i="9"/>
  <c r="Z72" i="9"/>
  <c r="AB72" i="9" s="1"/>
  <c r="X72" i="9"/>
  <c r="Z74" i="9"/>
  <c r="X74" i="9"/>
  <c r="AB74" i="9"/>
  <c r="AB76" i="9" s="1"/>
  <c r="Y74" i="9"/>
  <c r="X47" i="9"/>
  <c r="Y47" i="9" s="1"/>
  <c r="AD47" i="9" s="1"/>
  <c r="Z47" i="9"/>
  <c r="AB47" i="9"/>
  <c r="X63" i="9"/>
  <c r="Y63" i="9" s="1"/>
  <c r="AD63" i="9" s="1"/>
  <c r="Z63" i="9"/>
  <c r="AB63" i="9" s="1"/>
  <c r="W65" i="9"/>
  <c r="AB65" i="9"/>
  <c r="Y71" i="9"/>
  <c r="AB71" i="9"/>
  <c r="X65" i="9"/>
  <c r="X71" i="9"/>
  <c r="P12" i="8"/>
  <c r="K12" i="8"/>
  <c r="G12" i="8"/>
  <c r="F12" i="8"/>
  <c r="P17" i="8"/>
  <c r="K17" i="8"/>
  <c r="G17" i="8"/>
  <c r="F17" i="8"/>
  <c r="P10" i="8"/>
  <c r="K10" i="8"/>
  <c r="G10" i="8"/>
  <c r="F10" i="8"/>
  <c r="P51" i="8"/>
  <c r="K51" i="8"/>
  <c r="G51" i="8"/>
  <c r="F51" i="8"/>
  <c r="P15" i="8"/>
  <c r="G15" i="8"/>
  <c r="F15" i="8"/>
  <c r="P61" i="8"/>
  <c r="K61" i="8"/>
  <c r="G61" i="8"/>
  <c r="F61" i="8"/>
  <c r="P49" i="8"/>
  <c r="K49" i="8"/>
  <c r="G49" i="8"/>
  <c r="F49" i="8"/>
  <c r="P24" i="8"/>
  <c r="K24" i="8"/>
  <c r="G24" i="8"/>
  <c r="F24" i="8"/>
  <c r="P56" i="8"/>
  <c r="K56" i="8"/>
  <c r="G56" i="8"/>
  <c r="F56" i="8"/>
  <c r="P16" i="8"/>
  <c r="K16" i="8"/>
  <c r="G16" i="8"/>
  <c r="F16" i="8"/>
  <c r="P46" i="8"/>
  <c r="K46" i="8"/>
  <c r="G46" i="8"/>
  <c r="F46" i="8"/>
  <c r="P42" i="8"/>
  <c r="K42" i="8"/>
  <c r="G42" i="8"/>
  <c r="F42" i="8"/>
  <c r="P31" i="8"/>
  <c r="K31" i="8"/>
  <c r="G31" i="8"/>
  <c r="F31" i="8"/>
  <c r="P40" i="8"/>
  <c r="K40" i="8"/>
  <c r="G40" i="8"/>
  <c r="F40" i="8"/>
  <c r="P70" i="8"/>
  <c r="K70" i="8"/>
  <c r="G70" i="8"/>
  <c r="F70" i="8"/>
  <c r="P50" i="8"/>
  <c r="K50" i="8"/>
  <c r="G50" i="8"/>
  <c r="F50" i="8"/>
  <c r="P45" i="8"/>
  <c r="K45" i="8"/>
  <c r="G45" i="8"/>
  <c r="F45" i="8"/>
  <c r="P54" i="8"/>
  <c r="K54" i="8"/>
  <c r="G54" i="8"/>
  <c r="F54" i="8"/>
  <c r="P21" i="8"/>
  <c r="K21" i="8"/>
  <c r="G21" i="8"/>
  <c r="F21" i="8"/>
  <c r="P44" i="8"/>
  <c r="K44" i="8"/>
  <c r="G44" i="8"/>
  <c r="F44" i="8"/>
  <c r="P69" i="8"/>
  <c r="K69" i="8"/>
  <c r="G69" i="8"/>
  <c r="F69" i="8"/>
  <c r="P33" i="8"/>
  <c r="K33" i="8"/>
  <c r="G33" i="8"/>
  <c r="P35" i="8"/>
  <c r="K35" i="8"/>
  <c r="G35" i="8"/>
  <c r="F35" i="8"/>
  <c r="P14" i="8"/>
  <c r="K14" i="8"/>
  <c r="G14" i="8"/>
  <c r="F14" i="8"/>
  <c r="P28" i="8"/>
  <c r="K28" i="8"/>
  <c r="G28" i="8"/>
  <c r="F28" i="8"/>
  <c r="P27" i="8"/>
  <c r="K27" i="8"/>
  <c r="G27" i="8"/>
  <c r="F27" i="8"/>
  <c r="P39" i="8"/>
  <c r="K39" i="8"/>
  <c r="G39" i="8"/>
  <c r="F39" i="8"/>
  <c r="P30" i="8"/>
  <c r="K30" i="8"/>
  <c r="G30" i="8"/>
  <c r="F30" i="8"/>
  <c r="P23" i="8"/>
  <c r="K23" i="8"/>
  <c r="G23" i="8"/>
  <c r="F23" i="8"/>
  <c r="P36" i="8"/>
  <c r="K36" i="8"/>
  <c r="G36" i="8"/>
  <c r="F36" i="8"/>
  <c r="P38" i="8"/>
  <c r="K38" i="8"/>
  <c r="G38" i="8"/>
  <c r="F38" i="8"/>
  <c r="P11" i="8"/>
  <c r="K11" i="8"/>
  <c r="G11" i="8"/>
  <c r="F11" i="8"/>
  <c r="P34" i="8"/>
  <c r="K34" i="8"/>
  <c r="G34" i="8"/>
  <c r="F34" i="8"/>
  <c r="P53" i="8"/>
  <c r="K53" i="8"/>
  <c r="G53" i="8"/>
  <c r="F53" i="8"/>
  <c r="P55" i="8"/>
  <c r="K55" i="8"/>
  <c r="G55" i="8"/>
  <c r="F55" i="8"/>
  <c r="P26" i="8"/>
  <c r="K26" i="8"/>
  <c r="G26" i="8"/>
  <c r="F26" i="8"/>
  <c r="P43" i="8"/>
  <c r="K43" i="8"/>
  <c r="G43" i="8"/>
  <c r="F43" i="8"/>
  <c r="P25" i="8"/>
  <c r="K25" i="8"/>
  <c r="G25" i="8"/>
  <c r="F25" i="8"/>
  <c r="P58" i="8"/>
  <c r="K58" i="8"/>
  <c r="G58" i="8"/>
  <c r="P48" i="8"/>
  <c r="K48" i="8"/>
  <c r="G48" i="8"/>
  <c r="F48" i="8"/>
  <c r="P64" i="8"/>
  <c r="K64" i="8"/>
  <c r="G64" i="8"/>
  <c r="F64" i="8"/>
  <c r="P22" i="8"/>
  <c r="K22" i="8"/>
  <c r="G22" i="8"/>
  <c r="F22" i="8"/>
  <c r="P52" i="8"/>
  <c r="K52" i="8"/>
  <c r="G52" i="8"/>
  <c r="F52" i="8"/>
  <c r="P29" i="8"/>
  <c r="K29" i="8"/>
  <c r="G29" i="8"/>
  <c r="F29" i="8"/>
  <c r="P41" i="8"/>
  <c r="K41" i="8"/>
  <c r="G41" i="8"/>
  <c r="F41" i="8"/>
  <c r="P68" i="8"/>
  <c r="K68" i="8"/>
  <c r="G68" i="8"/>
  <c r="F68" i="8"/>
  <c r="P57" i="8"/>
  <c r="K57" i="8"/>
  <c r="G57" i="8"/>
  <c r="F57" i="8"/>
  <c r="P20" i="8"/>
  <c r="K20" i="8"/>
  <c r="G20" i="8"/>
  <c r="F20" i="8"/>
  <c r="P67" i="8"/>
  <c r="K67" i="8"/>
  <c r="G67" i="8"/>
  <c r="F67" i="8"/>
  <c r="P19" i="8"/>
  <c r="K19" i="8"/>
  <c r="G19" i="8"/>
  <c r="F19" i="8"/>
  <c r="P18" i="8"/>
  <c r="K18" i="8"/>
  <c r="G18" i="8"/>
  <c r="F18" i="8"/>
  <c r="P47" i="8"/>
  <c r="K47" i="8"/>
  <c r="F47" i="8"/>
  <c r="P32" i="8"/>
  <c r="K32" i="8"/>
  <c r="G32" i="8"/>
  <c r="F32" i="8"/>
  <c r="P37" i="8"/>
  <c r="K37" i="8"/>
  <c r="G37" i="8"/>
  <c r="F37" i="8"/>
  <c r="P13" i="8"/>
  <c r="K13" i="8"/>
  <c r="G13" i="8"/>
  <c r="F13" i="8"/>
  <c r="B4" i="8"/>
  <c r="M68" i="7"/>
  <c r="D68" i="7"/>
  <c r="P64" i="7"/>
  <c r="K64" i="7"/>
  <c r="G64" i="7"/>
  <c r="F64" i="7"/>
  <c r="P63" i="7"/>
  <c r="K63" i="7"/>
  <c r="G63" i="7"/>
  <c r="F63" i="7"/>
  <c r="P62" i="7"/>
  <c r="K62" i="7"/>
  <c r="G62" i="7"/>
  <c r="F62" i="7"/>
  <c r="P61" i="7"/>
  <c r="K61" i="7"/>
  <c r="G61" i="7"/>
  <c r="F61" i="7"/>
  <c r="P60" i="7"/>
  <c r="G60" i="7"/>
  <c r="F60" i="7"/>
  <c r="P59" i="7"/>
  <c r="K59" i="7"/>
  <c r="G59" i="7"/>
  <c r="F59" i="7"/>
  <c r="P58" i="7"/>
  <c r="K58" i="7"/>
  <c r="G58" i="7"/>
  <c r="F58" i="7"/>
  <c r="P57" i="7"/>
  <c r="K57" i="7"/>
  <c r="G57" i="7"/>
  <c r="F57" i="7"/>
  <c r="P56" i="7"/>
  <c r="K56" i="7"/>
  <c r="G56" i="7"/>
  <c r="F56" i="7"/>
  <c r="P55" i="7"/>
  <c r="K55" i="7"/>
  <c r="G55" i="7"/>
  <c r="F55" i="7"/>
  <c r="P54" i="7"/>
  <c r="K54" i="7"/>
  <c r="G54" i="7"/>
  <c r="F54" i="7"/>
  <c r="P53" i="7"/>
  <c r="K53" i="7"/>
  <c r="G53" i="7"/>
  <c r="F53" i="7"/>
  <c r="P52" i="7"/>
  <c r="K52" i="7"/>
  <c r="G52" i="7"/>
  <c r="F52" i="7"/>
  <c r="P51" i="7"/>
  <c r="K51" i="7"/>
  <c r="G51" i="7"/>
  <c r="F51" i="7"/>
  <c r="P50" i="7"/>
  <c r="K50" i="7"/>
  <c r="G50" i="7"/>
  <c r="F50" i="7"/>
  <c r="P49" i="7"/>
  <c r="K49" i="7"/>
  <c r="G49" i="7"/>
  <c r="F49" i="7"/>
  <c r="P48" i="7"/>
  <c r="K48" i="7"/>
  <c r="G48" i="7"/>
  <c r="F48" i="7"/>
  <c r="P47" i="7"/>
  <c r="K47" i="7"/>
  <c r="G47" i="7"/>
  <c r="F47" i="7"/>
  <c r="P46" i="7"/>
  <c r="K46" i="7"/>
  <c r="G46" i="7"/>
  <c r="F46" i="7"/>
  <c r="P45" i="7"/>
  <c r="K45" i="7"/>
  <c r="G45" i="7"/>
  <c r="F45" i="7"/>
  <c r="P44" i="7"/>
  <c r="K44" i="7"/>
  <c r="G44" i="7"/>
  <c r="F44" i="7"/>
  <c r="P43" i="7"/>
  <c r="K43" i="7"/>
  <c r="G43" i="7"/>
  <c r="P42" i="7"/>
  <c r="K42" i="7"/>
  <c r="G42" i="7"/>
  <c r="F42" i="7"/>
  <c r="P41" i="7"/>
  <c r="K41" i="7"/>
  <c r="G41" i="7"/>
  <c r="F41" i="7"/>
  <c r="P40" i="7"/>
  <c r="K40" i="7"/>
  <c r="G40" i="7"/>
  <c r="F40" i="7"/>
  <c r="P39" i="7"/>
  <c r="K39" i="7"/>
  <c r="G39" i="7"/>
  <c r="F39" i="7"/>
  <c r="P38" i="7"/>
  <c r="K38" i="7"/>
  <c r="G38" i="7"/>
  <c r="F38" i="7"/>
  <c r="P37" i="7"/>
  <c r="K37" i="7"/>
  <c r="G37" i="7"/>
  <c r="F37" i="7"/>
  <c r="P36" i="7"/>
  <c r="K36" i="7"/>
  <c r="G36" i="7"/>
  <c r="F36" i="7"/>
  <c r="P35" i="7"/>
  <c r="K35" i="7"/>
  <c r="G35" i="7"/>
  <c r="F35" i="7"/>
  <c r="P34" i="7"/>
  <c r="K34" i="7"/>
  <c r="G34" i="7"/>
  <c r="F34" i="7"/>
  <c r="P33" i="7"/>
  <c r="K33" i="7"/>
  <c r="G33" i="7"/>
  <c r="F33" i="7"/>
  <c r="P32" i="7"/>
  <c r="K32" i="7"/>
  <c r="G32" i="7"/>
  <c r="F32" i="7"/>
  <c r="P31" i="7"/>
  <c r="K31" i="7"/>
  <c r="G31" i="7"/>
  <c r="F31" i="7"/>
  <c r="P30" i="7"/>
  <c r="K30" i="7"/>
  <c r="G30" i="7"/>
  <c r="F30" i="7"/>
  <c r="P29" i="7"/>
  <c r="K29" i="7"/>
  <c r="G29" i="7"/>
  <c r="F29" i="7"/>
  <c r="P28" i="7"/>
  <c r="K28" i="7"/>
  <c r="G28" i="7"/>
  <c r="F28" i="7"/>
  <c r="P27" i="7"/>
  <c r="K27" i="7"/>
  <c r="G27" i="7"/>
  <c r="F27" i="7"/>
  <c r="P26" i="7"/>
  <c r="K26" i="7"/>
  <c r="G26" i="7"/>
  <c r="P25" i="7"/>
  <c r="K25" i="7"/>
  <c r="G25" i="7"/>
  <c r="F25" i="7"/>
  <c r="P24" i="7"/>
  <c r="K24" i="7"/>
  <c r="G24" i="7"/>
  <c r="F24" i="7"/>
  <c r="P23" i="7"/>
  <c r="K23" i="7"/>
  <c r="G23" i="7"/>
  <c r="F23" i="7"/>
  <c r="P22" i="7"/>
  <c r="K22" i="7"/>
  <c r="G22" i="7"/>
  <c r="F22" i="7"/>
  <c r="P21" i="7"/>
  <c r="K21" i="7"/>
  <c r="G21" i="7"/>
  <c r="F21" i="7"/>
  <c r="P20" i="7"/>
  <c r="K20" i="7"/>
  <c r="G20" i="7"/>
  <c r="F20" i="7"/>
  <c r="P19" i="7"/>
  <c r="K19" i="7"/>
  <c r="G19" i="7"/>
  <c r="F19" i="7"/>
  <c r="P18" i="7"/>
  <c r="K18" i="7"/>
  <c r="G18" i="7"/>
  <c r="F18" i="7"/>
  <c r="P17" i="7"/>
  <c r="K17" i="7"/>
  <c r="G17" i="7"/>
  <c r="F17" i="7"/>
  <c r="P16" i="7"/>
  <c r="K16" i="7"/>
  <c r="G16" i="7"/>
  <c r="F16" i="7"/>
  <c r="P15" i="7"/>
  <c r="K15" i="7"/>
  <c r="G15" i="7"/>
  <c r="F15" i="7"/>
  <c r="P14" i="7"/>
  <c r="K14" i="7"/>
  <c r="G14" i="7"/>
  <c r="F14" i="7"/>
  <c r="P13" i="7"/>
  <c r="K13" i="7"/>
  <c r="F13" i="7"/>
  <c r="P12" i="7"/>
  <c r="K12" i="7"/>
  <c r="G12" i="7"/>
  <c r="F12" i="7"/>
  <c r="P11" i="7"/>
  <c r="K11" i="7"/>
  <c r="G11" i="7"/>
  <c r="F11" i="7"/>
  <c r="P10" i="7"/>
  <c r="K10" i="7"/>
  <c r="G10" i="7"/>
  <c r="F10" i="7"/>
  <c r="B4" i="7"/>
  <c r="J12" i="6"/>
  <c r="H12" i="6"/>
  <c r="I12" i="6" s="1"/>
  <c r="J17" i="6"/>
  <c r="H17" i="6"/>
  <c r="I17" i="6" s="1"/>
  <c r="J10" i="6"/>
  <c r="H10" i="6"/>
  <c r="I10" i="6" s="1"/>
  <c r="J51" i="6"/>
  <c r="H51" i="6"/>
  <c r="I51" i="6" s="1"/>
  <c r="J15" i="6"/>
  <c r="H15" i="6"/>
  <c r="I15" i="6" s="1"/>
  <c r="J61" i="6"/>
  <c r="H61" i="6"/>
  <c r="I61" i="6" s="1"/>
  <c r="I62" i="6" s="1"/>
  <c r="I74" i="6" s="1"/>
  <c r="J49" i="6"/>
  <c r="H49" i="6"/>
  <c r="I49" i="6" s="1"/>
  <c r="J24" i="6"/>
  <c r="H24" i="6"/>
  <c r="I24" i="6" s="1"/>
  <c r="J56" i="6"/>
  <c r="H56" i="6"/>
  <c r="I56" i="6" s="1"/>
  <c r="J16" i="6"/>
  <c r="H16" i="6"/>
  <c r="I16" i="6" s="1"/>
  <c r="J46" i="6"/>
  <c r="H46" i="6"/>
  <c r="I46" i="6" s="1"/>
  <c r="J42" i="6"/>
  <c r="H42" i="6"/>
  <c r="I42" i="6" s="1"/>
  <c r="J31" i="6"/>
  <c r="H31" i="6"/>
  <c r="I31" i="6" s="1"/>
  <c r="J40" i="6"/>
  <c r="H40" i="6"/>
  <c r="I40" i="6" s="1"/>
  <c r="J70" i="6"/>
  <c r="H70" i="6"/>
  <c r="I70" i="6" s="1"/>
  <c r="J50" i="6"/>
  <c r="H50" i="6"/>
  <c r="I50" i="6" s="1"/>
  <c r="J45" i="6"/>
  <c r="H45" i="6"/>
  <c r="I45" i="6" s="1"/>
  <c r="J54" i="6"/>
  <c r="H54" i="6"/>
  <c r="I54" i="6" s="1"/>
  <c r="J21" i="6"/>
  <c r="H21" i="6"/>
  <c r="I21" i="6" s="1"/>
  <c r="J44" i="6"/>
  <c r="H44" i="6"/>
  <c r="I44" i="6" s="1"/>
  <c r="J69" i="6"/>
  <c r="H69" i="6"/>
  <c r="I69" i="6" s="1"/>
  <c r="J33" i="6"/>
  <c r="H33" i="6"/>
  <c r="I33" i="6" s="1"/>
  <c r="J35" i="6"/>
  <c r="H35" i="6"/>
  <c r="I35" i="6" s="1"/>
  <c r="J14" i="6"/>
  <c r="H14" i="6"/>
  <c r="I14" i="6" s="1"/>
  <c r="J28" i="6"/>
  <c r="H28" i="6"/>
  <c r="I28" i="6" s="1"/>
  <c r="J27" i="6"/>
  <c r="H27" i="6"/>
  <c r="I27" i="6" s="1"/>
  <c r="J39" i="6"/>
  <c r="H39" i="6"/>
  <c r="I39" i="6" s="1"/>
  <c r="J30" i="6"/>
  <c r="H30" i="6"/>
  <c r="I30" i="6" s="1"/>
  <c r="J23" i="6"/>
  <c r="H23" i="6"/>
  <c r="I23" i="6" s="1"/>
  <c r="J36" i="6"/>
  <c r="H36" i="6"/>
  <c r="I36" i="6" s="1"/>
  <c r="J38" i="6"/>
  <c r="H38" i="6"/>
  <c r="I38" i="6" s="1"/>
  <c r="J11" i="6"/>
  <c r="H11" i="6"/>
  <c r="I11" i="6" s="1"/>
  <c r="J34" i="6"/>
  <c r="H34" i="6"/>
  <c r="I34" i="6" s="1"/>
  <c r="J53" i="6"/>
  <c r="H53" i="6"/>
  <c r="I53" i="6" s="1"/>
  <c r="J55" i="6"/>
  <c r="H55" i="6"/>
  <c r="I55" i="6" s="1"/>
  <c r="J26" i="6"/>
  <c r="H26" i="6"/>
  <c r="I26" i="6" s="1"/>
  <c r="J43" i="6"/>
  <c r="H43" i="6"/>
  <c r="I43" i="6" s="1"/>
  <c r="J25" i="6"/>
  <c r="H25" i="6"/>
  <c r="I25" i="6" s="1"/>
  <c r="J58" i="6"/>
  <c r="H58" i="6"/>
  <c r="I58" i="6" s="1"/>
  <c r="J48" i="6"/>
  <c r="H48" i="6"/>
  <c r="I48" i="6" s="1"/>
  <c r="J64" i="6"/>
  <c r="H64" i="6"/>
  <c r="I64" i="6" s="1"/>
  <c r="I65" i="6" s="1"/>
  <c r="I75" i="6" s="1"/>
  <c r="J22" i="6"/>
  <c r="H22" i="6"/>
  <c r="I22" i="6" s="1"/>
  <c r="J52" i="6"/>
  <c r="H52" i="6"/>
  <c r="I52" i="6" s="1"/>
  <c r="J29" i="6"/>
  <c r="H29" i="6"/>
  <c r="I29" i="6" s="1"/>
  <c r="J41" i="6"/>
  <c r="H41" i="6"/>
  <c r="I41" i="6" s="1"/>
  <c r="J68" i="6"/>
  <c r="H68" i="6"/>
  <c r="I68" i="6" s="1"/>
  <c r="J57" i="6"/>
  <c r="H57" i="6"/>
  <c r="I57" i="6" s="1"/>
  <c r="J20" i="6"/>
  <c r="H20" i="6"/>
  <c r="I20" i="6" s="1"/>
  <c r="J67" i="6"/>
  <c r="H67" i="6"/>
  <c r="I67" i="6" s="1"/>
  <c r="I71" i="6" s="1"/>
  <c r="I76" i="6" s="1"/>
  <c r="J19" i="6"/>
  <c r="H19" i="6"/>
  <c r="I19" i="6" s="1"/>
  <c r="J18" i="6"/>
  <c r="H18" i="6"/>
  <c r="I18" i="6" s="1"/>
  <c r="J47" i="6"/>
  <c r="H47" i="6"/>
  <c r="I47" i="6" s="1"/>
  <c r="J32" i="6"/>
  <c r="H32" i="6"/>
  <c r="I32" i="6" s="1"/>
  <c r="J37" i="6"/>
  <c r="H37" i="6"/>
  <c r="I37" i="6" s="1"/>
  <c r="J13" i="6"/>
  <c r="H13" i="6"/>
  <c r="E13" i="6"/>
  <c r="B4" i="6"/>
  <c r="BB61" i="1" l="1"/>
  <c r="U61" i="1"/>
  <c r="BB52" i="1"/>
  <c r="U52" i="1"/>
  <c r="BB47" i="1"/>
  <c r="U47" i="1"/>
  <c r="BB46" i="1"/>
  <c r="U46" i="1"/>
  <c r="BB44" i="1"/>
  <c r="U44" i="1"/>
  <c r="BB42" i="1"/>
  <c r="U42" i="1"/>
  <c r="BB40" i="1"/>
  <c r="U40" i="1"/>
  <c r="BB32" i="1"/>
  <c r="U32" i="1"/>
  <c r="BB19" i="1"/>
  <c r="U19" i="1"/>
  <c r="BB13" i="1"/>
  <c r="U13" i="1"/>
  <c r="BB12" i="1"/>
  <c r="U12" i="1"/>
  <c r="BB11" i="1"/>
  <c r="U11" i="1"/>
  <c r="T12" i="1"/>
  <c r="C12" i="2"/>
  <c r="T16" i="1"/>
  <c r="C16" i="2"/>
  <c r="T21" i="1"/>
  <c r="C21" i="2"/>
  <c r="T23" i="1"/>
  <c r="C23" i="2"/>
  <c r="T28" i="1"/>
  <c r="C28" i="2"/>
  <c r="T35" i="1"/>
  <c r="C35" i="2"/>
  <c r="T47" i="1"/>
  <c r="C47" i="2"/>
  <c r="T53" i="1"/>
  <c r="C53" i="2"/>
  <c r="T56" i="1"/>
  <c r="C56" i="2"/>
  <c r="C58" i="2"/>
  <c r="T58" i="1"/>
  <c r="G64" i="2"/>
  <c r="G66" i="2" s="1"/>
  <c r="R21" i="1"/>
  <c r="S21" i="1" s="1"/>
  <c r="Z21" i="1" s="1"/>
  <c r="R28" i="1"/>
  <c r="S28" i="1" s="1"/>
  <c r="Z28" i="1" s="1"/>
  <c r="R61" i="1"/>
  <c r="S61" i="1" s="1"/>
  <c r="Z61" i="1" s="1"/>
  <c r="R34" i="1"/>
  <c r="S34" i="1" s="1"/>
  <c r="Z34" i="1" s="1"/>
  <c r="C64" i="1"/>
  <c r="R42" i="1"/>
  <c r="S42" i="1" s="1"/>
  <c r="Z42" i="1" s="1"/>
  <c r="R48" i="1"/>
  <c r="S48" i="1" s="1"/>
  <c r="BB59" i="1"/>
  <c r="U59" i="1"/>
  <c r="BB58" i="1"/>
  <c r="U58" i="1"/>
  <c r="BB57" i="1"/>
  <c r="U57" i="1"/>
  <c r="BB56" i="1"/>
  <c r="U56" i="1"/>
  <c r="BB55" i="1"/>
  <c r="U55" i="1"/>
  <c r="BB50" i="1"/>
  <c r="U50" i="1"/>
  <c r="BB53" i="1"/>
  <c r="U53" i="1"/>
  <c r="BB26" i="1"/>
  <c r="U26" i="1"/>
  <c r="BB16" i="1"/>
  <c r="U16" i="1"/>
  <c r="BB35" i="1"/>
  <c r="U35" i="1"/>
  <c r="BB34" i="1"/>
  <c r="U34" i="1"/>
  <c r="BB29" i="1"/>
  <c r="U29" i="1"/>
  <c r="BB28" i="1"/>
  <c r="U28" i="1"/>
  <c r="BB23" i="1"/>
  <c r="U23" i="1"/>
  <c r="BB22" i="1"/>
  <c r="U22" i="1"/>
  <c r="BB21" i="1"/>
  <c r="U21" i="1"/>
  <c r="BB15" i="1"/>
  <c r="U15" i="1"/>
  <c r="T11" i="1"/>
  <c r="C11" i="2"/>
  <c r="T13" i="1"/>
  <c r="C13" i="2"/>
  <c r="T15" i="1"/>
  <c r="C15" i="2"/>
  <c r="T19" i="1"/>
  <c r="C19" i="2"/>
  <c r="T22" i="1"/>
  <c r="C22" i="2"/>
  <c r="T26" i="1"/>
  <c r="C26" i="2"/>
  <c r="T29" i="1"/>
  <c r="C29" i="2"/>
  <c r="T32" i="1"/>
  <c r="C32" i="2"/>
  <c r="T34" i="1"/>
  <c r="C34" i="2"/>
  <c r="T40" i="1"/>
  <c r="C40" i="2"/>
  <c r="T42" i="1"/>
  <c r="C42" i="2"/>
  <c r="T44" i="1"/>
  <c r="C44" i="2"/>
  <c r="T46" i="1"/>
  <c r="C46" i="2"/>
  <c r="T48" i="1"/>
  <c r="W48" i="1" s="1"/>
  <c r="X48" i="1" s="1"/>
  <c r="Y48" i="1" s="1"/>
  <c r="C48" i="2"/>
  <c r="T50" i="1"/>
  <c r="C50" i="2"/>
  <c r="T52" i="1"/>
  <c r="C52" i="2"/>
  <c r="T55" i="1"/>
  <c r="C55" i="2"/>
  <c r="T57" i="1"/>
  <c r="C57" i="2"/>
  <c r="T59" i="1"/>
  <c r="C59" i="2"/>
  <c r="T61" i="1"/>
  <c r="C61" i="2"/>
  <c r="F64" i="2"/>
  <c r="F66" i="2" s="1"/>
  <c r="R23" i="1"/>
  <c r="S23" i="1" s="1"/>
  <c r="Z23" i="1" s="1"/>
  <c r="R35" i="1"/>
  <c r="S35" i="1" s="1"/>
  <c r="C30" i="2"/>
  <c r="T30" i="1"/>
  <c r="C24" i="2"/>
  <c r="T24" i="1"/>
  <c r="R22" i="1"/>
  <c r="S22" i="1" s="1"/>
  <c r="R29" i="1"/>
  <c r="S29" i="1" s="1"/>
  <c r="R47" i="1"/>
  <c r="S47" i="1" s="1"/>
  <c r="Z47" i="1" s="1"/>
  <c r="R53" i="1"/>
  <c r="S53" i="1" s="1"/>
  <c r="J64" i="1"/>
  <c r="C10" i="2"/>
  <c r="T10" i="1"/>
  <c r="R32" i="1"/>
  <c r="S32" i="1" s="1"/>
  <c r="Z32" i="1" s="1"/>
  <c r="R52" i="1"/>
  <c r="S52" i="1" s="1"/>
  <c r="Z52" i="1" s="1"/>
  <c r="R31" i="1"/>
  <c r="L31" i="2"/>
  <c r="M31" i="2" s="1"/>
  <c r="R33" i="1"/>
  <c r="L33" i="2"/>
  <c r="M33" i="2" s="1"/>
  <c r="R18" i="1"/>
  <c r="L18" i="2"/>
  <c r="M18" i="2" s="1"/>
  <c r="R14" i="1"/>
  <c r="L14" i="2"/>
  <c r="M14" i="2" s="1"/>
  <c r="R25" i="1"/>
  <c r="S25" i="1" s="1"/>
  <c r="L25" i="2"/>
  <c r="M25" i="2" s="1"/>
  <c r="R37" i="1"/>
  <c r="S37" i="1" s="1"/>
  <c r="L37" i="2"/>
  <c r="M37" i="2" s="1"/>
  <c r="C17" i="2"/>
  <c r="T17" i="1"/>
  <c r="W17" i="1" s="1"/>
  <c r="X17" i="1" s="1"/>
  <c r="Y17" i="1" s="1"/>
  <c r="C38" i="2"/>
  <c r="T38" i="1"/>
  <c r="W38" i="1" s="1"/>
  <c r="X38" i="1" s="1"/>
  <c r="Y38" i="1" s="1"/>
  <c r="R60" i="1"/>
  <c r="L60" i="2"/>
  <c r="M60" i="2" s="1"/>
  <c r="AZ37" i="1"/>
  <c r="U37" i="1" s="1"/>
  <c r="W37" i="1" s="1"/>
  <c r="X37" i="1" s="1"/>
  <c r="Y37" i="1" s="1"/>
  <c r="R17" i="1"/>
  <c r="L17" i="2"/>
  <c r="M17" i="2" s="1"/>
  <c r="R30" i="1"/>
  <c r="S30" i="1" s="1"/>
  <c r="L30" i="2"/>
  <c r="M30" i="2" s="1"/>
  <c r="C14" i="2"/>
  <c r="T14" i="1"/>
  <c r="W14" i="1" s="1"/>
  <c r="X14" i="1" s="1"/>
  <c r="Y14" i="1" s="1"/>
  <c r="C18" i="2"/>
  <c r="T18" i="1"/>
  <c r="W18" i="1" s="1"/>
  <c r="X18" i="1" s="1"/>
  <c r="Y18" i="1" s="1"/>
  <c r="C31" i="2"/>
  <c r="T31" i="1"/>
  <c r="W31" i="1" s="1"/>
  <c r="X31" i="1" s="1"/>
  <c r="Y31" i="1" s="1"/>
  <c r="C33" i="2"/>
  <c r="T33" i="1"/>
  <c r="W33" i="1" s="1"/>
  <c r="X33" i="1" s="1"/>
  <c r="Y33" i="1" s="1"/>
  <c r="C39" i="2"/>
  <c r="T39" i="1"/>
  <c r="W39" i="1" s="1"/>
  <c r="X39" i="1" s="1"/>
  <c r="Y39" i="1" s="1"/>
  <c r="C41" i="2"/>
  <c r="T41" i="1"/>
  <c r="W41" i="1" s="1"/>
  <c r="X41" i="1" s="1"/>
  <c r="Y41" i="1" s="1"/>
  <c r="C43" i="2"/>
  <c r="T43" i="1"/>
  <c r="W43" i="1" s="1"/>
  <c r="X43" i="1" s="1"/>
  <c r="Y43" i="1" s="1"/>
  <c r="C45" i="2"/>
  <c r="T45" i="1"/>
  <c r="W45" i="1" s="1"/>
  <c r="X45" i="1" s="1"/>
  <c r="Y45" i="1" s="1"/>
  <c r="C49" i="2"/>
  <c r="T49" i="1"/>
  <c r="W49" i="1" s="1"/>
  <c r="X49" i="1" s="1"/>
  <c r="Y49" i="1" s="1"/>
  <c r="C51" i="2"/>
  <c r="E51" i="2" s="1"/>
  <c r="T51" i="1"/>
  <c r="W51" i="1" s="1"/>
  <c r="X51" i="1" s="1"/>
  <c r="Y51" i="1" s="1"/>
  <c r="C60" i="2"/>
  <c r="T60" i="1"/>
  <c r="W60" i="1" s="1"/>
  <c r="X60" i="1" s="1"/>
  <c r="Y60" i="1" s="1"/>
  <c r="X54" i="1"/>
  <c r="Y54" i="1" s="1"/>
  <c r="C62" i="2"/>
  <c r="AX54" i="1"/>
  <c r="Q54" i="1" s="1"/>
  <c r="AX36" i="1"/>
  <c r="Q36" i="1" s="1"/>
  <c r="AZ36" i="1"/>
  <c r="BB45" i="1"/>
  <c r="BB43" i="1"/>
  <c r="BB39" i="1"/>
  <c r="BB38" i="1"/>
  <c r="BB17" i="1"/>
  <c r="BB18" i="1"/>
  <c r="BB14" i="1"/>
  <c r="BB54" i="1"/>
  <c r="S14" i="1"/>
  <c r="S18" i="1"/>
  <c r="S31" i="1"/>
  <c r="S33" i="1"/>
  <c r="S45" i="1"/>
  <c r="S60" i="1"/>
  <c r="BB51" i="1"/>
  <c r="BB49" i="1"/>
  <c r="BB41" i="1"/>
  <c r="BB37" i="1"/>
  <c r="BB31" i="1"/>
  <c r="BB33" i="1"/>
  <c r="S17" i="1"/>
  <c r="AY46" i="1"/>
  <c r="BD46" i="1" s="1"/>
  <c r="Q46" i="1"/>
  <c r="AY44" i="1"/>
  <c r="BD44" i="1" s="1"/>
  <c r="Q44" i="1"/>
  <c r="AY43" i="1"/>
  <c r="BD43" i="1" s="1"/>
  <c r="Q43" i="1"/>
  <c r="AY40" i="1"/>
  <c r="BD40" i="1" s="1"/>
  <c r="Q40" i="1"/>
  <c r="AY39" i="1"/>
  <c r="BD39" i="1" s="1"/>
  <c r="Q39" i="1"/>
  <c r="AY38" i="1"/>
  <c r="BD38" i="1" s="1"/>
  <c r="Q38" i="1"/>
  <c r="AY13" i="1"/>
  <c r="BD13" i="1" s="1"/>
  <c r="Q13" i="1"/>
  <c r="AY12" i="1"/>
  <c r="BD12" i="1" s="1"/>
  <c r="Q12" i="1"/>
  <c r="AY11" i="1"/>
  <c r="BD11" i="1" s="1"/>
  <c r="Q11" i="1"/>
  <c r="AY16" i="1"/>
  <c r="BD16" i="1" s="1"/>
  <c r="Q16" i="1"/>
  <c r="AY59" i="1"/>
  <c r="BD59" i="1" s="1"/>
  <c r="Q59" i="1"/>
  <c r="AY58" i="1"/>
  <c r="BD58" i="1" s="1"/>
  <c r="Q58" i="1"/>
  <c r="L58" i="2" s="1"/>
  <c r="AY57" i="1"/>
  <c r="BD57" i="1" s="1"/>
  <c r="Q57" i="1"/>
  <c r="AY56" i="1"/>
  <c r="BD56" i="1" s="1"/>
  <c r="Q56" i="1"/>
  <c r="AY55" i="1"/>
  <c r="BD55" i="1" s="1"/>
  <c r="Q55" i="1"/>
  <c r="AY51" i="1"/>
  <c r="BD51" i="1" s="1"/>
  <c r="Q51" i="1"/>
  <c r="AY50" i="1"/>
  <c r="BD50" i="1" s="1"/>
  <c r="Q50" i="1"/>
  <c r="AY49" i="1"/>
  <c r="BD49" i="1" s="1"/>
  <c r="Q49" i="1"/>
  <c r="AY41" i="1"/>
  <c r="BD41" i="1" s="1"/>
  <c r="Q41" i="1"/>
  <c r="AY15" i="1"/>
  <c r="BD15" i="1" s="1"/>
  <c r="Q15" i="1"/>
  <c r="AY26" i="1"/>
  <c r="BD26" i="1" s="1"/>
  <c r="Q26" i="1"/>
  <c r="AY19" i="1"/>
  <c r="BD19" i="1" s="1"/>
  <c r="Q19" i="1"/>
  <c r="AW37" i="1"/>
  <c r="AY37" i="1" s="1"/>
  <c r="BD37" i="1" s="1"/>
  <c r="AY33" i="1"/>
  <c r="BD33" i="1" s="1"/>
  <c r="AW54" i="1"/>
  <c r="AY17" i="1"/>
  <c r="BD17" i="1" s="1"/>
  <c r="AZ30" i="1"/>
  <c r="U30" i="1" s="1"/>
  <c r="W30" i="1" s="1"/>
  <c r="X30" i="1" s="1"/>
  <c r="Y30" i="1" s="1"/>
  <c r="AZ24" i="1"/>
  <c r="U24" i="1" s="1"/>
  <c r="W24" i="1" s="1"/>
  <c r="X24" i="1" s="1"/>
  <c r="Y24" i="1" s="1"/>
  <c r="AX24" i="1"/>
  <c r="AY65" i="1"/>
  <c r="AY35" i="1"/>
  <c r="BD35" i="1" s="1"/>
  <c r="AY31" i="1"/>
  <c r="BD31" i="1" s="1"/>
  <c r="AY22" i="1"/>
  <c r="AZ25" i="1"/>
  <c r="U25" i="1" s="1"/>
  <c r="W25" i="1" s="1"/>
  <c r="X25" i="1" s="1"/>
  <c r="Y25" i="1" s="1"/>
  <c r="AY48" i="1"/>
  <c r="BD48" i="1" s="1"/>
  <c r="AY14" i="1"/>
  <c r="BD14" i="1" s="1"/>
  <c r="AZ62" i="1"/>
  <c r="U62" i="1" s="1"/>
  <c r="W62" i="1" s="1"/>
  <c r="X62" i="1" s="1"/>
  <c r="Y62" i="1" s="1"/>
  <c r="AX62" i="1"/>
  <c r="Q62" i="1" s="1"/>
  <c r="AW62" i="1"/>
  <c r="AZ20" i="1"/>
  <c r="U20" i="1" s="1"/>
  <c r="W20" i="1" s="1"/>
  <c r="X20" i="1" s="1"/>
  <c r="Y20" i="1" s="1"/>
  <c r="AX20" i="1"/>
  <c r="Q20" i="1" s="1"/>
  <c r="AW20" i="1"/>
  <c r="AZ10" i="1"/>
  <c r="AX10" i="1"/>
  <c r="Q10" i="1" s="1"/>
  <c r="AW10" i="1"/>
  <c r="AY63" i="1"/>
  <c r="BD63" i="1" s="1"/>
  <c r="AY60" i="1"/>
  <c r="BD60" i="1" s="1"/>
  <c r="AY29" i="1"/>
  <c r="BD29" i="1" s="1"/>
  <c r="AZ27" i="1"/>
  <c r="U27" i="1" s="1"/>
  <c r="W27" i="1" s="1"/>
  <c r="X27" i="1" s="1"/>
  <c r="Y27" i="1" s="1"/>
  <c r="AX27" i="1"/>
  <c r="Q27" i="1" s="1"/>
  <c r="AW27" i="1"/>
  <c r="AY53" i="1"/>
  <c r="BD53" i="1" s="1"/>
  <c r="AY30" i="1"/>
  <c r="BD30" i="1" s="1"/>
  <c r="AY18" i="1"/>
  <c r="BD18" i="1" s="1"/>
  <c r="AY25" i="1"/>
  <c r="BD25" i="1" s="1"/>
  <c r="Y65" i="9"/>
  <c r="Y60" i="9"/>
  <c r="AD60" i="9" s="1"/>
  <c r="Y53" i="9"/>
  <c r="AD53" i="9" s="1"/>
  <c r="Y48" i="9"/>
  <c r="AD48" i="9" s="1"/>
  <c r="Y61" i="9"/>
  <c r="AD61" i="9" s="1"/>
  <c r="Y52" i="9"/>
  <c r="AD52" i="9" s="1"/>
  <c r="Y46" i="9"/>
  <c r="AD46" i="9" s="1"/>
  <c r="Y44" i="9"/>
  <c r="AD44" i="9" s="1"/>
  <c r="Y34" i="9"/>
  <c r="AD34" i="9" s="1"/>
  <c r="Y32" i="9"/>
  <c r="AD32" i="9" s="1"/>
  <c r="Y35" i="9"/>
  <c r="AD35" i="9" s="1"/>
  <c r="Y30" i="9"/>
  <c r="AD30" i="9" s="1"/>
  <c r="Y29" i="9"/>
  <c r="AD29" i="9" s="1"/>
  <c r="Y25" i="9"/>
  <c r="AD25" i="9" s="1"/>
  <c r="Y24" i="9"/>
  <c r="AD24" i="9" s="1"/>
  <c r="P67" i="9"/>
  <c r="Z7" i="9"/>
  <c r="Z67" i="9" s="1"/>
  <c r="X7" i="9"/>
  <c r="X67" i="9" s="1"/>
  <c r="W7" i="9"/>
  <c r="Y43" i="9"/>
  <c r="AD43" i="9" s="1"/>
  <c r="Y27" i="9"/>
  <c r="AD27" i="9" s="1"/>
  <c r="Y26" i="9"/>
  <c r="AD26" i="9" s="1"/>
  <c r="Y14" i="9"/>
  <c r="AD14" i="9" s="1"/>
  <c r="Y18" i="9"/>
  <c r="AD18" i="9" s="1"/>
  <c r="I13" i="6"/>
  <c r="I59" i="6" s="1"/>
  <c r="I73" i="6" s="1"/>
  <c r="I77" i="6" s="1"/>
  <c r="W61" i="1" l="1"/>
  <c r="X61" i="1" s="1"/>
  <c r="Y61" i="1" s="1"/>
  <c r="W59" i="1"/>
  <c r="X59" i="1" s="1"/>
  <c r="Y59" i="1" s="1"/>
  <c r="W57" i="1"/>
  <c r="X57" i="1" s="1"/>
  <c r="Y57" i="1" s="1"/>
  <c r="W55" i="1"/>
  <c r="X55" i="1" s="1"/>
  <c r="Y55" i="1" s="1"/>
  <c r="W52" i="1"/>
  <c r="X52" i="1" s="1"/>
  <c r="Y52" i="1" s="1"/>
  <c r="W50" i="1"/>
  <c r="X50" i="1" s="1"/>
  <c r="Y50" i="1" s="1"/>
  <c r="W46" i="1"/>
  <c r="X46" i="1" s="1"/>
  <c r="Y46" i="1" s="1"/>
  <c r="W44" i="1"/>
  <c r="X44" i="1" s="1"/>
  <c r="Y44" i="1" s="1"/>
  <c r="W42" i="1"/>
  <c r="X42" i="1" s="1"/>
  <c r="Y42" i="1" s="1"/>
  <c r="W40" i="1"/>
  <c r="X40" i="1" s="1"/>
  <c r="Y40" i="1" s="1"/>
  <c r="W34" i="1"/>
  <c r="X34" i="1" s="1"/>
  <c r="Y34" i="1" s="1"/>
  <c r="W32" i="1"/>
  <c r="X32" i="1" s="1"/>
  <c r="Y32" i="1" s="1"/>
  <c r="W29" i="1"/>
  <c r="X29" i="1" s="1"/>
  <c r="Y29" i="1" s="1"/>
  <c r="W26" i="1"/>
  <c r="X26" i="1" s="1"/>
  <c r="Y26" i="1" s="1"/>
  <c r="W22" i="1"/>
  <c r="X22" i="1" s="1"/>
  <c r="Y22" i="1" s="1"/>
  <c r="W19" i="1"/>
  <c r="X19" i="1" s="1"/>
  <c r="Y19" i="1" s="1"/>
  <c r="W15" i="1"/>
  <c r="X15" i="1" s="1"/>
  <c r="Y15" i="1" s="1"/>
  <c r="W13" i="1"/>
  <c r="X13" i="1" s="1"/>
  <c r="Y13" i="1" s="1"/>
  <c r="W11" i="1"/>
  <c r="X11" i="1" s="1"/>
  <c r="Y11" i="1" s="1"/>
  <c r="W47" i="1"/>
  <c r="X47" i="1" s="1"/>
  <c r="Y47" i="1" s="1"/>
  <c r="W12" i="1"/>
  <c r="X12" i="1" s="1"/>
  <c r="Y12" i="1" s="1"/>
  <c r="BB10" i="1"/>
  <c r="U10" i="1"/>
  <c r="C64" i="2"/>
  <c r="C66" i="2" s="1"/>
  <c r="Z53" i="1"/>
  <c r="Z29" i="1"/>
  <c r="Z35" i="1"/>
  <c r="W58" i="1"/>
  <c r="X58" i="1" s="1"/>
  <c r="Y58" i="1" s="1"/>
  <c r="L10" i="2"/>
  <c r="R10" i="1"/>
  <c r="L19" i="2"/>
  <c r="M19" i="2" s="1"/>
  <c r="R19" i="1"/>
  <c r="S19" i="1" s="1"/>
  <c r="Z19" i="1" s="1"/>
  <c r="L26" i="2"/>
  <c r="M26" i="2" s="1"/>
  <c r="R26" i="1"/>
  <c r="S26" i="1" s="1"/>
  <c r="Z26" i="1" s="1"/>
  <c r="L15" i="2"/>
  <c r="M15" i="2" s="1"/>
  <c r="R15" i="1"/>
  <c r="S15" i="1" s="1"/>
  <c r="Z15" i="1" s="1"/>
  <c r="L50" i="2"/>
  <c r="M50" i="2" s="1"/>
  <c r="R50" i="1"/>
  <c r="S50" i="1" s="1"/>
  <c r="Z50" i="1" s="1"/>
  <c r="L55" i="2"/>
  <c r="M55" i="2" s="1"/>
  <c r="R55" i="1"/>
  <c r="S55" i="1" s="1"/>
  <c r="Z55" i="1" s="1"/>
  <c r="L56" i="2"/>
  <c r="M56" i="2" s="1"/>
  <c r="R56" i="1"/>
  <c r="S56" i="1" s="1"/>
  <c r="Z56" i="1" s="1"/>
  <c r="L57" i="2"/>
  <c r="M57" i="2" s="1"/>
  <c r="R57" i="1"/>
  <c r="S57" i="1" s="1"/>
  <c r="Z57" i="1" s="1"/>
  <c r="L59" i="2"/>
  <c r="M59" i="2" s="1"/>
  <c r="R59" i="1"/>
  <c r="S59" i="1" s="1"/>
  <c r="Z59" i="1" s="1"/>
  <c r="L16" i="2"/>
  <c r="M16" i="2" s="1"/>
  <c r="R16" i="1"/>
  <c r="S16" i="1" s="1"/>
  <c r="Z16" i="1" s="1"/>
  <c r="L11" i="2"/>
  <c r="M11" i="2" s="1"/>
  <c r="R11" i="1"/>
  <c r="S11" i="1" s="1"/>
  <c r="Z11" i="1" s="1"/>
  <c r="L12" i="2"/>
  <c r="M12" i="2" s="1"/>
  <c r="R12" i="1"/>
  <c r="S12" i="1" s="1"/>
  <c r="Z12" i="1" s="1"/>
  <c r="L13" i="2"/>
  <c r="M13" i="2" s="1"/>
  <c r="R13" i="1"/>
  <c r="S13" i="1" s="1"/>
  <c r="Z13" i="1" s="1"/>
  <c r="L40" i="2"/>
  <c r="M40" i="2" s="1"/>
  <c r="R40" i="1"/>
  <c r="S40" i="1" s="1"/>
  <c r="Z40" i="1" s="1"/>
  <c r="L44" i="2"/>
  <c r="M44" i="2" s="1"/>
  <c r="R44" i="1"/>
  <c r="S44" i="1" s="1"/>
  <c r="Z44" i="1" s="1"/>
  <c r="L46" i="2"/>
  <c r="M46" i="2" s="1"/>
  <c r="R46" i="1"/>
  <c r="S46" i="1" s="1"/>
  <c r="Z46" i="1" s="1"/>
  <c r="T64" i="1"/>
  <c r="Z48" i="1"/>
  <c r="W56" i="1"/>
  <c r="X56" i="1" s="1"/>
  <c r="Y56" i="1" s="1"/>
  <c r="W53" i="1"/>
  <c r="X53" i="1" s="1"/>
  <c r="Y53" i="1" s="1"/>
  <c r="W35" i="1"/>
  <c r="X35" i="1" s="1"/>
  <c r="Y35" i="1" s="1"/>
  <c r="W28" i="1"/>
  <c r="X28" i="1" s="1"/>
  <c r="Y28" i="1" s="1"/>
  <c r="W23" i="1"/>
  <c r="X23" i="1" s="1"/>
  <c r="Y23" i="1" s="1"/>
  <c r="W21" i="1"/>
  <c r="X21" i="1" s="1"/>
  <c r="Y21" i="1" s="1"/>
  <c r="W16" i="1"/>
  <c r="X16" i="1" s="1"/>
  <c r="Y16" i="1" s="1"/>
  <c r="R27" i="1"/>
  <c r="S27" i="1" s="1"/>
  <c r="L27" i="2"/>
  <c r="M27" i="2" s="1"/>
  <c r="R20" i="1"/>
  <c r="S20" i="1" s="1"/>
  <c r="L20" i="2"/>
  <c r="M20" i="2" s="1"/>
  <c r="BD22" i="1"/>
  <c r="Z22" i="1"/>
  <c r="Z60" i="1"/>
  <c r="Z33" i="1"/>
  <c r="Z18" i="1"/>
  <c r="Z14" i="1"/>
  <c r="R36" i="1"/>
  <c r="S36" i="1" s="1"/>
  <c r="L36" i="2"/>
  <c r="M36" i="2" s="1"/>
  <c r="R62" i="1"/>
  <c r="S62" i="1" s="1"/>
  <c r="L62" i="2"/>
  <c r="M62" i="2" s="1"/>
  <c r="R41" i="1"/>
  <c r="S41" i="1" s="1"/>
  <c r="L41" i="2"/>
  <c r="M41" i="2" s="1"/>
  <c r="R49" i="1"/>
  <c r="S49" i="1" s="1"/>
  <c r="L49" i="2"/>
  <c r="M49" i="2" s="1"/>
  <c r="R51" i="1"/>
  <c r="S51" i="1" s="1"/>
  <c r="L51" i="2"/>
  <c r="R38" i="1"/>
  <c r="S38" i="1" s="1"/>
  <c r="L38" i="2"/>
  <c r="M38" i="2" s="1"/>
  <c r="R39" i="1"/>
  <c r="S39" i="1" s="1"/>
  <c r="L39" i="2"/>
  <c r="M39" i="2" s="1"/>
  <c r="R43" i="1"/>
  <c r="S43" i="1" s="1"/>
  <c r="L43" i="2"/>
  <c r="M43" i="2" s="1"/>
  <c r="Z17" i="1"/>
  <c r="Z45" i="1"/>
  <c r="Z31" i="1"/>
  <c r="BB36" i="1"/>
  <c r="U36" i="1"/>
  <c r="W36" i="1" s="1"/>
  <c r="X36" i="1" s="1"/>
  <c r="Y36" i="1" s="1"/>
  <c r="R54" i="1"/>
  <c r="S54" i="1" s="1"/>
  <c r="L54" i="2"/>
  <c r="M54" i="2" s="1"/>
  <c r="Z30" i="1"/>
  <c r="Z37" i="1"/>
  <c r="Z25" i="1"/>
  <c r="AY54" i="1"/>
  <c r="BD54" i="1" s="1"/>
  <c r="AY36" i="1"/>
  <c r="BD36" i="1" s="1"/>
  <c r="BB27" i="1"/>
  <c r="BB20" i="1"/>
  <c r="BB25" i="1"/>
  <c r="BB24" i="1"/>
  <c r="BB62" i="1"/>
  <c r="BB30" i="1"/>
  <c r="AY24" i="1"/>
  <c r="BD24" i="1" s="1"/>
  <c r="Q24" i="1"/>
  <c r="Q64" i="1" s="1"/>
  <c r="AY62" i="1"/>
  <c r="BD62" i="1" s="1"/>
  <c r="AY20" i="1"/>
  <c r="BD20" i="1" s="1"/>
  <c r="AY27" i="1"/>
  <c r="BD27" i="1" s="1"/>
  <c r="AY10" i="1"/>
  <c r="W67" i="9"/>
  <c r="Y7" i="9"/>
  <c r="AB7" i="9"/>
  <c r="AB67" i="9" s="1"/>
  <c r="H11" i="4"/>
  <c r="I11" i="4" s="1"/>
  <c r="H12" i="4"/>
  <c r="I12" i="4" s="1"/>
  <c r="H13" i="4"/>
  <c r="I13" i="4" s="1"/>
  <c r="H14" i="4"/>
  <c r="I14" i="4" s="1"/>
  <c r="H15" i="4"/>
  <c r="I15" i="4" s="1"/>
  <c r="H16" i="4"/>
  <c r="I16" i="4" s="1"/>
  <c r="H17" i="4"/>
  <c r="I17" i="4" s="1"/>
  <c r="H18" i="4"/>
  <c r="I18" i="4" s="1"/>
  <c r="H19" i="4"/>
  <c r="I19" i="4" s="1"/>
  <c r="H20" i="4"/>
  <c r="I20" i="4" s="1"/>
  <c r="H21" i="4"/>
  <c r="I21" i="4" s="1"/>
  <c r="H22" i="4"/>
  <c r="I22" i="4" s="1"/>
  <c r="H23" i="4"/>
  <c r="I23" i="4" s="1"/>
  <c r="H24" i="4"/>
  <c r="I24" i="4" s="1"/>
  <c r="H25" i="4"/>
  <c r="I25" i="4" s="1"/>
  <c r="H26" i="4"/>
  <c r="I26" i="4" s="1"/>
  <c r="H27" i="4"/>
  <c r="I27" i="4" s="1"/>
  <c r="H28" i="4"/>
  <c r="I28" i="4" s="1"/>
  <c r="H29" i="4"/>
  <c r="I29" i="4" s="1"/>
  <c r="H30" i="4"/>
  <c r="I30" i="4" s="1"/>
  <c r="H31" i="4"/>
  <c r="I31" i="4" s="1"/>
  <c r="H32" i="4"/>
  <c r="I32" i="4" s="1"/>
  <c r="H33" i="4"/>
  <c r="I33" i="4" s="1"/>
  <c r="H34" i="4"/>
  <c r="I34" i="4" s="1"/>
  <c r="H35" i="4"/>
  <c r="I35" i="4" s="1"/>
  <c r="H36" i="4"/>
  <c r="I36" i="4" s="1"/>
  <c r="H37" i="4"/>
  <c r="I37" i="4" s="1"/>
  <c r="H38" i="4"/>
  <c r="I38" i="4" s="1"/>
  <c r="H39" i="4"/>
  <c r="I39" i="4" s="1"/>
  <c r="H40" i="4"/>
  <c r="I40" i="4" s="1"/>
  <c r="H41" i="4"/>
  <c r="I41" i="4" s="1"/>
  <c r="H42" i="4"/>
  <c r="I42" i="4" s="1"/>
  <c r="H43" i="4"/>
  <c r="I43" i="4" s="1"/>
  <c r="H44" i="4"/>
  <c r="I44" i="4" s="1"/>
  <c r="H45" i="4"/>
  <c r="I45" i="4" s="1"/>
  <c r="H46" i="4"/>
  <c r="I46" i="4" s="1"/>
  <c r="H47" i="4"/>
  <c r="I47" i="4" s="1"/>
  <c r="H48" i="4"/>
  <c r="I48" i="4" s="1"/>
  <c r="H49" i="4"/>
  <c r="I49" i="4" s="1"/>
  <c r="H50" i="4"/>
  <c r="I50" i="4" s="1"/>
  <c r="H52" i="4"/>
  <c r="I52" i="4" s="1"/>
  <c r="H53" i="4"/>
  <c r="I53" i="4" s="1"/>
  <c r="H54" i="4"/>
  <c r="I54" i="4" s="1"/>
  <c r="H55" i="4"/>
  <c r="I55" i="4" s="1"/>
  <c r="H56" i="4"/>
  <c r="I56" i="4" s="1"/>
  <c r="H57" i="4"/>
  <c r="I57" i="4" s="1"/>
  <c r="H58" i="4"/>
  <c r="I58" i="4" s="1"/>
  <c r="H59" i="4"/>
  <c r="I59" i="4" s="1"/>
  <c r="H60" i="4"/>
  <c r="I60" i="4" s="1"/>
  <c r="H61" i="4"/>
  <c r="I61" i="4" s="1"/>
  <c r="H62" i="4"/>
  <c r="I62" i="4" s="1"/>
  <c r="H10" i="4"/>
  <c r="E10" i="4"/>
  <c r="E66" i="4" s="1"/>
  <c r="B4" i="2"/>
  <c r="B4" i="4"/>
  <c r="D66" i="4"/>
  <c r="F66" i="4"/>
  <c r="G66" i="4"/>
  <c r="C66" i="4"/>
  <c r="D66" i="2"/>
  <c r="BS66" i="1"/>
  <c r="BT66" i="1"/>
  <c r="BU66" i="1"/>
  <c r="BV66" i="1"/>
  <c r="S10" i="1" l="1"/>
  <c r="U64" i="1"/>
  <c r="M51" i="2"/>
  <c r="N51" i="2" s="1"/>
  <c r="BY51" i="1" s="1"/>
  <c r="M10" i="2"/>
  <c r="R24" i="1"/>
  <c r="L24" i="2"/>
  <c r="M24" i="2" s="1"/>
  <c r="Z54" i="1"/>
  <c r="Z43" i="1"/>
  <c r="Z39" i="1"/>
  <c r="Z38" i="1"/>
  <c r="Z51" i="1"/>
  <c r="Z49" i="1"/>
  <c r="Z41" i="1"/>
  <c r="Z62" i="1"/>
  <c r="Z36" i="1"/>
  <c r="Z20" i="1"/>
  <c r="Z27" i="1"/>
  <c r="S24" i="1"/>
  <c r="BD10" i="1"/>
  <c r="Y67" i="9"/>
  <c r="AD7" i="9"/>
  <c r="F58" i="8"/>
  <c r="F26" i="7"/>
  <c r="V10" i="1"/>
  <c r="I10" i="4"/>
  <c r="H66" i="4"/>
  <c r="V64" i="1" l="1"/>
  <c r="W10" i="1"/>
  <c r="L64" i="2"/>
  <c r="Z10" i="1"/>
  <c r="Z24" i="1"/>
  <c r="I66" i="4"/>
  <c r="N68" i="1"/>
  <c r="N69" i="1"/>
  <c r="N70" i="1"/>
  <c r="M68" i="1"/>
  <c r="M69" i="1"/>
  <c r="M70" i="1"/>
  <c r="O58" i="1"/>
  <c r="O64" i="1" s="1"/>
  <c r="E68" i="1"/>
  <c r="L68" i="1"/>
  <c r="E69" i="1"/>
  <c r="L69" i="1"/>
  <c r="E70" i="1"/>
  <c r="L70" i="1"/>
  <c r="P68" i="1"/>
  <c r="P69" i="1"/>
  <c r="P70" i="1"/>
  <c r="W64" i="1" l="1"/>
  <c r="X10" i="1"/>
  <c r="X64" i="1" s="1"/>
  <c r="Y10" i="1"/>
  <c r="Y64" i="1" s="1"/>
  <c r="R58" i="1"/>
  <c r="R64" i="1" s="1"/>
  <c r="J58" i="2"/>
  <c r="S58" i="1"/>
  <c r="S64" i="1" s="1"/>
  <c r="L20" i="8"/>
  <c r="L17" i="7"/>
  <c r="L41" i="8"/>
  <c r="L20" i="7"/>
  <c r="L22" i="8"/>
  <c r="L23" i="7"/>
  <c r="L43" i="8"/>
  <c r="L28" i="7"/>
  <c r="L27" i="8"/>
  <c r="L39" i="7"/>
  <c r="L28" i="8"/>
  <c r="L40" i="7"/>
  <c r="L46" i="8"/>
  <c r="L54" i="7"/>
  <c r="L24" i="8"/>
  <c r="L57" i="7"/>
  <c r="L17" i="8"/>
  <c r="L63" i="7"/>
  <c r="L12" i="8"/>
  <c r="L64" i="7"/>
  <c r="C13" i="8"/>
  <c r="E13" i="8" s="1"/>
  <c r="C10" i="7"/>
  <c r="L10" i="8"/>
  <c r="L62" i="7"/>
  <c r="L61" i="8"/>
  <c r="L59" i="7"/>
  <c r="L56" i="8"/>
  <c r="L56" i="7"/>
  <c r="L42" i="8"/>
  <c r="L53" i="7"/>
  <c r="L40" i="8"/>
  <c r="L51" i="7"/>
  <c r="L45" i="8"/>
  <c r="L48" i="7"/>
  <c r="L21" i="8"/>
  <c r="L46" i="7"/>
  <c r="L69" i="8"/>
  <c r="L44" i="7"/>
  <c r="L35" i="8"/>
  <c r="L42" i="7"/>
  <c r="L39" i="8"/>
  <c r="L38" i="7"/>
  <c r="L36" i="8"/>
  <c r="L35" i="7"/>
  <c r="L11" i="8"/>
  <c r="L33" i="7"/>
  <c r="L55" i="8"/>
  <c r="L30" i="7"/>
  <c r="L25" i="8"/>
  <c r="L27" i="7"/>
  <c r="L48" i="8"/>
  <c r="L25" i="7"/>
  <c r="L52" i="8"/>
  <c r="L22" i="7"/>
  <c r="L68" i="8"/>
  <c r="L19" i="7"/>
  <c r="L67" i="8"/>
  <c r="L16" i="7"/>
  <c r="L18" i="8"/>
  <c r="L14" i="7"/>
  <c r="L32" i="8"/>
  <c r="L12" i="7"/>
  <c r="H12" i="8"/>
  <c r="H64" i="7"/>
  <c r="H17" i="8"/>
  <c r="H63" i="7"/>
  <c r="H10" i="8"/>
  <c r="H62" i="7"/>
  <c r="H51" i="8"/>
  <c r="H61" i="7"/>
  <c r="H15" i="8"/>
  <c r="H60" i="7"/>
  <c r="H61" i="8"/>
  <c r="H59" i="7"/>
  <c r="H49" i="8"/>
  <c r="H58" i="7"/>
  <c r="H24" i="8"/>
  <c r="H57" i="7"/>
  <c r="H56" i="8"/>
  <c r="H56" i="7"/>
  <c r="H16" i="8"/>
  <c r="H55" i="7"/>
  <c r="H46" i="8"/>
  <c r="H54" i="7"/>
  <c r="H42" i="8"/>
  <c r="H53" i="7"/>
  <c r="H31" i="8"/>
  <c r="H52" i="7"/>
  <c r="H40" i="8"/>
  <c r="H51" i="7"/>
  <c r="H70" i="8"/>
  <c r="H50" i="7"/>
  <c r="H50" i="8"/>
  <c r="H49" i="7"/>
  <c r="H45" i="8"/>
  <c r="H48" i="7"/>
  <c r="H54" i="8"/>
  <c r="H47" i="7"/>
  <c r="H21" i="8"/>
  <c r="H46" i="7"/>
  <c r="H44" i="8"/>
  <c r="H45" i="7"/>
  <c r="H69" i="8"/>
  <c r="H44" i="7"/>
  <c r="H33" i="8"/>
  <c r="H43" i="7"/>
  <c r="H35" i="8"/>
  <c r="H42" i="7"/>
  <c r="H14" i="8"/>
  <c r="H41" i="7"/>
  <c r="H28" i="8"/>
  <c r="H40" i="7"/>
  <c r="H27" i="8"/>
  <c r="H39" i="7"/>
  <c r="H39" i="8"/>
  <c r="H38" i="7"/>
  <c r="H30" i="8"/>
  <c r="H37" i="7"/>
  <c r="H23" i="8"/>
  <c r="H36" i="7"/>
  <c r="H36" i="8"/>
  <c r="H35" i="7"/>
  <c r="H38" i="8"/>
  <c r="H34" i="7"/>
  <c r="H11" i="8"/>
  <c r="H33" i="7"/>
  <c r="H34" i="8"/>
  <c r="H32" i="7"/>
  <c r="H53" i="8"/>
  <c r="H31" i="7"/>
  <c r="H55" i="8"/>
  <c r="H30" i="7"/>
  <c r="H26" i="8"/>
  <c r="H29" i="7"/>
  <c r="H43" i="8"/>
  <c r="H28" i="7"/>
  <c r="H25" i="8"/>
  <c r="H27" i="7"/>
  <c r="H58" i="8"/>
  <c r="H26" i="7"/>
  <c r="H48" i="8"/>
  <c r="H25" i="7"/>
  <c r="H64" i="8"/>
  <c r="H24" i="7"/>
  <c r="H22" i="8"/>
  <c r="H23" i="7"/>
  <c r="H52" i="8"/>
  <c r="H22" i="7"/>
  <c r="H29" i="8"/>
  <c r="H21" i="7"/>
  <c r="H41" i="8"/>
  <c r="H20" i="7"/>
  <c r="H68" i="8"/>
  <c r="H19" i="7"/>
  <c r="H57" i="8"/>
  <c r="H18" i="7"/>
  <c r="H20" i="8"/>
  <c r="H17" i="7"/>
  <c r="H67" i="8"/>
  <c r="H16" i="7"/>
  <c r="H19" i="8"/>
  <c r="H15" i="7"/>
  <c r="H18" i="8"/>
  <c r="H14" i="7"/>
  <c r="H47" i="8"/>
  <c r="H13" i="7"/>
  <c r="H32" i="8"/>
  <c r="H12" i="7"/>
  <c r="H37" i="8"/>
  <c r="H11" i="7"/>
  <c r="K15" i="8"/>
  <c r="K60" i="7"/>
  <c r="K68" i="7" s="1"/>
  <c r="I13" i="8"/>
  <c r="I10" i="7"/>
  <c r="I17" i="8"/>
  <c r="I63" i="7"/>
  <c r="I51" i="8"/>
  <c r="I61" i="7"/>
  <c r="I61" i="8"/>
  <c r="I74" i="8" s="1"/>
  <c r="I59" i="7"/>
  <c r="I24" i="8"/>
  <c r="I57" i="7"/>
  <c r="I16" i="8"/>
  <c r="I55" i="7"/>
  <c r="I42" i="8"/>
  <c r="I53" i="7"/>
  <c r="I40" i="8"/>
  <c r="I51" i="7"/>
  <c r="I50" i="8"/>
  <c r="I49" i="7"/>
  <c r="I54" i="8"/>
  <c r="I47" i="7"/>
  <c r="I44" i="8"/>
  <c r="I45" i="7"/>
  <c r="I33" i="8"/>
  <c r="I43" i="7"/>
  <c r="I14" i="8"/>
  <c r="I41" i="7"/>
  <c r="I27" i="8"/>
  <c r="I39" i="7"/>
  <c r="I30" i="8"/>
  <c r="I37" i="7"/>
  <c r="I36" i="8"/>
  <c r="I35" i="7"/>
  <c r="I11" i="8"/>
  <c r="I33" i="7"/>
  <c r="I53" i="8"/>
  <c r="I31" i="7"/>
  <c r="I26" i="8"/>
  <c r="I29" i="7"/>
  <c r="I25" i="8"/>
  <c r="I27" i="7"/>
  <c r="I48" i="8"/>
  <c r="I25" i="7"/>
  <c r="I22" i="8"/>
  <c r="I23" i="7"/>
  <c r="I29" i="8"/>
  <c r="I21" i="7"/>
  <c r="I68" i="8"/>
  <c r="I19" i="7"/>
  <c r="I20" i="8"/>
  <c r="I17" i="7"/>
  <c r="I19" i="8"/>
  <c r="I15" i="7"/>
  <c r="I47" i="8"/>
  <c r="I13" i="7"/>
  <c r="I37" i="8"/>
  <c r="I11" i="7"/>
  <c r="J12" i="8"/>
  <c r="J64" i="7"/>
  <c r="J10" i="8"/>
  <c r="J62" i="7"/>
  <c r="J15" i="8"/>
  <c r="J60" i="7"/>
  <c r="J49" i="8"/>
  <c r="J58" i="7"/>
  <c r="J56" i="8"/>
  <c r="J56" i="7"/>
  <c r="J46" i="8"/>
  <c r="J54" i="7"/>
  <c r="J31" i="8"/>
  <c r="J52" i="7"/>
  <c r="J70" i="8"/>
  <c r="J50" i="7"/>
  <c r="J45" i="8"/>
  <c r="J48" i="7"/>
  <c r="J21" i="8"/>
  <c r="J46" i="7"/>
  <c r="J69" i="8"/>
  <c r="J44" i="7"/>
  <c r="J35" i="8"/>
  <c r="J42" i="7"/>
  <c r="J28" i="8"/>
  <c r="J40" i="7"/>
  <c r="J39" i="8"/>
  <c r="J38" i="7"/>
  <c r="J23" i="8"/>
  <c r="J36" i="7"/>
  <c r="J38" i="8"/>
  <c r="J34" i="7"/>
  <c r="J34" i="8"/>
  <c r="J32" i="7"/>
  <c r="J55" i="8"/>
  <c r="J30" i="7"/>
  <c r="J43" i="8"/>
  <c r="J28" i="7"/>
  <c r="J58" i="8"/>
  <c r="J26" i="7"/>
  <c r="J64" i="8"/>
  <c r="J24" i="7"/>
  <c r="J52" i="8"/>
  <c r="J22" i="7"/>
  <c r="J41" i="8"/>
  <c r="J20" i="7"/>
  <c r="J57" i="8"/>
  <c r="J18" i="7"/>
  <c r="J67" i="8"/>
  <c r="J16" i="7"/>
  <c r="J18" i="8"/>
  <c r="J14" i="7"/>
  <c r="J32" i="8"/>
  <c r="J12" i="7"/>
  <c r="G47" i="8"/>
  <c r="G13" i="7"/>
  <c r="F33" i="8"/>
  <c r="F43" i="7"/>
  <c r="L34" i="8"/>
  <c r="L32" i="7"/>
  <c r="L30" i="8"/>
  <c r="L37" i="7"/>
  <c r="L50" i="8"/>
  <c r="L49" i="7"/>
  <c r="H13" i="8"/>
  <c r="H10" i="7"/>
  <c r="L15" i="8"/>
  <c r="L60" i="7"/>
  <c r="L49" i="8"/>
  <c r="L58" i="7"/>
  <c r="L16" i="8"/>
  <c r="L55" i="7"/>
  <c r="L31" i="8"/>
  <c r="L52" i="7"/>
  <c r="L70" i="8"/>
  <c r="L50" i="7"/>
  <c r="L54" i="8"/>
  <c r="L47" i="7"/>
  <c r="L44" i="8"/>
  <c r="L45" i="7"/>
  <c r="L33" i="8"/>
  <c r="L43" i="7"/>
  <c r="L14" i="8"/>
  <c r="L41" i="7"/>
  <c r="L23" i="8"/>
  <c r="L36" i="7"/>
  <c r="L38" i="8"/>
  <c r="L34" i="7"/>
  <c r="L53" i="8"/>
  <c r="L31" i="7"/>
  <c r="L26" i="8"/>
  <c r="L29" i="7"/>
  <c r="L58" i="8"/>
  <c r="L26" i="7"/>
  <c r="L64" i="8"/>
  <c r="L24" i="7"/>
  <c r="L29" i="8"/>
  <c r="L21" i="7"/>
  <c r="L57" i="8"/>
  <c r="L18" i="7"/>
  <c r="L19" i="8"/>
  <c r="L15" i="7"/>
  <c r="L47" i="8"/>
  <c r="L13" i="7"/>
  <c r="L37" i="8"/>
  <c r="L11" i="7"/>
  <c r="C12" i="8"/>
  <c r="E12" i="8" s="1"/>
  <c r="C64" i="7"/>
  <c r="E64" i="7" s="1"/>
  <c r="C17" i="8"/>
  <c r="E17" i="8" s="1"/>
  <c r="C63" i="7"/>
  <c r="E63" i="7" s="1"/>
  <c r="C10" i="8"/>
  <c r="E10" i="8" s="1"/>
  <c r="C62" i="7"/>
  <c r="E62" i="7" s="1"/>
  <c r="C51" i="8"/>
  <c r="E51" i="8" s="1"/>
  <c r="C61" i="7"/>
  <c r="E61" i="7" s="1"/>
  <c r="C15" i="8"/>
  <c r="E15" i="8" s="1"/>
  <c r="C60" i="7"/>
  <c r="E60" i="7" s="1"/>
  <c r="C61" i="8"/>
  <c r="E61" i="8" s="1"/>
  <c r="C59" i="7"/>
  <c r="E59" i="7" s="1"/>
  <c r="C49" i="8"/>
  <c r="E49" i="8" s="1"/>
  <c r="C58" i="7"/>
  <c r="E58" i="7" s="1"/>
  <c r="C24" i="8"/>
  <c r="E24" i="8" s="1"/>
  <c r="C57" i="7"/>
  <c r="E57" i="7" s="1"/>
  <c r="C56" i="8"/>
  <c r="E56" i="8" s="1"/>
  <c r="C56" i="7"/>
  <c r="E56" i="7" s="1"/>
  <c r="C16" i="8"/>
  <c r="E16" i="8" s="1"/>
  <c r="C55" i="7"/>
  <c r="E55" i="7" s="1"/>
  <c r="C46" i="8"/>
  <c r="E46" i="8" s="1"/>
  <c r="C54" i="7"/>
  <c r="E54" i="7" s="1"/>
  <c r="C42" i="8"/>
  <c r="E42" i="8" s="1"/>
  <c r="C53" i="7"/>
  <c r="E53" i="7" s="1"/>
  <c r="C31" i="8"/>
  <c r="E31" i="8" s="1"/>
  <c r="C52" i="7"/>
  <c r="E52" i="7" s="1"/>
  <c r="C40" i="8"/>
  <c r="E40" i="8" s="1"/>
  <c r="C51" i="7"/>
  <c r="E51" i="7" s="1"/>
  <c r="C70" i="8"/>
  <c r="E70" i="8" s="1"/>
  <c r="C50" i="7"/>
  <c r="E50" i="7" s="1"/>
  <c r="C50" i="8"/>
  <c r="E50" i="8" s="1"/>
  <c r="C49" i="7"/>
  <c r="E49" i="7" s="1"/>
  <c r="C45" i="8"/>
  <c r="E45" i="8" s="1"/>
  <c r="C48" i="7"/>
  <c r="E48" i="7" s="1"/>
  <c r="C54" i="8"/>
  <c r="E54" i="8" s="1"/>
  <c r="C47" i="7"/>
  <c r="E47" i="7" s="1"/>
  <c r="C21" i="8"/>
  <c r="E21" i="8" s="1"/>
  <c r="C46" i="7"/>
  <c r="E46" i="7" s="1"/>
  <c r="C44" i="8"/>
  <c r="E44" i="8" s="1"/>
  <c r="C45" i="7"/>
  <c r="E45" i="7" s="1"/>
  <c r="C69" i="8"/>
  <c r="E69" i="8" s="1"/>
  <c r="C44" i="7"/>
  <c r="E44" i="7" s="1"/>
  <c r="C33" i="8"/>
  <c r="E33" i="8" s="1"/>
  <c r="C43" i="7"/>
  <c r="E43" i="7" s="1"/>
  <c r="C35" i="8"/>
  <c r="E35" i="8" s="1"/>
  <c r="C42" i="7"/>
  <c r="E42" i="7" s="1"/>
  <c r="C14" i="8"/>
  <c r="E14" i="8" s="1"/>
  <c r="C41" i="7"/>
  <c r="E41" i="7" s="1"/>
  <c r="C28" i="8"/>
  <c r="E28" i="8" s="1"/>
  <c r="C40" i="7"/>
  <c r="E40" i="7" s="1"/>
  <c r="C27" i="8"/>
  <c r="E27" i="8" s="1"/>
  <c r="C39" i="7"/>
  <c r="E39" i="7" s="1"/>
  <c r="C39" i="8"/>
  <c r="E39" i="8" s="1"/>
  <c r="C38" i="7"/>
  <c r="E38" i="7" s="1"/>
  <c r="C30" i="8"/>
  <c r="E30" i="8" s="1"/>
  <c r="C37" i="7"/>
  <c r="E37" i="7" s="1"/>
  <c r="C23" i="8"/>
  <c r="E23" i="8" s="1"/>
  <c r="C36" i="7"/>
  <c r="E36" i="7" s="1"/>
  <c r="C36" i="8"/>
  <c r="E36" i="8" s="1"/>
  <c r="C35" i="7"/>
  <c r="E35" i="7" s="1"/>
  <c r="C38" i="8"/>
  <c r="E38" i="8" s="1"/>
  <c r="C34" i="7"/>
  <c r="E34" i="7" s="1"/>
  <c r="C11" i="8"/>
  <c r="E11" i="8" s="1"/>
  <c r="C33" i="7"/>
  <c r="E33" i="7" s="1"/>
  <c r="C34" i="8"/>
  <c r="E34" i="8" s="1"/>
  <c r="C32" i="7"/>
  <c r="E32" i="7" s="1"/>
  <c r="C53" i="8"/>
  <c r="E53" i="8" s="1"/>
  <c r="C31" i="7"/>
  <c r="E31" i="7" s="1"/>
  <c r="C55" i="8"/>
  <c r="E55" i="8" s="1"/>
  <c r="C30" i="7"/>
  <c r="E30" i="7" s="1"/>
  <c r="C26" i="8"/>
  <c r="E26" i="8" s="1"/>
  <c r="C29" i="7"/>
  <c r="E29" i="7" s="1"/>
  <c r="C43" i="8"/>
  <c r="E43" i="8" s="1"/>
  <c r="C28" i="7"/>
  <c r="E28" i="7" s="1"/>
  <c r="C25" i="8"/>
  <c r="E25" i="8" s="1"/>
  <c r="C27" i="7"/>
  <c r="E27" i="7" s="1"/>
  <c r="C58" i="8"/>
  <c r="E58" i="8" s="1"/>
  <c r="C26" i="7"/>
  <c r="E26" i="7" s="1"/>
  <c r="C48" i="8"/>
  <c r="E48" i="8" s="1"/>
  <c r="C25" i="7"/>
  <c r="E25" i="7" s="1"/>
  <c r="C64" i="8"/>
  <c r="E64" i="8" s="1"/>
  <c r="C24" i="7"/>
  <c r="E24" i="7" s="1"/>
  <c r="C22" i="8"/>
  <c r="E22" i="8" s="1"/>
  <c r="C23" i="7"/>
  <c r="E23" i="7" s="1"/>
  <c r="C52" i="8"/>
  <c r="E52" i="8" s="1"/>
  <c r="C22" i="7"/>
  <c r="E22" i="7" s="1"/>
  <c r="C29" i="8"/>
  <c r="E29" i="8" s="1"/>
  <c r="C21" i="7"/>
  <c r="E21" i="7" s="1"/>
  <c r="C41" i="8"/>
  <c r="E41" i="8" s="1"/>
  <c r="C20" i="7"/>
  <c r="E20" i="7" s="1"/>
  <c r="C68" i="8"/>
  <c r="E68" i="8" s="1"/>
  <c r="C19" i="7"/>
  <c r="E19" i="7" s="1"/>
  <c r="C57" i="8"/>
  <c r="E57" i="8" s="1"/>
  <c r="C18" i="7"/>
  <c r="E18" i="7" s="1"/>
  <c r="C20" i="8"/>
  <c r="E20" i="8" s="1"/>
  <c r="C17" i="7"/>
  <c r="E17" i="7" s="1"/>
  <c r="C67" i="8"/>
  <c r="E67" i="8" s="1"/>
  <c r="C16" i="7"/>
  <c r="E16" i="7" s="1"/>
  <c r="C19" i="8"/>
  <c r="E19" i="8" s="1"/>
  <c r="C15" i="7"/>
  <c r="E15" i="7" s="1"/>
  <c r="C18" i="8"/>
  <c r="E18" i="8" s="1"/>
  <c r="C14" i="7"/>
  <c r="E14" i="7" s="1"/>
  <c r="C47" i="8"/>
  <c r="E47" i="8" s="1"/>
  <c r="C13" i="7"/>
  <c r="E13" i="7" s="1"/>
  <c r="C32" i="8"/>
  <c r="E32" i="8" s="1"/>
  <c r="C12" i="7"/>
  <c r="E12" i="7" s="1"/>
  <c r="C37" i="8"/>
  <c r="E37" i="8" s="1"/>
  <c r="C11" i="7"/>
  <c r="E11" i="7" s="1"/>
  <c r="I12" i="8"/>
  <c r="I64" i="7"/>
  <c r="I10" i="8"/>
  <c r="I62" i="7"/>
  <c r="I15" i="8"/>
  <c r="I60" i="7"/>
  <c r="I49" i="8"/>
  <c r="I58" i="7"/>
  <c r="I56" i="8"/>
  <c r="I56" i="7"/>
  <c r="I46" i="8"/>
  <c r="I54" i="7"/>
  <c r="I31" i="8"/>
  <c r="I52" i="7"/>
  <c r="I70" i="8"/>
  <c r="I76" i="8" s="1"/>
  <c r="I50" i="7"/>
  <c r="I45" i="8"/>
  <c r="I48" i="7"/>
  <c r="I21" i="8"/>
  <c r="I46" i="7"/>
  <c r="I69" i="8"/>
  <c r="I44" i="7"/>
  <c r="I35" i="8"/>
  <c r="I42" i="7"/>
  <c r="I28" i="8"/>
  <c r="I40" i="7"/>
  <c r="I39" i="8"/>
  <c r="I38" i="7"/>
  <c r="I23" i="8"/>
  <c r="I36" i="7"/>
  <c r="I38" i="8"/>
  <c r="I34" i="7"/>
  <c r="I34" i="8"/>
  <c r="I32" i="7"/>
  <c r="I55" i="8"/>
  <c r="I30" i="7"/>
  <c r="I43" i="8"/>
  <c r="I28" i="7"/>
  <c r="I58" i="8"/>
  <c r="I73" i="8" s="1"/>
  <c r="I77" i="8" s="1"/>
  <c r="I26" i="7"/>
  <c r="I64" i="8"/>
  <c r="I75" i="8" s="1"/>
  <c r="I24" i="7"/>
  <c r="I52" i="8"/>
  <c r="I22" i="7"/>
  <c r="I41" i="8"/>
  <c r="I20" i="7"/>
  <c r="I57" i="8"/>
  <c r="I18" i="7"/>
  <c r="I67" i="8"/>
  <c r="I16" i="7"/>
  <c r="I18" i="8"/>
  <c r="I14" i="7"/>
  <c r="I32" i="8"/>
  <c r="I12" i="7"/>
  <c r="J13" i="8"/>
  <c r="J10" i="7"/>
  <c r="J17" i="8"/>
  <c r="J63" i="7"/>
  <c r="J51" i="8"/>
  <c r="J61" i="7"/>
  <c r="J61" i="8"/>
  <c r="J59" i="7"/>
  <c r="J24" i="8"/>
  <c r="J57" i="7"/>
  <c r="J16" i="8"/>
  <c r="J55" i="7"/>
  <c r="J42" i="8"/>
  <c r="J53" i="7"/>
  <c r="J40" i="8"/>
  <c r="J51" i="7"/>
  <c r="J50" i="8"/>
  <c r="J49" i="7"/>
  <c r="J54" i="8"/>
  <c r="J47" i="7"/>
  <c r="J44" i="8"/>
  <c r="J45" i="7"/>
  <c r="J33" i="8"/>
  <c r="J43" i="7"/>
  <c r="J14" i="8"/>
  <c r="J41" i="7"/>
  <c r="J27" i="8"/>
  <c r="J39" i="7"/>
  <c r="J30" i="8"/>
  <c r="J37" i="7"/>
  <c r="J36" i="8"/>
  <c r="J35" i="7"/>
  <c r="J11" i="8"/>
  <c r="J33" i="7"/>
  <c r="J53" i="8"/>
  <c r="J31" i="7"/>
  <c r="J26" i="8"/>
  <c r="J29" i="7"/>
  <c r="J25" i="8"/>
  <c r="J27" i="7"/>
  <c r="J48" i="8"/>
  <c r="J25" i="7"/>
  <c r="J22" i="8"/>
  <c r="J23" i="7"/>
  <c r="J29" i="8"/>
  <c r="J21" i="7"/>
  <c r="J68" i="8"/>
  <c r="J19" i="7"/>
  <c r="J20" i="8"/>
  <c r="J17" i="7"/>
  <c r="J19" i="8"/>
  <c r="J15" i="7"/>
  <c r="J47" i="8"/>
  <c r="J13" i="7"/>
  <c r="J37" i="8"/>
  <c r="J11" i="7"/>
  <c r="T70" i="1"/>
  <c r="T69" i="1"/>
  <c r="T68" i="1"/>
  <c r="J64" i="2" l="1"/>
  <c r="M58" i="2"/>
  <c r="M64" i="2" s="1"/>
  <c r="Z58" i="1"/>
  <c r="K66" i="2"/>
  <c r="N33" i="8"/>
  <c r="O33" i="8" s="1"/>
  <c r="N32" i="8"/>
  <c r="N67" i="8"/>
  <c r="O67" i="8" s="1"/>
  <c r="N41" i="8"/>
  <c r="N43" i="8"/>
  <c r="O43" i="8" s="1"/>
  <c r="N23" i="8"/>
  <c r="O23" i="8" s="1"/>
  <c r="N28" i="8"/>
  <c r="O28" i="8" s="1"/>
  <c r="N69" i="8"/>
  <c r="O69" i="8" s="1"/>
  <c r="N45" i="8"/>
  <c r="O45" i="8" s="1"/>
  <c r="N31" i="8"/>
  <c r="O31" i="8" s="1"/>
  <c r="N56" i="8"/>
  <c r="O56" i="8" s="1"/>
  <c r="N12" i="8"/>
  <c r="O12" i="8" s="1"/>
  <c r="L13" i="8"/>
  <c r="L10" i="7"/>
  <c r="J68" i="7"/>
  <c r="N13" i="8"/>
  <c r="O13" i="8" s="1"/>
  <c r="G68" i="7"/>
  <c r="N13" i="7"/>
  <c r="O13" i="7" s="1"/>
  <c r="N11" i="7"/>
  <c r="O11" i="7" s="1"/>
  <c r="O32" i="8"/>
  <c r="N18" i="8"/>
  <c r="O18" i="8" s="1"/>
  <c r="N15" i="7"/>
  <c r="O15" i="7" s="1"/>
  <c r="N17" i="7"/>
  <c r="O17" i="7" s="1"/>
  <c r="N57" i="8"/>
  <c r="O57" i="8" s="1"/>
  <c r="N19" i="7"/>
  <c r="O19" i="7" s="1"/>
  <c r="O41" i="8"/>
  <c r="N21" i="7"/>
  <c r="O21" i="7" s="1"/>
  <c r="N52" i="8"/>
  <c r="O52" i="8" s="1"/>
  <c r="N23" i="7"/>
  <c r="O23" i="7" s="1"/>
  <c r="N64" i="8"/>
  <c r="O64" i="8" s="1"/>
  <c r="O65" i="8" s="1"/>
  <c r="O75" i="8" s="1"/>
  <c r="N25" i="7"/>
  <c r="O25" i="7" s="1"/>
  <c r="N58" i="8"/>
  <c r="O58" i="8" s="1"/>
  <c r="N27" i="7"/>
  <c r="N29" i="7"/>
  <c r="O29" i="7" s="1"/>
  <c r="N55" i="8"/>
  <c r="O55" i="8" s="1"/>
  <c r="N31" i="7"/>
  <c r="O31" i="7" s="1"/>
  <c r="N34" i="8"/>
  <c r="O34" i="8" s="1"/>
  <c r="N33" i="7"/>
  <c r="O33" i="7" s="1"/>
  <c r="N38" i="8"/>
  <c r="O38" i="8" s="1"/>
  <c r="N35" i="7"/>
  <c r="O35" i="7" s="1"/>
  <c r="N37" i="7"/>
  <c r="O37" i="7" s="1"/>
  <c r="N39" i="8"/>
  <c r="O39" i="8" s="1"/>
  <c r="N39" i="7"/>
  <c r="O39" i="7" s="1"/>
  <c r="N41" i="7"/>
  <c r="N35" i="8"/>
  <c r="O35" i="8" s="1"/>
  <c r="N45" i="7"/>
  <c r="O45" i="7" s="1"/>
  <c r="N21" i="8"/>
  <c r="O21" i="8" s="1"/>
  <c r="N47" i="7"/>
  <c r="O47" i="7" s="1"/>
  <c r="N49" i="7"/>
  <c r="O49" i="7" s="1"/>
  <c r="N70" i="8"/>
  <c r="O70" i="8" s="1"/>
  <c r="N51" i="7"/>
  <c r="O51" i="7" s="1"/>
  <c r="N53" i="7"/>
  <c r="O53" i="7" s="1"/>
  <c r="N46" i="8"/>
  <c r="O46" i="8" s="1"/>
  <c r="N55" i="7"/>
  <c r="O55" i="7" s="1"/>
  <c r="N57" i="7"/>
  <c r="N49" i="8"/>
  <c r="O49" i="8" s="1"/>
  <c r="N59" i="7"/>
  <c r="O59" i="7" s="1"/>
  <c r="N15" i="8"/>
  <c r="O15" i="8" s="1"/>
  <c r="N10" i="8"/>
  <c r="O10" i="8" s="1"/>
  <c r="N63" i="7"/>
  <c r="O63" i="7" s="1"/>
  <c r="E10" i="7"/>
  <c r="C68" i="7"/>
  <c r="J66" i="2"/>
  <c r="O27" i="7"/>
  <c r="O41" i="7"/>
  <c r="O57" i="7"/>
  <c r="H68" i="7"/>
  <c r="N10" i="7"/>
  <c r="L51" i="8"/>
  <c r="L61" i="7"/>
  <c r="N61" i="7" s="1"/>
  <c r="O61" i="7" s="1"/>
  <c r="N43" i="7"/>
  <c r="O43" i="7" s="1"/>
  <c r="F68" i="7"/>
  <c r="N47" i="8"/>
  <c r="O47" i="8" s="1"/>
  <c r="I68" i="7"/>
  <c r="N37" i="8"/>
  <c r="O37" i="8" s="1"/>
  <c r="N12" i="7"/>
  <c r="O12" i="7" s="1"/>
  <c r="N14" i="7"/>
  <c r="O14" i="7" s="1"/>
  <c r="N19" i="8"/>
  <c r="O19" i="8" s="1"/>
  <c r="N16" i="7"/>
  <c r="O16" i="7" s="1"/>
  <c r="N20" i="8"/>
  <c r="O20" i="8" s="1"/>
  <c r="N18" i="7"/>
  <c r="O18" i="7" s="1"/>
  <c r="N68" i="8"/>
  <c r="O68" i="8" s="1"/>
  <c r="N20" i="7"/>
  <c r="O20" i="7" s="1"/>
  <c r="N29" i="8"/>
  <c r="O29" i="8" s="1"/>
  <c r="N22" i="7"/>
  <c r="O22" i="7" s="1"/>
  <c r="N22" i="8"/>
  <c r="O22" i="8" s="1"/>
  <c r="N24" i="7"/>
  <c r="O24" i="7" s="1"/>
  <c r="N48" i="8"/>
  <c r="O48" i="8" s="1"/>
  <c r="N26" i="7"/>
  <c r="O26" i="7" s="1"/>
  <c r="N25" i="8"/>
  <c r="O25" i="8" s="1"/>
  <c r="N28" i="7"/>
  <c r="O28" i="7" s="1"/>
  <c r="N26" i="8"/>
  <c r="O26" i="8" s="1"/>
  <c r="N30" i="7"/>
  <c r="O30" i="7" s="1"/>
  <c r="N53" i="8"/>
  <c r="O53" i="8" s="1"/>
  <c r="N32" i="7"/>
  <c r="O32" i="7" s="1"/>
  <c r="N11" i="8"/>
  <c r="O11" i="8" s="1"/>
  <c r="N34" i="7"/>
  <c r="O34" i="7" s="1"/>
  <c r="N36" i="8"/>
  <c r="O36" i="8" s="1"/>
  <c r="N36" i="7"/>
  <c r="O36" i="7" s="1"/>
  <c r="N30" i="8"/>
  <c r="O30" i="8" s="1"/>
  <c r="N38" i="7"/>
  <c r="O38" i="7" s="1"/>
  <c r="N27" i="8"/>
  <c r="O27" i="8" s="1"/>
  <c r="N40" i="7"/>
  <c r="O40" i="7" s="1"/>
  <c r="N14" i="8"/>
  <c r="O14" i="8" s="1"/>
  <c r="N42" i="7"/>
  <c r="O42" i="7" s="1"/>
  <c r="N44" i="7"/>
  <c r="O44" i="7" s="1"/>
  <c r="N44" i="8"/>
  <c r="O44" i="8" s="1"/>
  <c r="N46" i="7"/>
  <c r="O46" i="7" s="1"/>
  <c r="N54" i="8"/>
  <c r="O54" i="8" s="1"/>
  <c r="N48" i="7"/>
  <c r="O48" i="7" s="1"/>
  <c r="N50" i="8"/>
  <c r="O50" i="8" s="1"/>
  <c r="N50" i="7"/>
  <c r="O50" i="7" s="1"/>
  <c r="N40" i="8"/>
  <c r="O40" i="8" s="1"/>
  <c r="N52" i="7"/>
  <c r="O52" i="7" s="1"/>
  <c r="N42" i="8"/>
  <c r="O42" i="8" s="1"/>
  <c r="N54" i="7"/>
  <c r="O54" i="7" s="1"/>
  <c r="N16" i="8"/>
  <c r="O16" i="8" s="1"/>
  <c r="N56" i="7"/>
  <c r="O56" i="7" s="1"/>
  <c r="N24" i="8"/>
  <c r="O24" i="8" s="1"/>
  <c r="N58" i="7"/>
  <c r="O58" i="7" s="1"/>
  <c r="N61" i="8"/>
  <c r="O61" i="8" s="1"/>
  <c r="O62" i="8" s="1"/>
  <c r="O74" i="8" s="1"/>
  <c r="N60" i="7"/>
  <c r="O60" i="7" s="1"/>
  <c r="N51" i="8"/>
  <c r="O51" i="8" s="1"/>
  <c r="N62" i="7"/>
  <c r="O62" i="7" s="1"/>
  <c r="N17" i="8"/>
  <c r="O17" i="8" s="1"/>
  <c r="N64" i="7"/>
  <c r="O64" i="7" s="1"/>
  <c r="Q68" i="1"/>
  <c r="S68" i="1" s="1"/>
  <c r="Q69" i="1"/>
  <c r="S69" i="1" s="1"/>
  <c r="Q70" i="1"/>
  <c r="S70" i="1" s="1"/>
  <c r="H66" i="2"/>
  <c r="I66" i="2"/>
  <c r="L66" i="2"/>
  <c r="N68" i="7" l="1"/>
  <c r="O59" i="8"/>
  <c r="O73" i="8" s="1"/>
  <c r="O77" i="8" s="1"/>
  <c r="O71" i="8"/>
  <c r="O76" i="8" s="1"/>
  <c r="E68" i="7"/>
  <c r="O10" i="7"/>
  <c r="O68" i="7" s="1"/>
  <c r="L68" i="7"/>
  <c r="M66" i="2"/>
  <c r="V68" i="1" l="1"/>
  <c r="W68" i="1" s="1"/>
  <c r="X68" i="1" s="1"/>
  <c r="Y68" i="1" s="1"/>
  <c r="V69" i="1"/>
  <c r="W69" i="1" s="1"/>
  <c r="X69" i="1" s="1"/>
  <c r="Y69" i="1" s="1"/>
  <c r="V70" i="1"/>
  <c r="W70" i="1" s="1"/>
  <c r="X70" i="1" s="1"/>
  <c r="Y70" i="1" s="1"/>
  <c r="E38" i="2" l="1"/>
  <c r="N38" i="2" s="1"/>
  <c r="BY38" i="1" s="1"/>
  <c r="E15" i="2"/>
  <c r="N15" i="2" s="1"/>
  <c r="BY15" i="1" s="1"/>
  <c r="E62" i="2"/>
  <c r="N62" i="2" s="1"/>
  <c r="BY62" i="1" s="1"/>
  <c r="E61" i="2"/>
  <c r="N61" i="2" s="1"/>
  <c r="BY61" i="1" s="1"/>
  <c r="E59" i="2"/>
  <c r="N59" i="2" s="1"/>
  <c r="BY59" i="1" s="1"/>
  <c r="E58" i="2"/>
  <c r="N58" i="2" s="1"/>
  <c r="BY58" i="1" s="1"/>
  <c r="E57" i="2"/>
  <c r="N57" i="2" s="1"/>
  <c r="BY57" i="1" s="1"/>
  <c r="E56" i="2"/>
  <c r="N56" i="2" s="1"/>
  <c r="BY56" i="1" s="1"/>
  <c r="E55" i="2"/>
  <c r="N55" i="2" s="1"/>
  <c r="BY55" i="1" s="1"/>
  <c r="E53" i="2"/>
  <c r="N53" i="2" s="1"/>
  <c r="BY53" i="1" s="1"/>
  <c r="E52" i="2"/>
  <c r="N52" i="2" s="1"/>
  <c r="BY52" i="1" s="1"/>
  <c r="E50" i="2"/>
  <c r="N50" i="2" s="1"/>
  <c r="BY50" i="1" s="1"/>
  <c r="E49" i="2"/>
  <c r="N49" i="2" s="1"/>
  <c r="BY49" i="1" s="1"/>
  <c r="E48" i="2"/>
  <c r="N48" i="2" s="1"/>
  <c r="BY48" i="1" s="1"/>
  <c r="E47" i="2"/>
  <c r="N47" i="2" s="1"/>
  <c r="BY47" i="1" s="1"/>
  <c r="E46" i="2"/>
  <c r="N46" i="2" s="1"/>
  <c r="BY46" i="1" s="1"/>
  <c r="E45" i="2"/>
  <c r="N45" i="2" s="1"/>
  <c r="BY45" i="1" s="1"/>
  <c r="E44" i="2"/>
  <c r="N44" i="2" s="1"/>
  <c r="BY44" i="1" s="1"/>
  <c r="E43" i="2"/>
  <c r="N43" i="2" s="1"/>
  <c r="BY43" i="1" s="1"/>
  <c r="E42" i="2"/>
  <c r="N42" i="2" s="1"/>
  <c r="BY42" i="1" s="1"/>
  <c r="E41" i="2"/>
  <c r="N41" i="2" s="1"/>
  <c r="BY41" i="1" s="1"/>
  <c r="E40" i="2"/>
  <c r="N40" i="2" s="1"/>
  <c r="BY40" i="1" s="1"/>
  <c r="E39" i="2"/>
  <c r="N39" i="2" s="1"/>
  <c r="BY39" i="1" s="1"/>
  <c r="E37" i="2"/>
  <c r="N37" i="2" s="1"/>
  <c r="BY37" i="1" s="1"/>
  <c r="E36" i="2"/>
  <c r="N36" i="2" s="1"/>
  <c r="BY36" i="1" s="1"/>
  <c r="E35" i="2"/>
  <c r="N35" i="2" s="1"/>
  <c r="BY35" i="1" s="1"/>
  <c r="E34" i="2"/>
  <c r="N34" i="2" s="1"/>
  <c r="BY34" i="1" s="1"/>
  <c r="E33" i="2"/>
  <c r="N33" i="2" s="1"/>
  <c r="BY33" i="1" s="1"/>
  <c r="E32" i="2"/>
  <c r="N32" i="2" s="1"/>
  <c r="BY32" i="1" s="1"/>
  <c r="E31" i="2"/>
  <c r="N31" i="2" s="1"/>
  <c r="BY31" i="1" s="1"/>
  <c r="E30" i="2"/>
  <c r="N30" i="2" s="1"/>
  <c r="BY30" i="1" s="1"/>
  <c r="E29" i="2"/>
  <c r="N29" i="2" s="1"/>
  <c r="BY29" i="1" s="1"/>
  <c r="E28" i="2"/>
  <c r="N28" i="2" s="1"/>
  <c r="BY28" i="1" s="1"/>
  <c r="E27" i="2"/>
  <c r="N27" i="2" s="1"/>
  <c r="BY27" i="1" s="1"/>
  <c r="E22" i="2"/>
  <c r="N22" i="2" s="1"/>
  <c r="BY22" i="1" s="1"/>
  <c r="E21" i="2"/>
  <c r="N21" i="2" s="1"/>
  <c r="BY21" i="1" s="1"/>
  <c r="E20" i="2"/>
  <c r="N20" i="2" s="1"/>
  <c r="BY20" i="1" s="1"/>
  <c r="E19" i="2"/>
  <c r="N19" i="2" s="1"/>
  <c r="BY19" i="1" s="1"/>
  <c r="E17" i="2"/>
  <c r="N17" i="2" s="1"/>
  <c r="BY17" i="1" s="1"/>
  <c r="E16" i="2"/>
  <c r="N16" i="2" s="1"/>
  <c r="BY16" i="1" s="1"/>
  <c r="E14" i="2"/>
  <c r="N14" i="2" s="1"/>
  <c r="BY14" i="1" s="1"/>
  <c r="E13" i="2"/>
  <c r="N13" i="2" s="1"/>
  <c r="BY13" i="1" s="1"/>
  <c r="E12" i="2"/>
  <c r="N12" i="2" s="1"/>
  <c r="BY12" i="1" s="1"/>
  <c r="E11" i="2"/>
  <c r="N11" i="2" s="1"/>
  <c r="BY11" i="1" s="1"/>
  <c r="E26" i="2"/>
  <c r="N26" i="2" s="1"/>
  <c r="BY26" i="1" s="1"/>
  <c r="E24" i="2"/>
  <c r="N24" i="2" s="1"/>
  <c r="BY24" i="1" s="1"/>
  <c r="E25" i="2"/>
  <c r="N25" i="2" s="1"/>
  <c r="BY25" i="1" s="1"/>
  <c r="E23" i="2"/>
  <c r="N23" i="2" s="1"/>
  <c r="BY23" i="1" s="1"/>
  <c r="E60" i="2"/>
  <c r="N60" i="2" s="1"/>
  <c r="BY60" i="1" s="1"/>
  <c r="E10" i="2"/>
  <c r="E18" i="2"/>
  <c r="N18" i="2" s="1"/>
  <c r="BY18" i="1" s="1"/>
  <c r="E54" i="2"/>
  <c r="N54" i="2" s="1"/>
  <c r="BY54" i="1" s="1"/>
  <c r="E64" i="2" l="1"/>
  <c r="E66" i="2" s="1"/>
  <c r="N10" i="2"/>
  <c r="BY10" i="1" l="1"/>
  <c r="N64" i="2"/>
  <c r="T65" i="1"/>
  <c r="T66" i="1" s="1"/>
  <c r="N66" i="2"/>
  <c r="S65" i="1" l="1"/>
  <c r="S66" i="1" s="1"/>
</calcChain>
</file>

<file path=xl/comments1.xml><?xml version="1.0" encoding="utf-8"?>
<comments xmlns="http://schemas.openxmlformats.org/spreadsheetml/2006/main">
  <authors>
    <author>lily</author>
  </authors>
  <commentList>
    <comment ref="L23" authorId="0">
      <text>
        <r>
          <rPr>
            <b/>
            <sz val="9"/>
            <color indexed="81"/>
            <rFont val="Tahoma"/>
            <family val="2"/>
          </rPr>
          <t>lily:</t>
        </r>
        <r>
          <rPr>
            <sz val="9"/>
            <color indexed="81"/>
            <rFont val="Tahoma"/>
            <family val="2"/>
          </rPr>
          <t xml:space="preserve">
NO ESTABA EN NEGATIVO NO SE RESTO
</t>
        </r>
      </text>
    </comment>
    <comment ref="P26" authorId="0">
      <text>
        <r>
          <rPr>
            <b/>
            <sz val="9"/>
            <color indexed="81"/>
            <rFont val="Tahoma"/>
            <family val="2"/>
          </rPr>
          <t>lily:</t>
        </r>
        <r>
          <rPr>
            <sz val="9"/>
            <color indexed="81"/>
            <rFont val="Tahoma"/>
            <family val="2"/>
          </rPr>
          <t xml:space="preserve">
NO ESTABA EN NEGATIVO NO SE RESTO</t>
        </r>
      </text>
    </comment>
  </commentList>
</comments>
</file>

<file path=xl/sharedStrings.xml><?xml version="1.0" encoding="utf-8"?>
<sst xmlns="http://schemas.openxmlformats.org/spreadsheetml/2006/main" count="2037" uniqueCount="386">
  <si>
    <t>CONTPAQ i</t>
  </si>
  <si>
    <t xml:space="preserve">      NÓMINAS</t>
  </si>
  <si>
    <t>Lista de Raya (forma tabular)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</si>
  <si>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</si>
  <si>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</si>
  <si>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</si>
  <si>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</si>
  <si>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</si>
  <si>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</si>
  <si>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</si>
  <si>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</si>
  <si>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</si>
  <si>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>BS22</t>
  </si>
  <si>
    <t>GM21</t>
  </si>
  <si>
    <t>Vargas Cosme Susana</t>
  </si>
  <si>
    <t xml:space="preserve">  =============</t>
  </si>
  <si>
    <t>Total Gral.</t>
  </si>
  <si>
    <t xml:space="preserve"> </t>
  </si>
  <si>
    <t>TOTAL</t>
  </si>
  <si>
    <t>IVA</t>
  </si>
  <si>
    <t>TOTAL PERCEPCIONES</t>
  </si>
  <si>
    <t>SUELDO BASE</t>
  </si>
  <si>
    <t>COMISIONES</t>
  </si>
  <si>
    <t>Comision 10%</t>
  </si>
  <si>
    <t>2% S/N</t>
  </si>
  <si>
    <t>SUBTOTAL</t>
  </si>
  <si>
    <t>SUBSIDO ENTREGADO</t>
  </si>
  <si>
    <t>SGV</t>
  </si>
  <si>
    <t>00040</t>
  </si>
  <si>
    <t>Aguilar  Rosas Yolanda</t>
  </si>
  <si>
    <t>Bautista Sanchez Sandra Stephanie</t>
  </si>
  <si>
    <t>BH01</t>
  </si>
  <si>
    <t>Bezares Hernandez Zaire Yael</t>
  </si>
  <si>
    <t>BM11</t>
  </si>
  <si>
    <t>Bonilla Martinez Daniela Monserra</t>
  </si>
  <si>
    <t>CH02</t>
  </si>
  <si>
    <t>Camacho Hernandez Leopoldo</t>
  </si>
  <si>
    <t>0009</t>
  </si>
  <si>
    <t>Camacho Resendiz M Dolores</t>
  </si>
  <si>
    <t>0002</t>
  </si>
  <si>
    <t>Chavez Perez Beatriz</t>
  </si>
  <si>
    <t>CA07</t>
  </si>
  <si>
    <t>Colin Alvarez Othon</t>
  </si>
  <si>
    <t>CR01</t>
  </si>
  <si>
    <t>Covarrubias Rodriguez Sarahi Escar</t>
  </si>
  <si>
    <t>DM01</t>
  </si>
  <si>
    <t>Damian Melchor Magaly</t>
  </si>
  <si>
    <t>DD01</t>
  </si>
  <si>
    <t>De Santiago Dondiego J Jesus</t>
  </si>
  <si>
    <t>EZ08</t>
  </si>
  <si>
    <t>Espindola Zarazua Maria Guadalupe</t>
  </si>
  <si>
    <t>0043</t>
  </si>
  <si>
    <t>Espinoza Alvarez Armando</t>
  </si>
  <si>
    <t>FC026</t>
  </si>
  <si>
    <t>Flores  Catarino Josue</t>
  </si>
  <si>
    <t>GR002</t>
  </si>
  <si>
    <t>Gallegos Romero Cristian</t>
  </si>
  <si>
    <t>Garcia Montes Jesus Salvador</t>
  </si>
  <si>
    <t>GP00</t>
  </si>
  <si>
    <t>Garcia Perez Diana</t>
  </si>
  <si>
    <t>GT01</t>
  </si>
  <si>
    <t>Gomez Trujillo Juan Carlos</t>
  </si>
  <si>
    <t>GM01</t>
  </si>
  <si>
    <t>Gonzalez Molinero Angelica</t>
  </si>
  <si>
    <t>GO02</t>
  </si>
  <si>
    <t>Gonzalez Oregon Lizbeth</t>
  </si>
  <si>
    <t>GS02</t>
  </si>
  <si>
    <t>Gonzalez Sanchez Michelle Estefan</t>
  </si>
  <si>
    <t>GN006</t>
  </si>
  <si>
    <t>Guzman Navarro Eduardo</t>
  </si>
  <si>
    <t>HC018</t>
  </si>
  <si>
    <t>Hernandez Carpio Jesus</t>
  </si>
  <si>
    <t>HH07</t>
  </si>
  <si>
    <t>Hernandez Herrera J Hector</t>
  </si>
  <si>
    <t>HM06</t>
  </si>
  <si>
    <t>Hernandez  Martinez Alma Janet</t>
  </si>
  <si>
    <t>HP026</t>
  </si>
  <si>
    <t>Hurtado  Pajaro  Jose Eduardo</t>
  </si>
  <si>
    <t>JB01</t>
  </si>
  <si>
    <t>Juarez Bautista Juan Carlos</t>
  </si>
  <si>
    <t>JT01</t>
  </si>
  <si>
    <t>Juarez Talavera Maria Fernanda</t>
  </si>
  <si>
    <t>LU18</t>
  </si>
  <si>
    <t>Lizardi Urzua Arizbet</t>
  </si>
  <si>
    <t>MZ28</t>
  </si>
  <si>
    <t>Mancilla Zuñiga Fermin</t>
  </si>
  <si>
    <t>MM00</t>
  </si>
  <si>
    <t>Mandujano Martinez Guadalupe</t>
  </si>
  <si>
    <t>MC13</t>
  </si>
  <si>
    <t>Martinez Cabrera Erick Ignacio</t>
  </si>
  <si>
    <t>MG29</t>
  </si>
  <si>
    <t>Martinez Gonzalez Maria Dolores</t>
  </si>
  <si>
    <t>MZ27</t>
  </si>
  <si>
    <t>Morales Flores Fernando</t>
  </si>
  <si>
    <t>MS00</t>
  </si>
  <si>
    <t>Morales Sanchez Angel</t>
  </si>
  <si>
    <t>NM01</t>
  </si>
  <si>
    <t>Nieto Medina Pedro Emmanuel</t>
  </si>
  <si>
    <t>OG214</t>
  </si>
  <si>
    <t>Olvera Gonzalez Carlos Alberto</t>
  </si>
  <si>
    <t>OL001</t>
  </si>
  <si>
    <t>Olvera  Landaverde Armando</t>
  </si>
  <si>
    <t>OP01</t>
  </si>
  <si>
    <t>Ontiveros Pliego  Luis Gerardo</t>
  </si>
  <si>
    <t>PL02</t>
  </si>
  <si>
    <t>Pacheco  Lopez Mayra</t>
  </si>
  <si>
    <t>PR11</t>
  </si>
  <si>
    <t>Padilla Ruiz Jose Antonio</t>
  </si>
  <si>
    <t>PL01</t>
  </si>
  <si>
    <t>Pascual  Lopez Mayra</t>
  </si>
  <si>
    <t>RS10</t>
  </si>
  <si>
    <t>Rosas Soria Tanya Guadalupe</t>
  </si>
  <si>
    <t>RF01</t>
  </si>
  <si>
    <t>Rubio Franco Gabriela</t>
  </si>
  <si>
    <t>SS025</t>
  </si>
  <si>
    <t>Saldaña Sanchez Julio Cesar</t>
  </si>
  <si>
    <t>SM19</t>
  </si>
  <si>
    <t>Sanchez Morales Idalid</t>
  </si>
  <si>
    <t>SP014</t>
  </si>
  <si>
    <t>Sierra Polinar Cesar Alan</t>
  </si>
  <si>
    <t>TS10</t>
  </si>
  <si>
    <t>Tinoco Suarez Margarita</t>
  </si>
  <si>
    <t>TH01</t>
  </si>
  <si>
    <t>Trejo Hernandez Maria Mericela</t>
  </si>
  <si>
    <t>TT02</t>
  </si>
  <si>
    <t>Trejo Torres Erika Rocio</t>
  </si>
  <si>
    <t>VB13</t>
  </si>
  <si>
    <t>Vega Barron Jose Angel</t>
  </si>
  <si>
    <t>VA00</t>
  </si>
  <si>
    <t>Villalba Acosta Fernando</t>
  </si>
  <si>
    <t>COVARRUBIAS RODRIGUEZ</t>
  </si>
  <si>
    <t>AUXILIAR CONTABLE</t>
  </si>
  <si>
    <t>CAJERA</t>
  </si>
  <si>
    <t>AUXILIAR DE CALIDAD</t>
  </si>
  <si>
    <t>VIGILANTE</t>
  </si>
  <si>
    <t>INTENDENCIA</t>
  </si>
  <si>
    <t>SUPERVISOR DE CONTAC</t>
  </si>
  <si>
    <t>CH25</t>
  </si>
  <si>
    <t>ASESOR DE SERVICIO</t>
  </si>
  <si>
    <t>NOMINA</t>
  </si>
  <si>
    <t>JEFE DE SERVICIO</t>
  </si>
  <si>
    <t>HOSTESS</t>
  </si>
  <si>
    <t>JEFE DE TALLER</t>
  </si>
  <si>
    <t>VALUADOR</t>
  </si>
  <si>
    <t>CONTROL Y TABULACION</t>
  </si>
  <si>
    <t>CHOFER MENSAJERO</t>
  </si>
  <si>
    <t>WEB MASTER</t>
  </si>
  <si>
    <t>ATENCION A CLIENTES</t>
  </si>
  <si>
    <t>GRETEER</t>
  </si>
  <si>
    <t>INTERCAMBIOS</t>
  </si>
  <si>
    <t>TRASLADISTA</t>
  </si>
  <si>
    <t>ASISTENTE DE GTE</t>
  </si>
  <si>
    <t>INFONAVIT</t>
  </si>
  <si>
    <t>Cedeño Hernandez Juana</t>
  </si>
  <si>
    <t>MR027</t>
  </si>
  <si>
    <t>Molina Ramirez  Jesus Octavio</t>
  </si>
  <si>
    <t>11 CONSULTORES &amp; ASESORES INTEGRALES SC</t>
  </si>
  <si>
    <t>Reg Pat IMSS: E2375841103</t>
  </si>
  <si>
    <t>*Otras* *Percepciones*</t>
  </si>
  <si>
    <t>CV22</t>
  </si>
  <si>
    <t>FACTURACIÓN</t>
  </si>
  <si>
    <t>11 CONSULTORES &amp; ASESORES INTEGRALES SC_</t>
  </si>
  <si>
    <t>Apoyo</t>
  </si>
  <si>
    <t>COMISIÓN EMPLEADO</t>
  </si>
  <si>
    <t>A DESCONTAR PROX NOM</t>
  </si>
  <si>
    <t>NOTA: SOLO SE PAGO DE MAS NO SE FACTURO</t>
  </si>
  <si>
    <t>Aguilar Rosas Yolanda</t>
  </si>
  <si>
    <t>Consultores &amp; Asesores Integrales S.C.</t>
  </si>
  <si>
    <t>Servicios Prestados a : QUERETARO MOTORS, SA</t>
  </si>
  <si>
    <t>Area</t>
  </si>
  <si>
    <t>CODIGO</t>
  </si>
  <si>
    <t>Nombre</t>
  </si>
  <si>
    <t>Suc</t>
  </si>
  <si>
    <t>FECHA DE INGRESO</t>
  </si>
  <si>
    <t>Puesto</t>
  </si>
  <si>
    <t>FIJO / VARIABLE</t>
  </si>
  <si>
    <t>sub   S/N</t>
  </si>
  <si>
    <t>CONSULTORES</t>
  </si>
  <si>
    <t>SINDICATO</t>
  </si>
  <si>
    <t>Sueldo Quincenal</t>
  </si>
  <si>
    <t>Prima Vacacional</t>
  </si>
  <si>
    <t>Dias de Vacaciones</t>
  </si>
  <si>
    <t>SEGURO DE VIDA (-)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</si>
  <si>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</si>
  <si>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</si>
  <si>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</si>
  <si>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</si>
  <si>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</si>
  <si>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</si>
  <si>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</si>
  <si>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</si>
  <si>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</si>
  <si>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</si>
  <si>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</si>
  <si>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</si>
  <si>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PAGADO</t>
  </si>
  <si>
    <t>DIF</t>
  </si>
  <si>
    <t>DIFERENCIA</t>
  </si>
  <si>
    <t>No. Cuenta</t>
  </si>
  <si>
    <t>OBSERVACION</t>
  </si>
  <si>
    <t>REFACCIONES</t>
  </si>
  <si>
    <t>AGUILAR ROSAS YOLANDA</t>
  </si>
  <si>
    <t>AUXILIAR DE REFACCIO</t>
  </si>
  <si>
    <t>ADMINISTRACION</t>
  </si>
  <si>
    <t>BAUTISTA SANCHEZ SANDRA</t>
  </si>
  <si>
    <t>RECEPCION</t>
  </si>
  <si>
    <t>FIJO</t>
  </si>
  <si>
    <t>COORPORATIVO</t>
  </si>
  <si>
    <t>BEZARES HERNANDEZ YAEL</t>
  </si>
  <si>
    <t>AUX CONTABLE</t>
  </si>
  <si>
    <t>ADMON VENTAS</t>
  </si>
  <si>
    <t>BONILLA MARTINEZ DANIELA</t>
  </si>
  <si>
    <t>CAMACHO HERNANDEZ LEOPOLDO</t>
  </si>
  <si>
    <t>CAMACHO RESENDIZ MARIA DOLORES</t>
  </si>
  <si>
    <t>CEDEñO HERNANDEZ JUANA</t>
  </si>
  <si>
    <t>AUX ADMINISTRATIVO</t>
  </si>
  <si>
    <t>CHAVEZ PEREZ BEATRIZ</t>
  </si>
  <si>
    <t>COLIN ALVAREZ OTHON</t>
  </si>
  <si>
    <t>ADMON SERVICIO</t>
  </si>
  <si>
    <t>DAMIAN MELCHOR MAGALY</t>
  </si>
  <si>
    <t>DE SANTIAGO DONDIEGO J DE JESUS</t>
  </si>
  <si>
    <t>SERVICIO</t>
  </si>
  <si>
    <t>ESPINDOLA ZARAZUA MA GUADALUPE</t>
  </si>
  <si>
    <t>ESPINOZA ALVAREZ ARMANDO</t>
  </si>
  <si>
    <t>FC26</t>
  </si>
  <si>
    <t>FLORES CATARINO JOSUE</t>
  </si>
  <si>
    <t>AUX. DE REFACCIONES</t>
  </si>
  <si>
    <t>BNTE NO TJ 4915667391931104</t>
  </si>
  <si>
    <t>GALLEGOS ROMERO CRISTIAN</t>
  </si>
  <si>
    <t>VENTAS</t>
  </si>
  <si>
    <t>GARCIA MONTES JESUS</t>
  </si>
  <si>
    <t>HOSTESS SEMINUEVOS</t>
  </si>
  <si>
    <t>GARCIA PEREZ DIANA</t>
  </si>
  <si>
    <t>GOMEZ TRUJILLO JUAN</t>
  </si>
  <si>
    <t>AUX DE REFACCIONES</t>
  </si>
  <si>
    <t>GONZALEZ MOLINERO ANGELICA</t>
  </si>
  <si>
    <t>AUX EN VENTAS</t>
  </si>
  <si>
    <t>GONZALEZ OREGON LIZBETH</t>
  </si>
  <si>
    <t>AUX. ADMON</t>
  </si>
  <si>
    <t>GONZALEZ SANCHEZ MICHEL</t>
  </si>
  <si>
    <t>GN06</t>
  </si>
  <si>
    <t>HC18</t>
  </si>
  <si>
    <t>HERNANDEZ HERRERA J HECTOR</t>
  </si>
  <si>
    <t>HERNANDEZ MARTINEZ ALMA</t>
  </si>
  <si>
    <t>HP16</t>
  </si>
  <si>
    <t>HURTADO PAJARO JOSE</t>
  </si>
  <si>
    <t>LIZARDI URZUA ARIZBETH</t>
  </si>
  <si>
    <t>MANCILLA ZUñIGA FERMIN</t>
  </si>
  <si>
    <t>ENC MOSTRADOR</t>
  </si>
  <si>
    <t>MARTINEZ CABRERA ERICK</t>
  </si>
  <si>
    <t>MARTINEZ GONZALEZ MARIA DOLORES</t>
  </si>
  <si>
    <t>MR27</t>
  </si>
  <si>
    <t>MOLINA RAMIREZ JESUS</t>
  </si>
  <si>
    <t>MORALES FLORES FERNANDO</t>
  </si>
  <si>
    <t>MORALES SANCHEZ ANGEL</t>
  </si>
  <si>
    <t xml:space="preserve">FIJO     </t>
  </si>
  <si>
    <t xml:space="preserve">NIETO MEDINA PEDRO </t>
  </si>
  <si>
    <t>ASIST GTE MARTIN</t>
  </si>
  <si>
    <t>OG14</t>
  </si>
  <si>
    <t>OLVERA GONZALEZ CARLOS</t>
  </si>
  <si>
    <t>HOJALATERIA</t>
  </si>
  <si>
    <t>OL01</t>
  </si>
  <si>
    <t>HOJALATEROA</t>
  </si>
  <si>
    <t>ONTIVEROS PLIEGO LUIS</t>
  </si>
  <si>
    <t>ASIST GTE ARTURO</t>
  </si>
  <si>
    <t>PACHECO LOPEZ MAYRA</t>
  </si>
  <si>
    <t>PADILLA RUIZ JOSE ANTONIO</t>
  </si>
  <si>
    <t>VIGILANTE COLON</t>
  </si>
  <si>
    <t xml:space="preserve">FIJO </t>
  </si>
  <si>
    <t>PASCUAL LOPEZ MAYRA</t>
  </si>
  <si>
    <t>ROSAS SORIA TANYA GUADALUPE</t>
  </si>
  <si>
    <t>RUBIO FRANCO GABRIELA</t>
  </si>
  <si>
    <t>SS25</t>
  </si>
  <si>
    <t>SALDAÑA SANCHEZ JULIO CESAR</t>
  </si>
  <si>
    <t>SP14</t>
  </si>
  <si>
    <t>SIERRA POLINA CESAR</t>
  </si>
  <si>
    <t xml:space="preserve">ASISR GTE ANAEL </t>
  </si>
  <si>
    <t>TINOCO SUAREZ MARGARITA</t>
  </si>
  <si>
    <t>BNX CTA    002680902750119152</t>
  </si>
  <si>
    <t>TREJO HERNANDEZ MARICELA</t>
  </si>
  <si>
    <t>AUX ADMON</t>
  </si>
  <si>
    <t>TREJO TORRES ERIKA R</t>
  </si>
  <si>
    <t>CXP</t>
  </si>
  <si>
    <t>VC22</t>
  </si>
  <si>
    <t>VARGAS COSME SUSANA</t>
  </si>
  <si>
    <t>AUX. CONTABLE</t>
  </si>
  <si>
    <t>VEGA BARRON JOSE ANGEL</t>
  </si>
  <si>
    <t>VILLALBA ACOSTA FERN</t>
  </si>
  <si>
    <t>GERENTE GENERAL</t>
  </si>
  <si>
    <t>FONACOT</t>
  </si>
  <si>
    <t>Uniformes</t>
  </si>
  <si>
    <t>NETO A RECIBIR EMPLEADOS</t>
  </si>
  <si>
    <t>VACACIONES PAGADAS</t>
  </si>
  <si>
    <t>FALTAS</t>
  </si>
  <si>
    <t>HORAS EXTRA</t>
  </si>
  <si>
    <t>DIA FESTIVO</t>
  </si>
  <si>
    <t>INCAPACIDAD DESCONTADA</t>
  </si>
  <si>
    <t>Cedeño Hernandez JuanA</t>
  </si>
  <si>
    <t>baja</t>
  </si>
  <si>
    <t>1109785957</t>
  </si>
  <si>
    <t>1110345261</t>
  </si>
  <si>
    <t>1183378845</t>
  </si>
  <si>
    <t>1404990536</t>
  </si>
  <si>
    <t>1405570565</t>
  </si>
  <si>
    <t>1413691810</t>
  </si>
  <si>
    <t>1435597188</t>
  </si>
  <si>
    <t>1461266403</t>
  </si>
  <si>
    <t>1467420064</t>
  </si>
  <si>
    <t>2615562821</t>
  </si>
  <si>
    <t>2631133012</t>
  </si>
  <si>
    <t>2637315589</t>
  </si>
  <si>
    <t>2659973974</t>
  </si>
  <si>
    <t>2729733183</t>
  </si>
  <si>
    <t>2734223152</t>
  </si>
  <si>
    <t>2743852393</t>
  </si>
  <si>
    <t>2745564778</t>
  </si>
  <si>
    <t>2760229598</t>
  </si>
  <si>
    <t>2765125111</t>
  </si>
  <si>
    <t>2786636659</t>
  </si>
  <si>
    <t>2836126510</t>
  </si>
  <si>
    <t>2859592156</t>
  </si>
  <si>
    <t>2864339452</t>
  </si>
  <si>
    <t>2871132644</t>
  </si>
  <si>
    <t>2884661508</t>
  </si>
  <si>
    <t>2886339700</t>
  </si>
  <si>
    <t>2886516505</t>
  </si>
  <si>
    <t>2887709471</t>
  </si>
  <si>
    <t>2892941821</t>
  </si>
  <si>
    <t>2893013472</t>
  </si>
  <si>
    <t>2893195635</t>
  </si>
  <si>
    <t>2894923057</t>
  </si>
  <si>
    <t>2897100388</t>
  </si>
  <si>
    <t>2903180794</t>
  </si>
  <si>
    <t>2912923548</t>
  </si>
  <si>
    <t>2914530241</t>
  </si>
  <si>
    <t>2914894898</t>
  </si>
  <si>
    <t>2928980233</t>
  </si>
  <si>
    <t>2929389652</t>
  </si>
  <si>
    <t>2934137264</t>
  </si>
  <si>
    <t>2937082010</t>
  </si>
  <si>
    <t>2943846814</t>
  </si>
  <si>
    <t>2945821312</t>
  </si>
  <si>
    <t>2948414130</t>
  </si>
  <si>
    <t>2949799338</t>
  </si>
  <si>
    <t>2965106850</t>
  </si>
  <si>
    <t>2987650868</t>
  </si>
  <si>
    <t>2994929888</t>
  </si>
  <si>
    <t xml:space="preserve">BANORTE </t>
  </si>
  <si>
    <t>BANAMEX</t>
  </si>
  <si>
    <t>EFECTIVOS</t>
  </si>
  <si>
    <t>BANCOMER</t>
  </si>
  <si>
    <t>BANORTE</t>
  </si>
  <si>
    <t>Molina Ramirez Jesus Octavio</t>
  </si>
  <si>
    <t>Ontiveros Pliego Luis Gerardo</t>
  </si>
  <si>
    <t>0RS10</t>
  </si>
  <si>
    <t>Periodo 2DA QUINCENA</t>
  </si>
  <si>
    <t>01/03/2016 AL 15/03/2016</t>
  </si>
  <si>
    <t>AHORRO CTM</t>
  </si>
  <si>
    <t>BAJA</t>
  </si>
  <si>
    <t>GUZMAN NAVARRO EDUARDO</t>
  </si>
  <si>
    <t>HERNANDEZ CARPIO JESUS</t>
  </si>
  <si>
    <t>JUAREZ BAUTISTA JUAN CARLOS</t>
  </si>
  <si>
    <t>JUAREZ TALAVERA MARIA</t>
  </si>
  <si>
    <t>MANDUJANO MARTINEZ GUADALUPE</t>
  </si>
  <si>
    <t>OLVERA LANDAVERDE ARMANO</t>
  </si>
  <si>
    <t>PH18</t>
  </si>
  <si>
    <t>PIÑA HERNANDEZ CARLOS</t>
  </si>
  <si>
    <t>ASISTENTE DE CALIDAD</t>
  </si>
  <si>
    <t>SANCHEZ MORALES IDALID</t>
  </si>
  <si>
    <t>TOTAL NOMINA</t>
  </si>
  <si>
    <t>ESPECIAL</t>
  </si>
  <si>
    <t>Carrillo Martinez Jose Pedro Vidal</t>
  </si>
  <si>
    <t>Ferrer Gonzalez Maria Elena</t>
  </si>
  <si>
    <t>Garcia Olivos Maria Teresa</t>
  </si>
  <si>
    <t>Navarro Gomez Yazmin</t>
  </si>
  <si>
    <t>SANCHEZ DE SANTIAGO RICARDO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</si>
  <si>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</si>
  <si>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</si>
  <si>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</si>
  <si>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</si>
  <si>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</si>
  <si>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</si>
  <si>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</si>
  <si>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DEDUCCIONES</t>
  </si>
  <si>
    <t>Periodo 5 al 5 Quincenal del 01/03/2016 al 15/03/2016</t>
  </si>
  <si>
    <t>11 SINDICATO ASOCIACION -- QRO MOTORS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</si>
</sst>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 val="singleAccounting"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8"/>
      <color theme="0" tint="-0.249977111117893"/>
      <name val="Arial"/>
      <family val="2"/>
    </font>
    <font>
      <b/>
      <sz val="8"/>
      <color theme="0" tint="-0.249977111117893"/>
      <name val="Arial"/>
      <family val="2"/>
    </font>
    <font>
      <sz val="10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</borders>
  <cellStyleXfs count="6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27" fillId="0" borderId="0"/>
  </cellStyleXfs>
  <cellXfs count="17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centerContinuous"/>
    </xf>
    <xf numFmtId="0" fontId="16" fillId="0" borderId="0" xfId="0" applyFont="1" applyAlignment="1"/>
    <xf numFmtId="0" fontId="15" fillId="0" borderId="0" xfId="0" applyFont="1"/>
    <xf numFmtId="49" fontId="17" fillId="0" borderId="0" xfId="0" applyNumberFormat="1" applyFont="1" applyAlignment="1">
      <alignment horizontal="centerContinuous" vertical="top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5" fillId="0" borderId="0" xfId="0" applyNumberFormat="1" applyFont="1"/>
    <xf numFmtId="0" fontId="15" fillId="0" borderId="0" xfId="0" applyFont="1" applyAlignment="1">
      <alignment horizontal="left"/>
    </xf>
    <xf numFmtId="0" fontId="20" fillId="2" borderId="1" xfId="0" applyFont="1" applyFill="1" applyBorder="1" applyAlignment="1">
      <alignment horizontal="center" vertical="center" wrapText="1"/>
    </xf>
    <xf numFmtId="164" fontId="15" fillId="0" borderId="0" xfId="0" applyNumberFormat="1" applyFont="1"/>
    <xf numFmtId="49" fontId="15" fillId="0" borderId="0" xfId="0" applyNumberFormat="1" applyFont="1" applyFill="1"/>
    <xf numFmtId="0" fontId="15" fillId="0" borderId="0" xfId="0" applyFont="1" applyFill="1"/>
    <xf numFmtId="44" fontId="15" fillId="0" borderId="0" xfId="2" applyFont="1" applyFill="1"/>
    <xf numFmtId="0" fontId="15" fillId="0" borderId="0" xfId="0" applyFont="1" applyFill="1" applyAlignment="1">
      <alignment horizontal="right"/>
    </xf>
    <xf numFmtId="0" fontId="21" fillId="0" borderId="0" xfId="0" applyFont="1" applyFill="1"/>
    <xf numFmtId="49" fontId="22" fillId="0" borderId="0" xfId="0" applyNumberFormat="1" applyFont="1" applyFill="1" applyAlignment="1">
      <alignment horizontal="left"/>
    </xf>
    <xf numFmtId="164" fontId="22" fillId="0" borderId="2" xfId="0" applyNumberFormat="1" applyFont="1" applyFill="1" applyBorder="1"/>
    <xf numFmtId="0" fontId="20" fillId="0" borderId="0" xfId="0" applyFont="1" applyFill="1"/>
    <xf numFmtId="49" fontId="20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Alignment="1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0" fillId="0" borderId="0" xfId="0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44" fontId="15" fillId="0" borderId="0" xfId="0" applyNumberFormat="1" applyFont="1" applyFill="1"/>
    <xf numFmtId="49" fontId="20" fillId="0" borderId="0" xfId="0" applyNumberFormat="1" applyFont="1" applyFill="1"/>
    <xf numFmtId="49" fontId="2" fillId="0" borderId="0" xfId="0" applyNumberFormat="1" applyFont="1" applyFill="1"/>
    <xf numFmtId="0" fontId="7" fillId="0" borderId="0" xfId="0" applyFont="1" applyAlignment="1"/>
    <xf numFmtId="0" fontId="0" fillId="0" borderId="0" xfId="0"/>
    <xf numFmtId="0" fontId="2" fillId="0" borderId="0" xfId="0" applyFont="1"/>
    <xf numFmtId="44" fontId="26" fillId="0" borderId="0" xfId="0" applyNumberFormat="1" applyFont="1"/>
    <xf numFmtId="0" fontId="16" fillId="0" borderId="0" xfId="0" applyFont="1" applyAlignment="1"/>
    <xf numFmtId="44" fontId="15" fillId="0" borderId="0" xfId="0" applyNumberFormat="1" applyFont="1"/>
    <xf numFmtId="0" fontId="28" fillId="0" borderId="0" xfId="5" applyFont="1" applyFill="1" applyAlignment="1" applyProtection="1">
      <alignment horizontal="left"/>
    </xf>
    <xf numFmtId="0" fontId="28" fillId="0" borderId="0" xfId="5" applyFont="1" applyFill="1" applyAlignment="1" applyProtection="1">
      <alignment horizontal="center"/>
    </xf>
    <xf numFmtId="43" fontId="29" fillId="0" borderId="0" xfId="1" applyFont="1" applyFill="1" applyAlignment="1" applyProtection="1">
      <alignment horizontal="center"/>
    </xf>
    <xf numFmtId="43" fontId="30" fillId="0" borderId="0" xfId="1" applyFont="1" applyFill="1" applyAlignment="1" applyProtection="1">
      <alignment horizontal="center"/>
    </xf>
    <xf numFmtId="0" fontId="29" fillId="0" borderId="0" xfId="0" applyFont="1" applyFill="1" applyProtection="1"/>
    <xf numFmtId="0" fontId="29" fillId="0" borderId="0" xfId="0" applyFont="1" applyProtection="1"/>
    <xf numFmtId="0" fontId="31" fillId="0" borderId="0" xfId="5" applyFont="1" applyFill="1" applyAlignment="1" applyProtection="1">
      <alignment horizontal="left"/>
    </xf>
    <xf numFmtId="0" fontId="31" fillId="0" borderId="0" xfId="5" applyFont="1" applyFill="1" applyAlignment="1" applyProtection="1">
      <alignment horizontal="center"/>
    </xf>
    <xf numFmtId="15" fontId="28" fillId="0" borderId="0" xfId="5" applyNumberFormat="1" applyFont="1" applyFill="1" applyAlignment="1" applyProtection="1">
      <alignment horizontal="left"/>
    </xf>
    <xf numFmtId="15" fontId="28" fillId="0" borderId="0" xfId="5" applyNumberFormat="1" applyFont="1" applyFill="1" applyAlignment="1" applyProtection="1">
      <alignment horizontal="center"/>
    </xf>
    <xf numFmtId="0" fontId="30" fillId="0" borderId="0" xfId="0" applyFont="1"/>
    <xf numFmtId="43" fontId="29" fillId="0" borderId="0" xfId="1" applyFont="1"/>
    <xf numFmtId="43" fontId="30" fillId="0" borderId="0" xfId="1" applyFont="1"/>
    <xf numFmtId="0" fontId="30" fillId="0" borderId="0" xfId="0" applyFont="1" applyFill="1"/>
    <xf numFmtId="0" fontId="0" fillId="0" borderId="4" xfId="0" applyBorder="1"/>
    <xf numFmtId="0" fontId="29" fillId="0" borderId="4" xfId="0" applyFont="1" applyBorder="1" applyAlignment="1">
      <alignment horizontal="right"/>
    </xf>
    <xf numFmtId="0" fontId="29" fillId="7" borderId="4" xfId="0" applyFont="1" applyFill="1" applyBorder="1"/>
    <xf numFmtId="43" fontId="29" fillId="0" borderId="4" xfId="1" applyFont="1" applyBorder="1"/>
    <xf numFmtId="43" fontId="29" fillId="7" borderId="4" xfId="1" applyFont="1" applyFill="1" applyBorder="1"/>
    <xf numFmtId="43" fontId="32" fillId="7" borderId="4" xfId="1" applyFont="1" applyFill="1" applyBorder="1"/>
    <xf numFmtId="43" fontId="30" fillId="8" borderId="4" xfId="1" applyFont="1" applyFill="1" applyBorder="1"/>
    <xf numFmtId="43" fontId="29" fillId="9" borderId="4" xfId="1" applyFont="1" applyFill="1" applyBorder="1"/>
    <xf numFmtId="43" fontId="29" fillId="10" borderId="4" xfId="1" applyFont="1" applyFill="1" applyBorder="1" applyAlignment="1">
      <alignment horizontal="center"/>
    </xf>
    <xf numFmtId="43" fontId="0" fillId="0" borderId="4" xfId="1" applyFont="1" applyBorder="1"/>
    <xf numFmtId="43" fontId="29" fillId="0" borderId="4" xfId="1" applyFont="1" applyFill="1" applyBorder="1" applyAlignment="1">
      <alignment horizontal="center"/>
    </xf>
    <xf numFmtId="43" fontId="29" fillId="5" borderId="4" xfId="1" applyFont="1" applyFill="1" applyBorder="1" applyAlignment="1">
      <alignment horizontal="center"/>
    </xf>
    <xf numFmtId="43" fontId="29" fillId="0" borderId="0" xfId="0" applyNumberFormat="1" applyFont="1" applyFill="1"/>
    <xf numFmtId="0" fontId="29" fillId="0" borderId="0" xfId="0" applyFont="1" applyFill="1"/>
    <xf numFmtId="0" fontId="29" fillId="0" borderId="4" xfId="0" applyFont="1" applyBorder="1"/>
    <xf numFmtId="4" fontId="0" fillId="0" borderId="4" xfId="0" applyNumberFormat="1" applyBorder="1"/>
    <xf numFmtId="12" fontId="29" fillId="7" borderId="4" xfId="1" applyNumberFormat="1" applyFont="1" applyFill="1" applyBorder="1"/>
    <xf numFmtId="0" fontId="30" fillId="0" borderId="4" xfId="0" applyFont="1" applyFill="1" applyBorder="1"/>
    <xf numFmtId="0" fontId="30" fillId="0" borderId="5" xfId="0" applyFont="1" applyFill="1" applyBorder="1"/>
    <xf numFmtId="0" fontId="29" fillId="0" borderId="5" xfId="0" applyFont="1" applyFill="1" applyBorder="1"/>
    <xf numFmtId="43" fontId="29" fillId="0" borderId="5" xfId="1" applyFont="1" applyFill="1" applyBorder="1"/>
    <xf numFmtId="43" fontId="30" fillId="0" borderId="4" xfId="1" applyFont="1" applyFill="1" applyBorder="1"/>
    <xf numFmtId="43" fontId="30" fillId="0" borderId="5" xfId="1" applyFont="1" applyFill="1" applyBorder="1"/>
    <xf numFmtId="0" fontId="29" fillId="0" borderId="0" xfId="0" applyFont="1"/>
    <xf numFmtId="0" fontId="33" fillId="0" borderId="0" xfId="0" applyFont="1"/>
    <xf numFmtId="0" fontId="15" fillId="3" borderId="0" xfId="0" applyFont="1" applyFill="1"/>
    <xf numFmtId="0" fontId="15" fillId="3" borderId="0" xfId="0" applyFont="1" applyFill="1" applyAlignment="1">
      <alignment horizontal="right"/>
    </xf>
    <xf numFmtId="164" fontId="20" fillId="0" borderId="0" xfId="0" applyNumberFormat="1" applyFont="1" applyFill="1"/>
    <xf numFmtId="43" fontId="34" fillId="0" borderId="0" xfId="1" applyFont="1" applyFill="1"/>
    <xf numFmtId="43" fontId="35" fillId="0" borderId="0" xfId="1" applyFont="1" applyFill="1"/>
    <xf numFmtId="0" fontId="0" fillId="0" borderId="4" xfId="0" applyFill="1" applyBorder="1"/>
    <xf numFmtId="0" fontId="29" fillId="0" borderId="4" xfId="0" applyFont="1" applyFill="1" applyBorder="1"/>
    <xf numFmtId="43" fontId="29" fillId="0" borderId="4" xfId="1" applyFont="1" applyFill="1" applyBorder="1"/>
    <xf numFmtId="43" fontId="32" fillId="0" borderId="4" xfId="1" applyFont="1" applyFill="1" applyBorder="1"/>
    <xf numFmtId="43" fontId="0" fillId="0" borderId="4" xfId="1" applyFont="1" applyFill="1" applyBorder="1"/>
    <xf numFmtId="0" fontId="29" fillId="0" borderId="4" xfId="0" applyFont="1" applyFill="1" applyBorder="1" applyAlignment="1">
      <alignment horizontal="right"/>
    </xf>
    <xf numFmtId="0" fontId="0" fillId="0" borderId="4" xfId="0" applyFont="1" applyFill="1" applyBorder="1"/>
    <xf numFmtId="0" fontId="2" fillId="0" borderId="0" xfId="0" applyFont="1"/>
    <xf numFmtId="49" fontId="2" fillId="0" borderId="0" xfId="0" applyNumberFormat="1" applyFont="1"/>
    <xf numFmtId="0" fontId="0" fillId="0" borderId="0" xfId="0" applyAlignment="1"/>
    <xf numFmtId="164" fontId="2" fillId="0" borderId="0" xfId="0" applyNumberFormat="1" applyFont="1"/>
    <xf numFmtId="164" fontId="12" fillId="0" borderId="0" xfId="0" applyNumberFormat="1" applyFont="1"/>
    <xf numFmtId="44" fontId="23" fillId="0" borderId="0" xfId="2" applyFont="1" applyFill="1"/>
    <xf numFmtId="0" fontId="0" fillId="0" borderId="0" xfId="0" applyAlignment="1"/>
    <xf numFmtId="0" fontId="0" fillId="12" borderId="0" xfId="0" applyFont="1" applyFill="1"/>
    <xf numFmtId="49" fontId="2" fillId="0" borderId="0" xfId="0" applyNumberFormat="1" applyFont="1" applyBorder="1"/>
    <xf numFmtId="0" fontId="2" fillId="0" borderId="0" xfId="0" applyFont="1" applyBorder="1"/>
    <xf numFmtId="0" fontId="2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4" fontId="20" fillId="0" borderId="2" xfId="0" applyNumberFormat="1" applyFont="1" applyBorder="1"/>
    <xf numFmtId="164" fontId="9" fillId="0" borderId="2" xfId="0" applyNumberFormat="1" applyFont="1" applyBorder="1"/>
    <xf numFmtId="164" fontId="2" fillId="0" borderId="0" xfId="0" applyNumberFormat="1" applyFont="1" applyAlignment="1">
      <alignment horizontal="right"/>
    </xf>
    <xf numFmtId="0" fontId="16" fillId="0" borderId="0" xfId="0" applyFont="1" applyAlignment="1"/>
    <xf numFmtId="43" fontId="30" fillId="6" borderId="4" xfId="1" applyFont="1" applyFill="1" applyBorder="1" applyAlignment="1">
      <alignment horizontal="center" wrapText="1"/>
    </xf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43" fontId="30" fillId="6" borderId="4" xfId="1" applyFont="1" applyFill="1" applyBorder="1" applyAlignment="1">
      <alignment horizontal="center" wrapText="1"/>
    </xf>
    <xf numFmtId="43" fontId="30" fillId="6" borderId="5" xfId="1" applyFont="1" applyFill="1" applyBorder="1" applyAlignment="1">
      <alignment horizontal="center" wrapText="1"/>
    </xf>
    <xf numFmtId="43" fontId="30" fillId="6" borderId="8" xfId="1" applyFont="1" applyFill="1" applyBorder="1" applyAlignment="1">
      <alignment horizontal="center" wrapText="1"/>
    </xf>
    <xf numFmtId="3" fontId="30" fillId="6" borderId="4" xfId="0" applyNumberFormat="1" applyFont="1" applyFill="1" applyBorder="1"/>
    <xf numFmtId="3" fontId="30" fillId="6" borderId="5" xfId="0" applyNumberFormat="1" applyFont="1" applyFill="1" applyBorder="1" applyAlignment="1">
      <alignment horizontal="center"/>
    </xf>
    <xf numFmtId="3" fontId="30" fillId="6" borderId="8" xfId="0" applyNumberFormat="1" applyFont="1" applyFill="1" applyBorder="1" applyAlignment="1">
      <alignment horizontal="center"/>
    </xf>
    <xf numFmtId="0" fontId="0" fillId="0" borderId="0" xfId="0" applyAlignment="1"/>
    <xf numFmtId="0" fontId="20" fillId="4" borderId="0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 applyAlignment="1">
      <alignment horizontal="center"/>
    </xf>
    <xf numFmtId="43" fontId="13" fillId="0" borderId="0" xfId="1" applyProtection="1"/>
    <xf numFmtId="43" fontId="13" fillId="0" borderId="0" xfId="1"/>
    <xf numFmtId="43" fontId="13" fillId="6" borderId="6" xfId="1" applyFill="1" applyBorder="1" applyAlignment="1">
      <alignment horizontal="center" wrapText="1"/>
    </xf>
    <xf numFmtId="43" fontId="13" fillId="6" borderId="7" xfId="1" applyFill="1" applyBorder="1" applyAlignment="1">
      <alignment horizontal="center" wrapText="1"/>
    </xf>
    <xf numFmtId="43" fontId="13" fillId="6" borderId="5" xfId="1" applyFill="1" applyBorder="1" applyAlignment="1">
      <alignment horizontal="center" wrapText="1"/>
    </xf>
    <xf numFmtId="43" fontId="13" fillId="0" borderId="0" xfId="1" applyFill="1"/>
    <xf numFmtId="0" fontId="0" fillId="0" borderId="4" xfId="0" applyFont="1" applyBorder="1"/>
    <xf numFmtId="0" fontId="36" fillId="11" borderId="4" xfId="0" applyFont="1" applyFill="1" applyBorder="1"/>
    <xf numFmtId="0" fontId="37" fillId="11" borderId="4" xfId="0" applyFont="1" applyFill="1" applyBorder="1" applyAlignment="1">
      <alignment horizontal="right"/>
    </xf>
    <xf numFmtId="0" fontId="37" fillId="11" borderId="4" xfId="0" applyFont="1" applyFill="1" applyBorder="1"/>
    <xf numFmtId="43" fontId="37" fillId="11" borderId="4" xfId="1" applyFont="1" applyFill="1" applyBorder="1"/>
    <xf numFmtId="43" fontId="38" fillId="11" borderId="4" xfId="1" applyFont="1" applyFill="1" applyBorder="1"/>
    <xf numFmtId="43" fontId="37" fillId="11" borderId="4" xfId="1" applyFont="1" applyFill="1" applyBorder="1" applyAlignment="1">
      <alignment horizontal="center"/>
    </xf>
    <xf numFmtId="43" fontId="36" fillId="11" borderId="4" xfId="1" applyFont="1" applyFill="1" applyBorder="1"/>
    <xf numFmtId="43" fontId="36" fillId="11" borderId="0" xfId="1" applyFont="1" applyFill="1"/>
    <xf numFmtId="43" fontId="37" fillId="11" borderId="0" xfId="0" applyNumberFormat="1" applyFont="1" applyFill="1"/>
    <xf numFmtId="0" fontId="37" fillId="11" borderId="0" xfId="0" applyFont="1" applyFill="1"/>
    <xf numFmtId="4" fontId="36" fillId="11" borderId="4" xfId="0" applyNumberFormat="1" applyFont="1" applyFill="1" applyBorder="1"/>
    <xf numFmtId="0" fontId="38" fillId="11" borderId="0" xfId="0" applyFont="1" applyFill="1"/>
    <xf numFmtId="0" fontId="30" fillId="0" borderId="10" xfId="0" applyFont="1" applyBorder="1"/>
    <xf numFmtId="43" fontId="30" fillId="0" borderId="10" xfId="1" applyFont="1" applyBorder="1"/>
    <xf numFmtId="0" fontId="30" fillId="13" borderId="11" xfId="0" applyFont="1" applyFill="1" applyBorder="1" applyAlignment="1">
      <alignment horizontal="center"/>
    </xf>
    <xf numFmtId="0" fontId="15" fillId="4" borderId="0" xfId="0" applyFont="1" applyFill="1"/>
    <xf numFmtId="43" fontId="20" fillId="0" borderId="0" xfId="0" applyNumberFormat="1" applyFont="1" applyFill="1"/>
    <xf numFmtId="4" fontId="0" fillId="0" borderId="4" xfId="0" applyNumberFormat="1" applyFill="1" applyBorder="1"/>
    <xf numFmtId="12" fontId="29" fillId="0" borderId="4" xfId="1" applyNumberFormat="1" applyFont="1" applyFill="1" applyBorder="1"/>
    <xf numFmtId="43" fontId="16" fillId="0" borderId="0" xfId="1" applyFont="1" applyAlignment="1"/>
    <xf numFmtId="43" fontId="0" fillId="0" borderId="0" xfId="1" applyFont="1"/>
    <xf numFmtId="43" fontId="29" fillId="0" borderId="0" xfId="0" applyNumberFormat="1" applyFont="1"/>
  </cellXfs>
  <cellStyles count="6">
    <cellStyle name="Millares" xfId="1" builtinId="3"/>
    <cellStyle name="Moneda" xfId="2" builtinId="4"/>
    <cellStyle name="Normal" xfId="0" builtinId="0"/>
    <cellStyle name="Normal 2" xfId="4"/>
    <cellStyle name="Normal 4" xfId="3"/>
    <cellStyle name="Normal_Hoja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T72"/>
  <sheetViews>
    <sheetView tabSelected="1" workbookViewId="0">
      <pane xSplit="2" ySplit="9" topLeftCell="C10" activePane="bottomRight" state="frozen"/>
      <selection activeCell="B5" sqref="B5"/>
      <selection pane="topRight" activeCell="B5" sqref="B5"/>
      <selection pane="bottomLeft" activeCell="B5" sqref="B5"/>
      <selection pane="bottomRight" activeCell="J11" sqref="J11"/>
    </sheetView>
  </sheetViews>
  <sheetFormatPr baseColWidth="10" defaultRowHeight="15.75" x14ac:dyDescent="0.25"/>
  <cols>
    <col min="1" max="1" width="12.28515625" style="15" customWidth="1"/>
    <col min="2" max="2" width="30.7109375" style="11" customWidth="1"/>
    <col min="3" max="3" width="13" style="11" bestFit="1" customWidth="1"/>
    <col min="4" max="4" width="13" style="11" customWidth="1"/>
    <col min="5" max="5" width="12.42578125" style="11" bestFit="1" customWidth="1"/>
    <col min="6" max="6" width="10.140625" style="11" bestFit="1" customWidth="1"/>
    <col min="7" max="7" width="11.28515625" style="11" bestFit="1" customWidth="1"/>
    <col min="8" max="8" width="10.140625" style="11" customWidth="1"/>
    <col min="9" max="9" width="10.42578125" style="11" bestFit="1" customWidth="1"/>
    <col min="10" max="10" width="12.42578125" style="11" bestFit="1" customWidth="1"/>
    <col min="11" max="12" width="10.140625" style="11" bestFit="1" customWidth="1"/>
    <col min="13" max="13" width="11.28515625" style="11" bestFit="1" customWidth="1"/>
    <col min="14" max="14" width="10.140625" style="11" bestFit="1" customWidth="1"/>
    <col min="15" max="15" width="8.42578125" style="11" bestFit="1" customWidth="1"/>
    <col min="16" max="16" width="11.28515625" style="11" bestFit="1" customWidth="1"/>
    <col min="17" max="18" width="11.28515625" style="11" customWidth="1"/>
    <col min="19" max="19" width="12.85546875" style="11" bestFit="1" customWidth="1"/>
    <col min="20" max="20" width="13.5703125" style="11" bestFit="1" customWidth="1"/>
    <col min="21" max="24" width="13" style="11" bestFit="1" customWidth="1"/>
    <col min="25" max="25" width="12.28515625" style="11" customWidth="1"/>
    <col min="26" max="26" width="6.85546875" style="30" hidden="1" customWidth="1"/>
    <col min="27" max="27" width="28.7109375" style="96" hidden="1" customWidth="1"/>
    <col min="28" max="28" width="9" style="96" hidden="1" customWidth="1"/>
    <col min="29" max="29" width="39.140625" style="96" hidden="1" customWidth="1"/>
    <col min="30" max="30" width="8.85546875" style="96" hidden="1" customWidth="1"/>
    <col min="31" max="31" width="20.140625" style="96" hidden="1" customWidth="1"/>
    <col min="32" max="32" width="31.5703125" style="96" hidden="1" customWidth="1"/>
    <col min="33" max="33" width="13" style="96" hidden="1" customWidth="1"/>
    <col min="34" max="34" width="11.7109375" style="96" hidden="1" customWidth="1"/>
    <col min="35" max="35" width="17.140625" style="96" hidden="1" customWidth="1"/>
    <col min="36" max="36" width="11.7109375" style="96" hidden="1" customWidth="1"/>
    <col min="37" max="38" width="13.85546875" style="70" hidden="1" customWidth="1"/>
    <col min="39" max="41" width="13.5703125" style="70" hidden="1" customWidth="1"/>
    <col min="42" max="42" width="17" style="71" hidden="1" customWidth="1"/>
    <col min="43" max="48" width="13.5703125" style="70" hidden="1" customWidth="1"/>
    <col min="49" max="49" width="16.7109375" style="71" hidden="1" customWidth="1"/>
    <col min="50" max="50" width="16.7109375" style="70" hidden="1" customWidth="1"/>
    <col min="51" max="51" width="15.42578125" style="71" hidden="1" customWidth="1"/>
    <col min="52" max="53" width="13.5703125" style="70" hidden="1" customWidth="1"/>
    <col min="54" max="54" width="15.42578125" style="71" hidden="1" customWidth="1"/>
    <col min="55" max="56" width="15.140625" style="96" hidden="1" customWidth="1"/>
    <col min="57" max="58" width="15.140625" style="149" hidden="1" customWidth="1"/>
    <col min="59" max="59" width="15.140625" style="96" hidden="1" customWidth="1"/>
    <col min="60" max="60" width="33.28515625" style="96" hidden="1" customWidth="1"/>
    <col min="61" max="61" width="38" style="96" hidden="1" customWidth="1"/>
    <col min="62" max="69" width="0" style="96" hidden="1" customWidth="1"/>
    <col min="70" max="70" width="11.42578125" style="96" hidden="1" customWidth="1"/>
    <col min="71" max="74" width="11.42578125" style="11" hidden="1" customWidth="1"/>
    <col min="75" max="76" width="11.42578125" style="20" hidden="1" customWidth="1"/>
    <col min="77" max="16384" width="11.42578125" style="20"/>
  </cols>
  <sheetData>
    <row r="1" spans="1:77" ht="18" customHeight="1" x14ac:dyDescent="0.25">
      <c r="A1" s="9" t="s">
        <v>0</v>
      </c>
      <c r="B1" s="142" t="s">
        <v>17</v>
      </c>
      <c r="C1" s="143"/>
      <c r="D1" s="10"/>
      <c r="E1" s="10"/>
      <c r="F1" s="57"/>
      <c r="G1" s="57"/>
      <c r="H1" s="57"/>
      <c r="I1" s="57"/>
      <c r="J1" s="125"/>
      <c r="K1" s="57"/>
      <c r="L1" s="10"/>
      <c r="M1" s="57"/>
      <c r="N1" s="57"/>
      <c r="O1" s="57"/>
      <c r="P1" s="29"/>
      <c r="Q1" s="57"/>
      <c r="R1" s="125"/>
      <c r="S1" s="57"/>
    </row>
    <row r="2" spans="1:77" ht="24.95" customHeight="1" x14ac:dyDescent="0.25">
      <c r="A2" s="12" t="s">
        <v>1</v>
      </c>
      <c r="B2" s="13" t="s">
        <v>161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77" x14ac:dyDescent="0.25">
      <c r="B3" s="144" t="s">
        <v>2</v>
      </c>
      <c r="C3" s="143"/>
      <c r="D3" s="10"/>
      <c r="E3" s="10"/>
      <c r="F3" s="57"/>
      <c r="G3" s="57"/>
      <c r="H3" s="57"/>
      <c r="I3" s="57"/>
      <c r="J3" s="125"/>
      <c r="K3" s="57"/>
      <c r="L3" s="10"/>
      <c r="M3" s="57"/>
      <c r="N3" s="57"/>
      <c r="O3" s="57"/>
      <c r="P3" s="29"/>
      <c r="Q3" s="57"/>
      <c r="R3" s="125"/>
      <c r="S3" s="57"/>
    </row>
    <row r="4" spans="1:77" x14ac:dyDescent="0.25">
      <c r="B4" s="6" t="s">
        <v>384</v>
      </c>
      <c r="C4" s="112"/>
      <c r="D4" s="10"/>
      <c r="E4" s="10"/>
      <c r="F4" s="57"/>
      <c r="G4" s="57"/>
      <c r="H4" s="57"/>
      <c r="I4" s="174"/>
      <c r="J4" s="125"/>
      <c r="K4" s="57"/>
      <c r="L4" s="10"/>
      <c r="M4" s="57"/>
      <c r="N4" s="57"/>
      <c r="O4" s="57"/>
      <c r="P4" s="29"/>
      <c r="Q4" s="57"/>
      <c r="R4" s="125"/>
      <c r="S4" s="57"/>
      <c r="AA4" s="59" t="s">
        <v>167</v>
      </c>
      <c r="AB4" s="59"/>
      <c r="AC4" s="59"/>
      <c r="AD4" s="59"/>
      <c r="AE4" s="59"/>
      <c r="AF4" s="60"/>
      <c r="AG4" s="60"/>
      <c r="AH4" s="60"/>
      <c r="AI4" s="60"/>
      <c r="AJ4" s="60"/>
      <c r="AK4" s="61"/>
      <c r="AL4" s="61"/>
      <c r="AM4" s="61"/>
      <c r="AN4" s="61"/>
      <c r="AO4" s="61"/>
      <c r="AP4" s="62"/>
      <c r="AQ4" s="61"/>
      <c r="AR4" s="61"/>
      <c r="AS4" s="61"/>
      <c r="AT4" s="61"/>
      <c r="AU4" s="61"/>
      <c r="AV4" s="61"/>
      <c r="AW4" s="62"/>
      <c r="AX4" s="61"/>
      <c r="AY4" s="62"/>
      <c r="AZ4" s="61"/>
      <c r="BA4" s="61"/>
      <c r="BB4" s="62"/>
      <c r="BC4" s="63"/>
      <c r="BD4" s="64"/>
      <c r="BE4" s="148"/>
      <c r="BF4" s="148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</row>
    <row r="5" spans="1:77" x14ac:dyDescent="0.25">
      <c r="B5" s="16"/>
      <c r="L5" s="58"/>
      <c r="M5" s="58"/>
      <c r="N5" s="58"/>
      <c r="O5" s="58"/>
      <c r="AA5" s="65" t="s">
        <v>168</v>
      </c>
      <c r="AB5" s="65"/>
      <c r="AC5" s="65"/>
      <c r="AD5" s="65"/>
      <c r="AE5" s="65"/>
      <c r="AF5" s="66"/>
      <c r="AG5" s="66"/>
      <c r="AH5" s="66"/>
      <c r="AI5" s="66"/>
      <c r="AJ5" s="66"/>
      <c r="AK5" s="61"/>
      <c r="AL5" s="61"/>
      <c r="AM5" s="61"/>
      <c r="AN5" s="61"/>
      <c r="AO5" s="61"/>
      <c r="AP5" s="62"/>
      <c r="AQ5" s="61"/>
      <c r="AR5" s="61"/>
      <c r="AS5" s="61"/>
      <c r="AT5" s="61"/>
      <c r="AU5" s="61"/>
      <c r="AV5" s="61"/>
      <c r="AW5" s="62"/>
      <c r="AX5" s="61"/>
      <c r="AY5" s="62"/>
      <c r="AZ5" s="61"/>
      <c r="BA5" s="61"/>
      <c r="BB5" s="62"/>
      <c r="BC5" s="63"/>
      <c r="BD5" s="64"/>
      <c r="BE5" s="148"/>
      <c r="BF5" s="148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</row>
    <row r="6" spans="1:77" x14ac:dyDescent="0.25">
      <c r="B6" s="16"/>
      <c r="AA6" s="67" t="s">
        <v>355</v>
      </c>
      <c r="AB6" s="67" t="s">
        <v>356</v>
      </c>
      <c r="AC6" s="67"/>
      <c r="AD6" s="67"/>
      <c r="AE6" s="67"/>
      <c r="AF6" s="68"/>
      <c r="AG6" s="68"/>
      <c r="AH6" s="68"/>
      <c r="AI6" s="68"/>
      <c r="AJ6" s="68"/>
      <c r="AK6" s="61"/>
      <c r="AL6" s="61"/>
      <c r="AM6" s="61"/>
      <c r="AN6" s="61"/>
      <c r="AO6" s="61"/>
      <c r="AP6" s="62"/>
      <c r="AQ6" s="61"/>
      <c r="AR6" s="61"/>
      <c r="AS6" s="61"/>
      <c r="AT6" s="61"/>
      <c r="AU6" s="61"/>
      <c r="AV6" s="61"/>
      <c r="AW6" s="62"/>
      <c r="AX6" s="61"/>
      <c r="AY6" s="62"/>
      <c r="AZ6" s="61"/>
      <c r="BA6" s="61"/>
      <c r="BB6" s="62"/>
      <c r="BC6" s="63"/>
      <c r="BD6" s="64"/>
      <c r="BE6" s="148"/>
      <c r="BF6" s="148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</row>
    <row r="7" spans="1:77" x14ac:dyDescent="0.25">
      <c r="C7" s="11" t="s">
        <v>21</v>
      </c>
      <c r="T7" s="140" t="s">
        <v>160</v>
      </c>
      <c r="U7" s="140"/>
      <c r="V7" s="140"/>
      <c r="W7" s="140"/>
      <c r="X7" s="140"/>
      <c r="Y7" s="141"/>
      <c r="AA7" s="69"/>
      <c r="AB7" s="69"/>
      <c r="AC7" s="69"/>
      <c r="AD7" s="69"/>
      <c r="AE7" s="69"/>
      <c r="AF7" s="69"/>
      <c r="AG7" s="69"/>
      <c r="AH7" s="69"/>
      <c r="AI7" s="69"/>
      <c r="AJ7" s="69"/>
      <c r="BC7" s="69"/>
      <c r="BD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</row>
    <row r="8" spans="1:77" s="28" customFormat="1" ht="34.5" thickBot="1" x14ac:dyDescent="0.3">
      <c r="A8" s="27" t="s">
        <v>4</v>
      </c>
      <c r="B8" s="17" t="s">
        <v>5</v>
      </c>
      <c r="C8" s="17" t="s">
        <v>20</v>
      </c>
      <c r="D8" s="17" t="s">
        <v>26</v>
      </c>
      <c r="E8" s="17" t="s">
        <v>22</v>
      </c>
      <c r="F8" s="17" t="s">
        <v>180</v>
      </c>
      <c r="G8" s="17" t="s">
        <v>292</v>
      </c>
      <c r="H8" s="17" t="s">
        <v>294</v>
      </c>
      <c r="I8" s="17" t="s">
        <v>295</v>
      </c>
      <c r="J8" s="17" t="s">
        <v>20</v>
      </c>
      <c r="K8" s="17" t="s">
        <v>357</v>
      </c>
      <c r="L8" s="17" t="s">
        <v>27</v>
      </c>
      <c r="M8" s="17" t="s">
        <v>187</v>
      </c>
      <c r="N8" s="17" t="s">
        <v>290</v>
      </c>
      <c r="O8" s="17" t="s">
        <v>289</v>
      </c>
      <c r="P8" s="17" t="s">
        <v>152</v>
      </c>
      <c r="Q8" s="17" t="s">
        <v>163</v>
      </c>
      <c r="R8" s="17" t="s">
        <v>383</v>
      </c>
      <c r="S8" s="17" t="s">
        <v>291</v>
      </c>
      <c r="T8" s="17" t="s">
        <v>7</v>
      </c>
      <c r="U8" s="17" t="s">
        <v>23</v>
      </c>
      <c r="V8" s="17" t="s">
        <v>24</v>
      </c>
      <c r="W8" s="49" t="s">
        <v>25</v>
      </c>
      <c r="X8" s="49" t="s">
        <v>19</v>
      </c>
      <c r="Y8" s="49" t="s">
        <v>18</v>
      </c>
      <c r="Z8" s="31"/>
      <c r="AA8" s="136" t="s">
        <v>169</v>
      </c>
      <c r="AB8" s="137" t="s">
        <v>170</v>
      </c>
      <c r="AC8" s="136" t="s">
        <v>171</v>
      </c>
      <c r="AD8" s="136" t="s">
        <v>172</v>
      </c>
      <c r="AE8" s="137" t="s">
        <v>173</v>
      </c>
      <c r="AF8" s="136" t="s">
        <v>174</v>
      </c>
      <c r="AG8" s="133" t="s">
        <v>175</v>
      </c>
      <c r="AH8" s="133" t="s">
        <v>176</v>
      </c>
      <c r="AI8" s="134" t="s">
        <v>177</v>
      </c>
      <c r="AJ8" s="134" t="s">
        <v>178</v>
      </c>
      <c r="AK8" s="133" t="s">
        <v>179</v>
      </c>
      <c r="AL8" s="134" t="s">
        <v>22</v>
      </c>
      <c r="AM8" s="133" t="s">
        <v>180</v>
      </c>
      <c r="AN8" s="133" t="s">
        <v>181</v>
      </c>
      <c r="AO8" s="133" t="s">
        <v>182</v>
      </c>
      <c r="AP8" s="133" t="s">
        <v>183</v>
      </c>
      <c r="AQ8" s="133" t="s">
        <v>184</v>
      </c>
      <c r="AR8" s="126"/>
      <c r="AS8" s="133" t="s">
        <v>185</v>
      </c>
      <c r="AT8" s="133" t="s">
        <v>186</v>
      </c>
      <c r="AU8" s="133" t="s">
        <v>187</v>
      </c>
      <c r="AV8" s="133" t="s">
        <v>188</v>
      </c>
      <c r="AW8" s="133" t="s">
        <v>189</v>
      </c>
      <c r="AX8" s="133" t="s">
        <v>190</v>
      </c>
      <c r="AY8" s="133" t="s">
        <v>191</v>
      </c>
      <c r="AZ8" s="133" t="s">
        <v>192</v>
      </c>
      <c r="BA8" s="133" t="s">
        <v>193</v>
      </c>
      <c r="BB8" s="133" t="s">
        <v>194</v>
      </c>
      <c r="BC8" s="133" t="s">
        <v>195</v>
      </c>
      <c r="BD8" s="133" t="s">
        <v>196</v>
      </c>
      <c r="BE8" s="150" t="s">
        <v>197</v>
      </c>
      <c r="BF8" s="151"/>
      <c r="BG8" s="133" t="s">
        <v>196</v>
      </c>
      <c r="BH8" s="133" t="s">
        <v>198</v>
      </c>
      <c r="BI8" s="133" t="s">
        <v>199</v>
      </c>
      <c r="BJ8" s="72"/>
      <c r="BK8" s="72"/>
      <c r="BL8" s="72"/>
      <c r="BM8" s="72"/>
      <c r="BN8" s="72"/>
      <c r="BO8" s="72"/>
      <c r="BP8" s="72"/>
      <c r="BQ8" s="72"/>
      <c r="BR8" s="72"/>
      <c r="BS8" s="11"/>
      <c r="BT8" s="11"/>
      <c r="BU8" s="11"/>
      <c r="BV8" s="11"/>
    </row>
    <row r="9" spans="1:77" ht="15.75" customHeight="1" thickTop="1" x14ac:dyDescent="0.25">
      <c r="A9" s="51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6"/>
      <c r="AA9" s="136"/>
      <c r="AB9" s="138"/>
      <c r="AC9" s="136"/>
      <c r="AD9" s="136"/>
      <c r="AE9" s="138"/>
      <c r="AF9" s="136"/>
      <c r="AG9" s="133"/>
      <c r="AH9" s="133"/>
      <c r="AI9" s="135"/>
      <c r="AJ9" s="135"/>
      <c r="AK9" s="133"/>
      <c r="AL9" s="135"/>
      <c r="AM9" s="133"/>
      <c r="AN9" s="133"/>
      <c r="AO9" s="133"/>
      <c r="AP9" s="133"/>
      <c r="AQ9" s="133"/>
      <c r="AR9" s="126" t="s">
        <v>357</v>
      </c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52" t="s">
        <v>177</v>
      </c>
      <c r="BF9" s="152" t="s">
        <v>178</v>
      </c>
      <c r="BG9" s="133"/>
      <c r="BH9" s="133"/>
      <c r="BI9" s="133"/>
      <c r="BJ9" s="72"/>
      <c r="BK9" s="72"/>
      <c r="BL9" s="72"/>
      <c r="BM9" s="72"/>
      <c r="BN9" s="72"/>
      <c r="BO9" s="72"/>
      <c r="BP9" s="72"/>
      <c r="BQ9" s="72"/>
      <c r="BR9" s="72"/>
    </row>
    <row r="10" spans="1:77" x14ac:dyDescent="0.25">
      <c r="A10" s="19" t="s">
        <v>28</v>
      </c>
      <c r="B10" s="20" t="s">
        <v>29</v>
      </c>
      <c r="C10" s="21">
        <f>+AK10</f>
        <v>3750</v>
      </c>
      <c r="D10" s="21">
        <v>0</v>
      </c>
      <c r="E10" s="21">
        <f>+AL10</f>
        <v>2253.9</v>
      </c>
      <c r="F10" s="21">
        <f>+AM10</f>
        <v>0</v>
      </c>
      <c r="G10" s="21">
        <f>+AN10</f>
        <v>0</v>
      </c>
      <c r="H10" s="21">
        <v>0</v>
      </c>
      <c r="I10" s="21">
        <v>0</v>
      </c>
      <c r="J10" s="21">
        <f>SUM(C10:I10)</f>
        <v>6003.9</v>
      </c>
      <c r="K10" s="21">
        <f>+AR10</f>
        <v>0</v>
      </c>
      <c r="L10" s="21">
        <f>+AO10</f>
        <v>45.15</v>
      </c>
      <c r="M10" s="21">
        <f>+AU10</f>
        <v>0</v>
      </c>
      <c r="N10" s="21">
        <v>0</v>
      </c>
      <c r="O10" s="21"/>
      <c r="P10" s="21">
        <f>+AV10</f>
        <v>957.82</v>
      </c>
      <c r="Q10" s="21">
        <f>+AX10</f>
        <v>595.875</v>
      </c>
      <c r="R10" s="21">
        <f>SUM(K10:Q10)</f>
        <v>1598.845</v>
      </c>
      <c r="S10" s="21">
        <f>+J10-R10</f>
        <v>4405.0549999999994</v>
      </c>
      <c r="T10" s="21">
        <f>+J10-L10</f>
        <v>5958.75</v>
      </c>
      <c r="U10" s="21">
        <f>+AZ10</f>
        <v>0</v>
      </c>
      <c r="V10" s="21">
        <f>+'C&amp;A'!E10*0.02</f>
        <v>21.911999999999999</v>
      </c>
      <c r="W10" s="21">
        <f>SUM(T10:V10)</f>
        <v>5980.6620000000003</v>
      </c>
      <c r="X10" s="21">
        <f>+W10*0.16</f>
        <v>956.90592000000004</v>
      </c>
      <c r="Y10" s="21">
        <f>+W10+X10</f>
        <v>6937.5679200000004</v>
      </c>
      <c r="Z10" s="171">
        <f>+S10-AY10</f>
        <v>0</v>
      </c>
      <c r="AA10" s="103" t="s">
        <v>200</v>
      </c>
      <c r="AB10" s="103">
        <v>40</v>
      </c>
      <c r="AC10" s="103" t="s">
        <v>201</v>
      </c>
      <c r="AD10" s="108"/>
      <c r="AE10" s="108"/>
      <c r="AF10" s="103" t="s">
        <v>202</v>
      </c>
      <c r="AG10" s="104"/>
      <c r="AH10" s="104"/>
      <c r="AI10" s="105">
        <v>1237.2399999999998</v>
      </c>
      <c r="AJ10" s="104">
        <v>2512.7600000000002</v>
      </c>
      <c r="AK10" s="105">
        <f t="shared" ref="AK10:AK62" si="0">+AI10+AJ10</f>
        <v>3750</v>
      </c>
      <c r="AL10" s="105">
        <v>2253.9</v>
      </c>
      <c r="AM10" s="105"/>
      <c r="AN10" s="105"/>
      <c r="AO10" s="106">
        <v>45.15</v>
      </c>
      <c r="AP10" s="94">
        <f t="shared" ref="AP10:AP63" si="1">SUM(AK10:AN10)-AO10</f>
        <v>5958.75</v>
      </c>
      <c r="AQ10" s="105"/>
      <c r="AR10" s="83"/>
      <c r="AS10" s="83"/>
      <c r="AT10" s="83"/>
      <c r="AU10" s="107"/>
      <c r="AV10" s="103">
        <v>957.82</v>
      </c>
      <c r="AW10" s="94">
        <f t="shared" ref="AW10:AW63" si="2">+AP10-SUM(AQ10:AV10)</f>
        <v>5000.93</v>
      </c>
      <c r="AX10" s="83">
        <f t="shared" ref="AX10:AX63" si="3">IF(AP10&gt;4500,AP10*0.1,0)</f>
        <v>595.875</v>
      </c>
      <c r="AY10" s="94">
        <f t="shared" ref="AY10:AY63" si="4">+AW10-AX10</f>
        <v>4405.0550000000003</v>
      </c>
      <c r="AZ10" s="83">
        <f t="shared" ref="AZ10:AZ63" si="5">IF(AP10&lt;4500,AP10*0.1,0)</f>
        <v>0</v>
      </c>
      <c r="BA10" s="83">
        <f t="shared" ref="BA10:BA63" si="6">AI10*0.02</f>
        <v>24.744799999999998</v>
      </c>
      <c r="BB10" s="94">
        <f t="shared" ref="BB10:BB63" si="7">+AP10+AZ10+BA10</f>
        <v>5983.4948000000004</v>
      </c>
      <c r="BC10" s="153">
        <f>1000+3405.06</f>
        <v>4405.0599999999995</v>
      </c>
      <c r="BD10" s="85">
        <f>+BC10-AY10</f>
        <v>4.9999999991996447E-3</v>
      </c>
      <c r="BE10" s="153">
        <v>1256</v>
      </c>
      <c r="BF10" s="153">
        <v>3149.06</v>
      </c>
      <c r="BG10" s="85">
        <f>+BE10+BF10-BC10</f>
        <v>0</v>
      </c>
      <c r="BH10" s="86">
        <v>1183378845</v>
      </c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20"/>
      <c r="BT10" s="20"/>
      <c r="BU10" s="20"/>
      <c r="BV10" s="20"/>
      <c r="BY10" s="50">
        <f>+S10-'C&amp;A'!I10-SINDICATO!N10</f>
        <v>0</v>
      </c>
    </row>
    <row r="11" spans="1:77" ht="15.75" customHeight="1" x14ac:dyDescent="0.25">
      <c r="A11" s="19" t="s">
        <v>12</v>
      </c>
      <c r="B11" s="20" t="s">
        <v>30</v>
      </c>
      <c r="C11" s="21">
        <f t="shared" ref="C11:C61" si="8">+AK11</f>
        <v>2750</v>
      </c>
      <c r="D11" s="21">
        <v>145.37389713135775</v>
      </c>
      <c r="E11" s="21">
        <f t="shared" ref="E11:E61" si="9">+AL11</f>
        <v>0</v>
      </c>
      <c r="F11" s="21">
        <f t="shared" ref="F11:F62" si="10">+AM11</f>
        <v>0</v>
      </c>
      <c r="G11" s="21">
        <f t="shared" ref="G11:G62" si="11">+AN11</f>
        <v>0</v>
      </c>
      <c r="H11" s="21">
        <v>0</v>
      </c>
      <c r="I11" s="21">
        <v>0</v>
      </c>
      <c r="J11" s="21">
        <f t="shared" ref="J11:J63" si="12">SUM(C11:I11)</f>
        <v>2895.3738971313578</v>
      </c>
      <c r="K11" s="21">
        <f t="shared" ref="K11:K62" si="13">+AR11</f>
        <v>0</v>
      </c>
      <c r="L11" s="21">
        <f t="shared" ref="L11:L62" si="14">+AO11</f>
        <v>45.15</v>
      </c>
      <c r="M11" s="21">
        <f t="shared" ref="M11:M62" si="15">+AU11</f>
        <v>0</v>
      </c>
      <c r="N11" s="21">
        <v>0</v>
      </c>
      <c r="O11" s="21"/>
      <c r="P11" s="21">
        <f t="shared" ref="P11:P62" si="16">+AV11</f>
        <v>0</v>
      </c>
      <c r="Q11" s="21">
        <f t="shared" ref="Q11:Q62" si="17">+AX11</f>
        <v>0</v>
      </c>
      <c r="R11" s="21">
        <f t="shared" ref="R11:R62" si="18">SUM(K11:Q11)</f>
        <v>45.15</v>
      </c>
      <c r="S11" s="21">
        <f t="shared" ref="S11:S62" si="19">+J11-R11</f>
        <v>2850.2238971313577</v>
      </c>
      <c r="T11" s="21">
        <f t="shared" ref="T11:T62" si="20">+J11-L11</f>
        <v>2850.2238971313577</v>
      </c>
      <c r="U11" s="21">
        <f t="shared" ref="U11:U62" si="21">+AZ11</f>
        <v>270.48500000000001</v>
      </c>
      <c r="V11" s="21">
        <f>+'C&amp;A'!E11*0.02</f>
        <v>21.911999999999999</v>
      </c>
      <c r="W11" s="21">
        <f t="shared" ref="W11:W62" si="22">SUM(T11:V11)</f>
        <v>3142.6208971313577</v>
      </c>
      <c r="X11" s="21">
        <f t="shared" ref="X11:X62" si="23">+W11*0.16</f>
        <v>502.81934354101725</v>
      </c>
      <c r="Y11" s="21">
        <f t="shared" ref="Y11:Y62" si="24">+W11+X11</f>
        <v>3645.4402406723748</v>
      </c>
      <c r="Z11" s="171">
        <f t="shared" ref="Z11:Z62" si="25">+S11-AY11</f>
        <v>145.37389713135781</v>
      </c>
      <c r="AA11" s="103" t="s">
        <v>203</v>
      </c>
      <c r="AB11" s="103" t="s">
        <v>12</v>
      </c>
      <c r="AC11" s="103" t="s">
        <v>204</v>
      </c>
      <c r="AD11" s="108"/>
      <c r="AE11" s="108"/>
      <c r="AF11" s="103" t="s">
        <v>205</v>
      </c>
      <c r="AG11" s="104" t="s">
        <v>206</v>
      </c>
      <c r="AH11" s="104"/>
      <c r="AI11" s="105">
        <v>1237.2399999999998</v>
      </c>
      <c r="AJ11" s="104">
        <v>1512.7600000000002</v>
      </c>
      <c r="AK11" s="105">
        <f t="shared" si="0"/>
        <v>2750</v>
      </c>
      <c r="AL11" s="105">
        <v>0</v>
      </c>
      <c r="AM11" s="105"/>
      <c r="AN11" s="105"/>
      <c r="AO11" s="106">
        <v>45.15</v>
      </c>
      <c r="AP11" s="94">
        <f t="shared" si="1"/>
        <v>2704.85</v>
      </c>
      <c r="AQ11" s="105"/>
      <c r="AR11" s="83"/>
      <c r="AS11" s="83"/>
      <c r="AT11" s="83"/>
      <c r="AU11" s="107"/>
      <c r="AV11" s="103">
        <v>0</v>
      </c>
      <c r="AW11" s="94">
        <f t="shared" si="2"/>
        <v>2704.85</v>
      </c>
      <c r="AX11" s="83">
        <f t="shared" si="3"/>
        <v>0</v>
      </c>
      <c r="AY11" s="94">
        <f t="shared" si="4"/>
        <v>2704.85</v>
      </c>
      <c r="AZ11" s="83">
        <f t="shared" si="5"/>
        <v>270.48500000000001</v>
      </c>
      <c r="BA11" s="83">
        <f t="shared" si="6"/>
        <v>24.744799999999998</v>
      </c>
      <c r="BB11" s="94">
        <f t="shared" si="7"/>
        <v>3000.0798</v>
      </c>
      <c r="BC11" s="153"/>
      <c r="BD11" s="85">
        <f t="shared" ref="BD11:BD63" si="26">+BC11-AY11</f>
        <v>-2704.85</v>
      </c>
      <c r="BE11" s="153"/>
      <c r="BF11" s="153"/>
      <c r="BG11" s="85">
        <f t="shared" ref="BG11:BG63" si="27">+BE11+BF11-BC11</f>
        <v>0</v>
      </c>
      <c r="BH11" s="86">
        <v>2886516505</v>
      </c>
      <c r="BI11" s="72"/>
      <c r="BJ11" s="86"/>
      <c r="BK11" s="86"/>
      <c r="BL11" s="86"/>
      <c r="BM11" s="86"/>
      <c r="BN11" s="86"/>
      <c r="BO11" s="86"/>
      <c r="BP11" s="86"/>
      <c r="BQ11" s="86"/>
      <c r="BR11" s="86"/>
      <c r="BS11" s="28"/>
      <c r="BT11" s="28"/>
      <c r="BU11" s="28"/>
      <c r="BV11" s="28"/>
      <c r="BY11" s="50">
        <f>+S11-'C&amp;A'!I11-SINDICATO!N11</f>
        <v>0</v>
      </c>
    </row>
    <row r="12" spans="1:77" x14ac:dyDescent="0.25">
      <c r="A12" s="19" t="s">
        <v>31</v>
      </c>
      <c r="B12" s="20" t="s">
        <v>32</v>
      </c>
      <c r="C12" s="21">
        <f t="shared" si="8"/>
        <v>4000</v>
      </c>
      <c r="D12" s="21">
        <v>0</v>
      </c>
      <c r="E12" s="21">
        <f t="shared" si="9"/>
        <v>1000</v>
      </c>
      <c r="F12" s="21">
        <f t="shared" si="10"/>
        <v>0</v>
      </c>
      <c r="G12" s="21">
        <f t="shared" si="11"/>
        <v>0</v>
      </c>
      <c r="H12" s="21">
        <v>0</v>
      </c>
      <c r="I12" s="21">
        <v>0</v>
      </c>
      <c r="J12" s="21">
        <f t="shared" si="12"/>
        <v>5000</v>
      </c>
      <c r="K12" s="21">
        <f t="shared" si="13"/>
        <v>0</v>
      </c>
      <c r="L12" s="21">
        <f t="shared" si="14"/>
        <v>45.15</v>
      </c>
      <c r="M12" s="21">
        <f t="shared" si="15"/>
        <v>0</v>
      </c>
      <c r="N12" s="21">
        <v>0</v>
      </c>
      <c r="O12" s="21"/>
      <c r="P12" s="21">
        <f t="shared" si="16"/>
        <v>0</v>
      </c>
      <c r="Q12" s="21">
        <f t="shared" si="17"/>
        <v>495.48500000000007</v>
      </c>
      <c r="R12" s="21">
        <f t="shared" si="18"/>
        <v>540.6350000000001</v>
      </c>
      <c r="S12" s="21">
        <f t="shared" si="19"/>
        <v>4459.3649999999998</v>
      </c>
      <c r="T12" s="21">
        <f t="shared" si="20"/>
        <v>4954.8500000000004</v>
      </c>
      <c r="U12" s="21">
        <f t="shared" si="21"/>
        <v>0</v>
      </c>
      <c r="V12" s="21">
        <f>+'C&amp;A'!E12*0.02</f>
        <v>21.911999999999999</v>
      </c>
      <c r="W12" s="21">
        <f t="shared" si="22"/>
        <v>4976.7620000000006</v>
      </c>
      <c r="X12" s="21">
        <f t="shared" si="23"/>
        <v>796.28192000000013</v>
      </c>
      <c r="Y12" s="21">
        <f t="shared" si="24"/>
        <v>5773.043920000001</v>
      </c>
      <c r="Z12" s="171">
        <f t="shared" si="25"/>
        <v>0</v>
      </c>
      <c r="AA12" s="103" t="s">
        <v>207</v>
      </c>
      <c r="AB12" s="103" t="s">
        <v>31</v>
      </c>
      <c r="AC12" s="103" t="s">
        <v>208</v>
      </c>
      <c r="AD12" s="108"/>
      <c r="AE12" s="108"/>
      <c r="AF12" s="103" t="s">
        <v>209</v>
      </c>
      <c r="AG12" s="104" t="s">
        <v>206</v>
      </c>
      <c r="AH12" s="104"/>
      <c r="AI12" s="105">
        <v>1237.2399999999998</v>
      </c>
      <c r="AJ12" s="104">
        <v>2762.76</v>
      </c>
      <c r="AK12" s="105">
        <f t="shared" si="0"/>
        <v>4000</v>
      </c>
      <c r="AL12" s="105">
        <v>1000</v>
      </c>
      <c r="AM12" s="105"/>
      <c r="AN12" s="105"/>
      <c r="AO12" s="106">
        <v>45.15</v>
      </c>
      <c r="AP12" s="94">
        <f t="shared" si="1"/>
        <v>4954.8500000000004</v>
      </c>
      <c r="AQ12" s="105"/>
      <c r="AR12" s="83"/>
      <c r="AS12" s="83"/>
      <c r="AT12" s="83"/>
      <c r="AU12" s="107"/>
      <c r="AV12" s="103">
        <v>0</v>
      </c>
      <c r="AW12" s="94">
        <f t="shared" si="2"/>
        <v>4954.8500000000004</v>
      </c>
      <c r="AX12" s="83">
        <f t="shared" si="3"/>
        <v>495.48500000000007</v>
      </c>
      <c r="AY12" s="94">
        <f t="shared" si="4"/>
        <v>4459.3650000000007</v>
      </c>
      <c r="AZ12" s="83">
        <f t="shared" si="5"/>
        <v>0</v>
      </c>
      <c r="BA12" s="83">
        <f t="shared" si="6"/>
        <v>24.744799999999998</v>
      </c>
      <c r="BB12" s="94">
        <f t="shared" si="7"/>
        <v>4979.5948000000008</v>
      </c>
      <c r="BC12" s="153"/>
      <c r="BD12" s="85">
        <f t="shared" si="26"/>
        <v>-4459.3650000000007</v>
      </c>
      <c r="BE12" s="153"/>
      <c r="BF12" s="153"/>
      <c r="BG12" s="85">
        <f t="shared" si="27"/>
        <v>0</v>
      </c>
      <c r="BH12" s="86">
        <v>2859592156</v>
      </c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20"/>
      <c r="BT12" s="20"/>
      <c r="BU12" s="20"/>
      <c r="BV12" s="20"/>
      <c r="BY12" s="50">
        <f>+S12-'C&amp;A'!I12-SINDICATO!N12</f>
        <v>0</v>
      </c>
    </row>
    <row r="13" spans="1:77" x14ac:dyDescent="0.25">
      <c r="A13" s="19" t="s">
        <v>33</v>
      </c>
      <c r="B13" s="20" t="s">
        <v>34</v>
      </c>
      <c r="C13" s="21">
        <f t="shared" si="8"/>
        <v>3000</v>
      </c>
      <c r="D13" s="21">
        <v>0</v>
      </c>
      <c r="E13" s="21">
        <f t="shared" si="9"/>
        <v>3671</v>
      </c>
      <c r="F13" s="21">
        <f t="shared" si="10"/>
        <v>0</v>
      </c>
      <c r="G13" s="21">
        <f t="shared" si="11"/>
        <v>0</v>
      </c>
      <c r="H13" s="21">
        <v>0</v>
      </c>
      <c r="I13" s="21">
        <v>0</v>
      </c>
      <c r="J13" s="21">
        <f t="shared" si="12"/>
        <v>6671</v>
      </c>
      <c r="K13" s="21">
        <f t="shared" si="13"/>
        <v>0</v>
      </c>
      <c r="L13" s="21">
        <f t="shared" si="14"/>
        <v>45.15</v>
      </c>
      <c r="M13" s="21">
        <f t="shared" si="15"/>
        <v>0</v>
      </c>
      <c r="N13" s="21">
        <v>0</v>
      </c>
      <c r="O13" s="21"/>
      <c r="P13" s="21">
        <f t="shared" si="16"/>
        <v>0</v>
      </c>
      <c r="Q13" s="21">
        <f t="shared" si="17"/>
        <v>662.58500000000004</v>
      </c>
      <c r="R13" s="21">
        <f t="shared" si="18"/>
        <v>707.73500000000001</v>
      </c>
      <c r="S13" s="21">
        <f t="shared" si="19"/>
        <v>5963.2650000000003</v>
      </c>
      <c r="T13" s="21">
        <f t="shared" si="20"/>
        <v>6625.85</v>
      </c>
      <c r="U13" s="21">
        <f t="shared" si="21"/>
        <v>0</v>
      </c>
      <c r="V13" s="21">
        <f>+'C&amp;A'!E13*0.02</f>
        <v>21.911999999999999</v>
      </c>
      <c r="W13" s="21">
        <f t="shared" si="22"/>
        <v>6647.7620000000006</v>
      </c>
      <c r="X13" s="21">
        <f t="shared" si="23"/>
        <v>1063.64192</v>
      </c>
      <c r="Y13" s="21">
        <f t="shared" si="24"/>
        <v>7711.4039200000007</v>
      </c>
      <c r="Z13" s="171">
        <f t="shared" si="25"/>
        <v>0</v>
      </c>
      <c r="AA13" s="103" t="s">
        <v>210</v>
      </c>
      <c r="AB13" s="103" t="s">
        <v>33</v>
      </c>
      <c r="AC13" s="103" t="s">
        <v>211</v>
      </c>
      <c r="AD13" s="104"/>
      <c r="AE13" s="104"/>
      <c r="AF13" s="103" t="s">
        <v>148</v>
      </c>
      <c r="AG13" s="104"/>
      <c r="AH13" s="104"/>
      <c r="AI13" s="105">
        <v>1237.2399999999998</v>
      </c>
      <c r="AJ13" s="104">
        <v>1762.7600000000002</v>
      </c>
      <c r="AK13" s="105">
        <f t="shared" si="0"/>
        <v>3000</v>
      </c>
      <c r="AL13" s="105">
        <v>3671</v>
      </c>
      <c r="AM13" s="105"/>
      <c r="AN13" s="105"/>
      <c r="AO13" s="106">
        <v>45.15</v>
      </c>
      <c r="AP13" s="94">
        <f t="shared" si="1"/>
        <v>6625.85</v>
      </c>
      <c r="AQ13" s="105"/>
      <c r="AR13" s="83"/>
      <c r="AS13" s="83"/>
      <c r="AT13" s="83"/>
      <c r="AU13" s="107"/>
      <c r="AV13" s="103">
        <v>0</v>
      </c>
      <c r="AW13" s="94">
        <f t="shared" si="2"/>
        <v>6625.85</v>
      </c>
      <c r="AX13" s="83">
        <f t="shared" si="3"/>
        <v>662.58500000000004</v>
      </c>
      <c r="AY13" s="94">
        <f t="shared" si="4"/>
        <v>5963.2650000000003</v>
      </c>
      <c r="AZ13" s="83">
        <f t="shared" si="5"/>
        <v>0</v>
      </c>
      <c r="BA13" s="83">
        <f t="shared" si="6"/>
        <v>24.744799999999998</v>
      </c>
      <c r="BB13" s="94">
        <f t="shared" si="7"/>
        <v>6650.5948000000008</v>
      </c>
      <c r="BC13" s="153"/>
      <c r="BD13" s="85">
        <f t="shared" si="26"/>
        <v>-5963.2650000000003</v>
      </c>
      <c r="BE13" s="153"/>
      <c r="BF13" s="153"/>
      <c r="BG13" s="85">
        <f t="shared" si="27"/>
        <v>0</v>
      </c>
      <c r="BH13" s="86">
        <v>2914894898</v>
      </c>
      <c r="BI13" s="72"/>
      <c r="BJ13" s="86"/>
      <c r="BK13" s="86"/>
      <c r="BL13" s="86"/>
      <c r="BM13" s="86"/>
      <c r="BN13" s="86"/>
      <c r="BO13" s="86"/>
      <c r="BP13" s="86"/>
      <c r="BQ13" s="86"/>
      <c r="BR13" s="86"/>
      <c r="BS13" s="20"/>
      <c r="BT13" s="20"/>
      <c r="BU13" s="20"/>
      <c r="BV13" s="20"/>
      <c r="BY13" s="50">
        <f>+S13-'C&amp;A'!I13-SINDICATO!N13</f>
        <v>0</v>
      </c>
    </row>
    <row r="14" spans="1:77" x14ac:dyDescent="0.25">
      <c r="A14" s="19" t="s">
        <v>35</v>
      </c>
      <c r="B14" s="20" t="s">
        <v>36</v>
      </c>
      <c r="C14" s="21">
        <f t="shared" si="8"/>
        <v>3194.5</v>
      </c>
      <c r="D14" s="21">
        <v>125.12056780965156</v>
      </c>
      <c r="E14" s="21">
        <f t="shared" si="9"/>
        <v>0</v>
      </c>
      <c r="F14" s="21">
        <f t="shared" si="10"/>
        <v>0</v>
      </c>
      <c r="G14" s="21">
        <f t="shared" si="11"/>
        <v>0</v>
      </c>
      <c r="H14" s="21">
        <v>0</v>
      </c>
      <c r="I14" s="21">
        <v>0</v>
      </c>
      <c r="J14" s="21">
        <f t="shared" si="12"/>
        <v>3319.6205678096517</v>
      </c>
      <c r="K14" s="21">
        <f t="shared" si="13"/>
        <v>0</v>
      </c>
      <c r="L14" s="21">
        <f t="shared" si="14"/>
        <v>45.15</v>
      </c>
      <c r="M14" s="21">
        <f t="shared" si="15"/>
        <v>0</v>
      </c>
      <c r="N14" s="21">
        <v>0</v>
      </c>
      <c r="O14" s="21"/>
      <c r="P14" s="21">
        <f t="shared" si="16"/>
        <v>0</v>
      </c>
      <c r="Q14" s="21">
        <f t="shared" si="17"/>
        <v>0</v>
      </c>
      <c r="R14" s="21">
        <f t="shared" si="18"/>
        <v>45.15</v>
      </c>
      <c r="S14" s="21">
        <f t="shared" si="19"/>
        <v>3274.4705678096516</v>
      </c>
      <c r="T14" s="21">
        <f t="shared" si="20"/>
        <v>3274.4705678096516</v>
      </c>
      <c r="U14" s="21">
        <f t="shared" si="21"/>
        <v>314.935</v>
      </c>
      <c r="V14" s="21">
        <f>+'C&amp;A'!E14*0.02</f>
        <v>21.911999999999999</v>
      </c>
      <c r="W14" s="21">
        <f t="shared" si="22"/>
        <v>3611.3175678096513</v>
      </c>
      <c r="X14" s="21">
        <f t="shared" si="23"/>
        <v>577.81081084954428</v>
      </c>
      <c r="Y14" s="21">
        <f t="shared" si="24"/>
        <v>4189.1283786591957</v>
      </c>
      <c r="Z14" s="171">
        <f t="shared" si="25"/>
        <v>125.12056780965167</v>
      </c>
      <c r="AA14" s="103" t="s">
        <v>207</v>
      </c>
      <c r="AB14" s="103" t="s">
        <v>35</v>
      </c>
      <c r="AC14" s="103" t="s">
        <v>212</v>
      </c>
      <c r="AD14" s="104"/>
      <c r="AE14" s="104"/>
      <c r="AF14" s="103" t="s">
        <v>134</v>
      </c>
      <c r="AG14" s="104" t="s">
        <v>206</v>
      </c>
      <c r="AH14" s="104"/>
      <c r="AI14" s="105">
        <v>1237.2399999999998</v>
      </c>
      <c r="AJ14" s="104">
        <f>1562.76+394.5</f>
        <v>1957.26</v>
      </c>
      <c r="AK14" s="105">
        <f t="shared" si="0"/>
        <v>3194.5</v>
      </c>
      <c r="AL14" s="105"/>
      <c r="AM14" s="105"/>
      <c r="AN14" s="105"/>
      <c r="AO14" s="106">
        <v>45.15</v>
      </c>
      <c r="AP14" s="94">
        <f t="shared" si="1"/>
        <v>3149.35</v>
      </c>
      <c r="AQ14" s="105"/>
      <c r="AR14" s="83"/>
      <c r="AS14" s="83"/>
      <c r="AT14" s="83"/>
      <c r="AU14" s="107"/>
      <c r="AV14" s="103">
        <v>0</v>
      </c>
      <c r="AW14" s="94">
        <f t="shared" si="2"/>
        <v>3149.35</v>
      </c>
      <c r="AX14" s="83">
        <f t="shared" si="3"/>
        <v>0</v>
      </c>
      <c r="AY14" s="94">
        <f t="shared" si="4"/>
        <v>3149.35</v>
      </c>
      <c r="AZ14" s="83">
        <f t="shared" si="5"/>
        <v>314.935</v>
      </c>
      <c r="BA14" s="83">
        <f t="shared" si="6"/>
        <v>24.744799999999998</v>
      </c>
      <c r="BB14" s="94">
        <f t="shared" si="7"/>
        <v>3489.0297999999998</v>
      </c>
      <c r="BC14" s="153"/>
      <c r="BD14" s="85">
        <f t="shared" si="26"/>
        <v>-3149.35</v>
      </c>
      <c r="BE14" s="153"/>
      <c r="BF14" s="153"/>
      <c r="BG14" s="85">
        <f t="shared" si="27"/>
        <v>0</v>
      </c>
      <c r="BH14" s="86">
        <v>1461266403</v>
      </c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20"/>
      <c r="BT14" s="20"/>
      <c r="BU14" s="20"/>
      <c r="BV14" s="20"/>
      <c r="BY14" s="50">
        <f>+S14-'C&amp;A'!I14-SINDICATO!N14</f>
        <v>0</v>
      </c>
    </row>
    <row r="15" spans="1:77" x14ac:dyDescent="0.25">
      <c r="A15" s="19" t="s">
        <v>37</v>
      </c>
      <c r="B15" s="20" t="s">
        <v>38</v>
      </c>
      <c r="C15" s="21">
        <f t="shared" si="8"/>
        <v>6000</v>
      </c>
      <c r="D15" s="21">
        <v>0</v>
      </c>
      <c r="E15" s="21">
        <f t="shared" si="9"/>
        <v>21000</v>
      </c>
      <c r="F15" s="21">
        <f t="shared" si="10"/>
        <v>0</v>
      </c>
      <c r="G15" s="21">
        <f t="shared" si="11"/>
        <v>0</v>
      </c>
      <c r="H15" s="21">
        <v>0</v>
      </c>
      <c r="I15" s="21">
        <v>0</v>
      </c>
      <c r="J15" s="21">
        <f t="shared" si="12"/>
        <v>27000</v>
      </c>
      <c r="K15" s="21">
        <f t="shared" si="13"/>
        <v>0</v>
      </c>
      <c r="L15" s="21">
        <f t="shared" si="14"/>
        <v>45.15</v>
      </c>
      <c r="M15" s="21">
        <f t="shared" si="15"/>
        <v>504.77</v>
      </c>
      <c r="N15" s="21">
        <v>0</v>
      </c>
      <c r="O15" s="21"/>
      <c r="P15" s="21">
        <f t="shared" si="16"/>
        <v>0</v>
      </c>
      <c r="Q15" s="21">
        <f t="shared" si="17"/>
        <v>2695.4850000000001</v>
      </c>
      <c r="R15" s="21">
        <f t="shared" si="18"/>
        <v>3245.4050000000002</v>
      </c>
      <c r="S15" s="21">
        <f t="shared" si="19"/>
        <v>23754.595000000001</v>
      </c>
      <c r="T15" s="21">
        <f t="shared" si="20"/>
        <v>26954.85</v>
      </c>
      <c r="U15" s="21">
        <f t="shared" si="21"/>
        <v>0</v>
      </c>
      <c r="V15" s="21">
        <f>+'C&amp;A'!E15*0.02</f>
        <v>21.911999999999999</v>
      </c>
      <c r="W15" s="21">
        <f t="shared" si="22"/>
        <v>26976.761999999999</v>
      </c>
      <c r="X15" s="21">
        <f t="shared" si="23"/>
        <v>4316.2819199999994</v>
      </c>
      <c r="Y15" s="21">
        <f t="shared" si="24"/>
        <v>31293.043919999996</v>
      </c>
      <c r="Z15" s="171">
        <f t="shared" si="25"/>
        <v>0</v>
      </c>
      <c r="AA15" s="103" t="s">
        <v>207</v>
      </c>
      <c r="AB15" s="103">
        <v>9</v>
      </c>
      <c r="AC15" s="103" t="s">
        <v>213</v>
      </c>
      <c r="AD15" s="108"/>
      <c r="AE15" s="108"/>
      <c r="AF15" s="103" t="s">
        <v>139</v>
      </c>
      <c r="AG15" s="104"/>
      <c r="AH15" s="104"/>
      <c r="AI15" s="105">
        <v>1237.2399999999998</v>
      </c>
      <c r="AJ15" s="104">
        <v>4762.76</v>
      </c>
      <c r="AK15" s="105">
        <f t="shared" si="0"/>
        <v>6000</v>
      </c>
      <c r="AL15" s="105">
        <v>21000</v>
      </c>
      <c r="AM15" s="105"/>
      <c r="AN15" s="105"/>
      <c r="AO15" s="106">
        <v>45.15</v>
      </c>
      <c r="AP15" s="94">
        <f t="shared" si="1"/>
        <v>26954.85</v>
      </c>
      <c r="AQ15" s="105"/>
      <c r="AR15" s="83"/>
      <c r="AS15" s="83"/>
      <c r="AT15" s="83"/>
      <c r="AU15" s="103">
        <v>504.77</v>
      </c>
      <c r="AV15" s="103">
        <v>0</v>
      </c>
      <c r="AW15" s="94">
        <f t="shared" si="2"/>
        <v>26450.079999999998</v>
      </c>
      <c r="AX15" s="83">
        <f t="shared" si="3"/>
        <v>2695.4850000000001</v>
      </c>
      <c r="AY15" s="94">
        <f t="shared" si="4"/>
        <v>23754.594999999998</v>
      </c>
      <c r="AZ15" s="83">
        <f t="shared" si="5"/>
        <v>0</v>
      </c>
      <c r="BA15" s="83">
        <f t="shared" si="6"/>
        <v>24.744799999999998</v>
      </c>
      <c r="BB15" s="94">
        <f t="shared" si="7"/>
        <v>26979.594799999999</v>
      </c>
      <c r="BC15" s="153"/>
      <c r="BD15" s="85">
        <f t="shared" si="26"/>
        <v>-23754.594999999998</v>
      </c>
      <c r="BE15" s="153"/>
      <c r="BF15" s="153"/>
      <c r="BG15" s="85">
        <f t="shared" si="27"/>
        <v>0</v>
      </c>
      <c r="BH15" s="86">
        <v>1467420064</v>
      </c>
      <c r="BI15" s="72"/>
      <c r="BJ15" s="86"/>
      <c r="BK15" s="86"/>
      <c r="BL15" s="86"/>
      <c r="BM15" s="86"/>
      <c r="BN15" s="86"/>
      <c r="BO15" s="86"/>
      <c r="BP15" s="86"/>
      <c r="BQ15" s="86"/>
      <c r="BR15" s="86"/>
      <c r="BS15" s="20"/>
      <c r="BT15" s="20"/>
      <c r="BU15" s="20"/>
      <c r="BV15" s="20"/>
      <c r="BY15" s="50">
        <f>+S15-'C&amp;A'!I15-SINDICATO!N15</f>
        <v>0</v>
      </c>
    </row>
    <row r="16" spans="1:77" x14ac:dyDescent="0.25">
      <c r="A16" s="19" t="s">
        <v>137</v>
      </c>
      <c r="B16" s="20" t="s">
        <v>297</v>
      </c>
      <c r="C16" s="21">
        <f t="shared" si="8"/>
        <v>3000</v>
      </c>
      <c r="D16" s="21">
        <v>145.37389713135775</v>
      </c>
      <c r="E16" s="21">
        <f t="shared" si="9"/>
        <v>0</v>
      </c>
      <c r="F16" s="21">
        <f t="shared" si="10"/>
        <v>0</v>
      </c>
      <c r="G16" s="21">
        <f t="shared" si="11"/>
        <v>0</v>
      </c>
      <c r="H16" s="21">
        <v>0</v>
      </c>
      <c r="I16" s="21">
        <v>0</v>
      </c>
      <c r="J16" s="21">
        <f t="shared" si="12"/>
        <v>3145.3738971313578</v>
      </c>
      <c r="K16" s="21">
        <f t="shared" si="13"/>
        <v>0</v>
      </c>
      <c r="L16" s="21">
        <f t="shared" si="14"/>
        <v>45.15</v>
      </c>
      <c r="M16" s="21">
        <f t="shared" si="15"/>
        <v>0</v>
      </c>
      <c r="N16" s="21">
        <v>0</v>
      </c>
      <c r="O16" s="21"/>
      <c r="P16" s="21">
        <f t="shared" si="16"/>
        <v>0</v>
      </c>
      <c r="Q16" s="21">
        <f t="shared" si="17"/>
        <v>0</v>
      </c>
      <c r="R16" s="21">
        <f t="shared" si="18"/>
        <v>45.15</v>
      </c>
      <c r="S16" s="21">
        <f t="shared" si="19"/>
        <v>3100.2238971313577</v>
      </c>
      <c r="T16" s="21">
        <f t="shared" si="20"/>
        <v>3100.2238971313577</v>
      </c>
      <c r="U16" s="21">
        <f t="shared" si="21"/>
        <v>295.48500000000001</v>
      </c>
      <c r="V16" s="21">
        <f>+'C&amp;A'!E16*0.02</f>
        <v>21.911999999999999</v>
      </c>
      <c r="W16" s="21">
        <f t="shared" si="22"/>
        <v>3417.6208971313577</v>
      </c>
      <c r="X16" s="21">
        <f t="shared" si="23"/>
        <v>546.81934354101725</v>
      </c>
      <c r="Y16" s="21">
        <f t="shared" si="24"/>
        <v>3964.4402406723748</v>
      </c>
      <c r="Z16" s="171">
        <f t="shared" si="25"/>
        <v>145.37389713135781</v>
      </c>
      <c r="AA16" s="109" t="s">
        <v>203</v>
      </c>
      <c r="AB16" s="109" t="s">
        <v>137</v>
      </c>
      <c r="AC16" s="109" t="s">
        <v>214</v>
      </c>
      <c r="AD16" s="108"/>
      <c r="AE16" s="108"/>
      <c r="AF16" s="103" t="s">
        <v>215</v>
      </c>
      <c r="AG16" s="104" t="s">
        <v>206</v>
      </c>
      <c r="AH16" s="104"/>
      <c r="AI16" s="105">
        <v>1237.2399999999998</v>
      </c>
      <c r="AJ16" s="104">
        <v>1762.76</v>
      </c>
      <c r="AK16" s="105">
        <f t="shared" si="0"/>
        <v>3000</v>
      </c>
      <c r="AL16" s="105"/>
      <c r="AM16" s="105"/>
      <c r="AN16" s="105"/>
      <c r="AO16" s="106">
        <v>45.15</v>
      </c>
      <c r="AP16" s="94">
        <f t="shared" si="1"/>
        <v>2954.85</v>
      </c>
      <c r="AQ16" s="105"/>
      <c r="AR16" s="83"/>
      <c r="AS16" s="83"/>
      <c r="AT16" s="83"/>
      <c r="AU16" s="107"/>
      <c r="AV16" s="103">
        <v>0</v>
      </c>
      <c r="AW16" s="94">
        <f t="shared" si="2"/>
        <v>2954.85</v>
      </c>
      <c r="AX16" s="83">
        <f t="shared" si="3"/>
        <v>0</v>
      </c>
      <c r="AY16" s="94">
        <f t="shared" si="4"/>
        <v>2954.85</v>
      </c>
      <c r="AZ16" s="83">
        <f t="shared" si="5"/>
        <v>295.48500000000001</v>
      </c>
      <c r="BA16" s="83">
        <f t="shared" si="6"/>
        <v>24.744799999999998</v>
      </c>
      <c r="BB16" s="94">
        <f t="shared" si="7"/>
        <v>3275.0798</v>
      </c>
      <c r="BC16" s="153"/>
      <c r="BD16" s="85">
        <f t="shared" si="26"/>
        <v>-2954.85</v>
      </c>
      <c r="BE16" s="153"/>
      <c r="BF16" s="153"/>
      <c r="BG16" s="85">
        <f t="shared" si="27"/>
        <v>0</v>
      </c>
      <c r="BH16" s="86">
        <v>2966659578</v>
      </c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20"/>
      <c r="BT16" s="20"/>
      <c r="BU16" s="20"/>
      <c r="BV16" s="20"/>
      <c r="BY16" s="50">
        <f>+S16-'C&amp;A'!I16-SINDICATO!N16</f>
        <v>0</v>
      </c>
    </row>
    <row r="17" spans="1:77" x14ac:dyDescent="0.25">
      <c r="A17" s="19" t="s">
        <v>39</v>
      </c>
      <c r="B17" s="20" t="s">
        <v>40</v>
      </c>
      <c r="C17" s="21">
        <f t="shared" si="8"/>
        <v>2530</v>
      </c>
      <c r="D17" s="21">
        <v>160.37636329558455</v>
      </c>
      <c r="E17" s="21">
        <f t="shared" si="9"/>
        <v>0</v>
      </c>
      <c r="F17" s="21">
        <f t="shared" si="10"/>
        <v>0</v>
      </c>
      <c r="G17" s="21">
        <f t="shared" si="11"/>
        <v>0</v>
      </c>
      <c r="H17" s="21">
        <v>0</v>
      </c>
      <c r="I17" s="21">
        <v>0</v>
      </c>
      <c r="J17" s="21">
        <f t="shared" si="12"/>
        <v>2690.3763632955847</v>
      </c>
      <c r="K17" s="21">
        <f t="shared" si="13"/>
        <v>0</v>
      </c>
      <c r="L17" s="21">
        <f t="shared" si="14"/>
        <v>45.15</v>
      </c>
      <c r="M17" s="21">
        <f t="shared" si="15"/>
        <v>0</v>
      </c>
      <c r="N17" s="21">
        <v>0</v>
      </c>
      <c r="O17" s="21"/>
      <c r="P17" s="21">
        <f t="shared" si="16"/>
        <v>316.81</v>
      </c>
      <c r="Q17" s="21">
        <f t="shared" si="17"/>
        <v>0</v>
      </c>
      <c r="R17" s="21">
        <f t="shared" si="18"/>
        <v>361.96</v>
      </c>
      <c r="S17" s="21">
        <f t="shared" si="19"/>
        <v>2328.4163632955847</v>
      </c>
      <c r="T17" s="21">
        <f t="shared" si="20"/>
        <v>2645.2263632955846</v>
      </c>
      <c r="U17" s="21">
        <f t="shared" si="21"/>
        <v>248.48500000000001</v>
      </c>
      <c r="V17" s="21">
        <f>+'C&amp;A'!E17*0.02</f>
        <v>21.911999999999999</v>
      </c>
      <c r="W17" s="21">
        <f t="shared" si="22"/>
        <v>2915.6233632955846</v>
      </c>
      <c r="X17" s="21">
        <f t="shared" si="23"/>
        <v>466.49973812729354</v>
      </c>
      <c r="Y17" s="21">
        <f t="shared" si="24"/>
        <v>3382.1231014228779</v>
      </c>
      <c r="Z17" s="171">
        <f t="shared" si="25"/>
        <v>160.37636329558472</v>
      </c>
      <c r="AA17" s="103" t="s">
        <v>210</v>
      </c>
      <c r="AB17" s="103">
        <v>2</v>
      </c>
      <c r="AC17" s="103" t="s">
        <v>216</v>
      </c>
      <c r="AD17" s="104"/>
      <c r="AE17" s="104"/>
      <c r="AF17" s="103" t="s">
        <v>135</v>
      </c>
      <c r="AG17" s="104" t="s">
        <v>206</v>
      </c>
      <c r="AH17" s="104"/>
      <c r="AI17" s="105">
        <v>1237.2399999999998</v>
      </c>
      <c r="AJ17" s="104">
        <f>562.76+730</f>
        <v>1292.76</v>
      </c>
      <c r="AK17" s="105">
        <f t="shared" si="0"/>
        <v>2530</v>
      </c>
      <c r="AL17" s="105"/>
      <c r="AM17" s="105"/>
      <c r="AN17" s="105"/>
      <c r="AO17" s="106">
        <v>45.15</v>
      </c>
      <c r="AP17" s="94">
        <f t="shared" si="1"/>
        <v>2484.85</v>
      </c>
      <c r="AQ17" s="105"/>
      <c r="AR17" s="83"/>
      <c r="AS17" s="83"/>
      <c r="AT17" s="83"/>
      <c r="AU17" s="107"/>
      <c r="AV17" s="103">
        <v>316.81</v>
      </c>
      <c r="AW17" s="94">
        <f t="shared" si="2"/>
        <v>2168.04</v>
      </c>
      <c r="AX17" s="83">
        <f t="shared" si="3"/>
        <v>0</v>
      </c>
      <c r="AY17" s="94">
        <f t="shared" si="4"/>
        <v>2168.04</v>
      </c>
      <c r="AZ17" s="83">
        <f t="shared" si="5"/>
        <v>248.48500000000001</v>
      </c>
      <c r="BA17" s="83">
        <f t="shared" si="6"/>
        <v>24.744799999999998</v>
      </c>
      <c r="BB17" s="94">
        <f t="shared" si="7"/>
        <v>2758.0798</v>
      </c>
      <c r="BC17" s="153"/>
      <c r="BD17" s="85">
        <f t="shared" si="26"/>
        <v>-2168.04</v>
      </c>
      <c r="BE17" s="153"/>
      <c r="BF17" s="153"/>
      <c r="BG17" s="85">
        <f t="shared" si="27"/>
        <v>0</v>
      </c>
      <c r="BH17" s="86">
        <v>2615562821</v>
      </c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20"/>
      <c r="BT17" s="20"/>
      <c r="BU17" s="20"/>
      <c r="BV17" s="20"/>
      <c r="BY17" s="50">
        <f>+S17-'C&amp;A'!I17-SINDICATO!N17</f>
        <v>0</v>
      </c>
    </row>
    <row r="18" spans="1:77" x14ac:dyDescent="0.25">
      <c r="A18" s="19" t="s">
        <v>41</v>
      </c>
      <c r="B18" s="20" t="s">
        <v>42</v>
      </c>
      <c r="C18" s="21">
        <f t="shared" si="8"/>
        <v>5556</v>
      </c>
      <c r="D18" s="21">
        <v>0</v>
      </c>
      <c r="E18" s="21">
        <f t="shared" si="9"/>
        <v>0</v>
      </c>
      <c r="F18" s="21">
        <f t="shared" si="10"/>
        <v>0</v>
      </c>
      <c r="G18" s="21">
        <f t="shared" si="11"/>
        <v>0</v>
      </c>
      <c r="H18" s="21">
        <v>0</v>
      </c>
      <c r="I18" s="21">
        <v>0</v>
      </c>
      <c r="J18" s="21">
        <f t="shared" si="12"/>
        <v>5556</v>
      </c>
      <c r="K18" s="21">
        <f t="shared" si="13"/>
        <v>0</v>
      </c>
      <c r="L18" s="21">
        <f t="shared" si="14"/>
        <v>45.15</v>
      </c>
      <c r="M18" s="21">
        <f t="shared" si="15"/>
        <v>0</v>
      </c>
      <c r="N18" s="21">
        <v>0</v>
      </c>
      <c r="O18" s="21"/>
      <c r="P18" s="21">
        <f t="shared" si="16"/>
        <v>0</v>
      </c>
      <c r="Q18" s="21">
        <f t="shared" si="17"/>
        <v>551.08500000000004</v>
      </c>
      <c r="R18" s="21">
        <f t="shared" si="18"/>
        <v>596.23500000000001</v>
      </c>
      <c r="S18" s="21">
        <f t="shared" si="19"/>
        <v>4959.7650000000003</v>
      </c>
      <c r="T18" s="21">
        <f t="shared" si="20"/>
        <v>5510.85</v>
      </c>
      <c r="U18" s="21">
        <f t="shared" si="21"/>
        <v>0</v>
      </c>
      <c r="V18" s="21">
        <f>+'C&amp;A'!E18*0.02</f>
        <v>21.911999999999999</v>
      </c>
      <c r="W18" s="21">
        <f t="shared" si="22"/>
        <v>5532.7620000000006</v>
      </c>
      <c r="X18" s="21">
        <f t="shared" si="23"/>
        <v>885.24192000000016</v>
      </c>
      <c r="Y18" s="21">
        <f t="shared" si="24"/>
        <v>6418.003920000001</v>
      </c>
      <c r="Z18" s="171">
        <f t="shared" si="25"/>
        <v>0</v>
      </c>
      <c r="AA18" s="103" t="s">
        <v>207</v>
      </c>
      <c r="AB18" s="103" t="s">
        <v>41</v>
      </c>
      <c r="AC18" s="103" t="s">
        <v>217</v>
      </c>
      <c r="AD18" s="108"/>
      <c r="AE18" s="108"/>
      <c r="AF18" s="103" t="s">
        <v>209</v>
      </c>
      <c r="AG18" s="104" t="s">
        <v>206</v>
      </c>
      <c r="AH18" s="104"/>
      <c r="AI18" s="105">
        <v>1237.2399999999998</v>
      </c>
      <c r="AJ18" s="104">
        <f>3762.76+500+56</f>
        <v>4318.76</v>
      </c>
      <c r="AK18" s="105">
        <f>+AI18+AJ18</f>
        <v>5556</v>
      </c>
      <c r="AL18" s="105"/>
      <c r="AM18" s="105"/>
      <c r="AN18" s="105"/>
      <c r="AO18" s="106">
        <v>45.15</v>
      </c>
      <c r="AP18" s="94">
        <f t="shared" si="1"/>
        <v>5510.85</v>
      </c>
      <c r="AQ18" s="105"/>
      <c r="AR18" s="83"/>
      <c r="AS18" s="83"/>
      <c r="AT18" s="83"/>
      <c r="AU18" s="107"/>
      <c r="AV18" s="103">
        <v>0</v>
      </c>
      <c r="AW18" s="94">
        <f t="shared" si="2"/>
        <v>5510.85</v>
      </c>
      <c r="AX18" s="83">
        <f t="shared" si="3"/>
        <v>551.08500000000004</v>
      </c>
      <c r="AY18" s="94">
        <f t="shared" si="4"/>
        <v>4959.7650000000003</v>
      </c>
      <c r="AZ18" s="83">
        <f t="shared" si="5"/>
        <v>0</v>
      </c>
      <c r="BA18" s="83">
        <f t="shared" si="6"/>
        <v>24.744799999999998</v>
      </c>
      <c r="BB18" s="94">
        <f t="shared" si="7"/>
        <v>5535.5948000000008</v>
      </c>
      <c r="BC18" s="153"/>
      <c r="BD18" s="85">
        <f t="shared" si="26"/>
        <v>-4959.7650000000003</v>
      </c>
      <c r="BE18" s="153"/>
      <c r="BF18" s="153"/>
      <c r="BG18" s="85">
        <f t="shared" si="27"/>
        <v>0</v>
      </c>
      <c r="BH18" s="86">
        <v>2987650868</v>
      </c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20"/>
      <c r="BT18" s="20"/>
      <c r="BU18" s="20"/>
      <c r="BV18" s="20"/>
      <c r="BY18" s="50">
        <f>+S18-'C&amp;A'!I18-SINDICATO!N18</f>
        <v>0</v>
      </c>
    </row>
    <row r="19" spans="1:77" x14ac:dyDescent="0.25">
      <c r="A19" s="19" t="s">
        <v>45</v>
      </c>
      <c r="B19" s="20" t="s">
        <v>46</v>
      </c>
      <c r="C19" s="21">
        <f t="shared" si="8"/>
        <v>4000</v>
      </c>
      <c r="D19" s="21">
        <v>0</v>
      </c>
      <c r="E19" s="21">
        <f t="shared" si="9"/>
        <v>0</v>
      </c>
      <c r="F19" s="21">
        <f t="shared" si="10"/>
        <v>0</v>
      </c>
      <c r="G19" s="21">
        <f t="shared" si="11"/>
        <v>0</v>
      </c>
      <c r="H19" s="21">
        <v>0</v>
      </c>
      <c r="I19" s="21">
        <v>0</v>
      </c>
      <c r="J19" s="21">
        <f t="shared" si="12"/>
        <v>4000</v>
      </c>
      <c r="K19" s="21">
        <f t="shared" si="13"/>
        <v>0</v>
      </c>
      <c r="L19" s="21">
        <f t="shared" si="14"/>
        <v>45.15</v>
      </c>
      <c r="M19" s="21">
        <f t="shared" si="15"/>
        <v>0</v>
      </c>
      <c r="N19" s="21">
        <v>0</v>
      </c>
      <c r="O19" s="21"/>
      <c r="P19" s="21">
        <f t="shared" si="16"/>
        <v>906.77</v>
      </c>
      <c r="Q19" s="21">
        <f t="shared" si="17"/>
        <v>0</v>
      </c>
      <c r="R19" s="21">
        <f t="shared" si="18"/>
        <v>951.92</v>
      </c>
      <c r="S19" s="21">
        <f t="shared" si="19"/>
        <v>3048.08</v>
      </c>
      <c r="T19" s="21">
        <f t="shared" si="20"/>
        <v>3954.85</v>
      </c>
      <c r="U19" s="21">
        <f t="shared" si="21"/>
        <v>395.48500000000001</v>
      </c>
      <c r="V19" s="21">
        <f>+'C&amp;A'!E19*0.02</f>
        <v>21.911999999999999</v>
      </c>
      <c r="W19" s="21">
        <f t="shared" si="22"/>
        <v>4372.2470000000003</v>
      </c>
      <c r="X19" s="21">
        <f t="shared" si="23"/>
        <v>699.55952000000002</v>
      </c>
      <c r="Y19" s="21">
        <f t="shared" si="24"/>
        <v>5071.8065200000001</v>
      </c>
      <c r="Z19" s="171">
        <f t="shared" si="25"/>
        <v>0</v>
      </c>
      <c r="AA19" s="103" t="s">
        <v>203</v>
      </c>
      <c r="AB19" s="103" t="s">
        <v>45</v>
      </c>
      <c r="AC19" s="103" t="s">
        <v>219</v>
      </c>
      <c r="AD19" s="108"/>
      <c r="AE19" s="108"/>
      <c r="AF19" s="103" t="s">
        <v>132</v>
      </c>
      <c r="AG19" s="104" t="s">
        <v>206</v>
      </c>
      <c r="AH19" s="104"/>
      <c r="AI19" s="105">
        <v>1237.2399999999998</v>
      </c>
      <c r="AJ19" s="104">
        <v>2762.76</v>
      </c>
      <c r="AK19" s="105">
        <f t="shared" si="0"/>
        <v>4000</v>
      </c>
      <c r="AL19" s="105"/>
      <c r="AM19" s="105"/>
      <c r="AN19" s="105"/>
      <c r="AO19" s="106">
        <v>45.15</v>
      </c>
      <c r="AP19" s="94">
        <f t="shared" si="1"/>
        <v>3954.85</v>
      </c>
      <c r="AQ19" s="105"/>
      <c r="AR19" s="83"/>
      <c r="AS19" s="83"/>
      <c r="AT19" s="83"/>
      <c r="AU19" s="107"/>
      <c r="AV19" s="103">
        <v>906.77</v>
      </c>
      <c r="AW19" s="94">
        <f t="shared" si="2"/>
        <v>3048.08</v>
      </c>
      <c r="AX19" s="83">
        <f t="shared" si="3"/>
        <v>0</v>
      </c>
      <c r="AY19" s="94">
        <f t="shared" si="4"/>
        <v>3048.08</v>
      </c>
      <c r="AZ19" s="83">
        <f t="shared" si="5"/>
        <v>395.48500000000001</v>
      </c>
      <c r="BA19" s="83">
        <f t="shared" si="6"/>
        <v>24.744799999999998</v>
      </c>
      <c r="BB19" s="94">
        <f t="shared" si="7"/>
        <v>4375.0798000000004</v>
      </c>
      <c r="BC19" s="153"/>
      <c r="BD19" s="85">
        <f t="shared" si="26"/>
        <v>-3048.08</v>
      </c>
      <c r="BE19" s="153"/>
      <c r="BF19" s="153"/>
      <c r="BG19" s="85">
        <f t="shared" si="27"/>
        <v>0</v>
      </c>
      <c r="BH19" s="86">
        <v>2893195635</v>
      </c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20"/>
      <c r="BT19" s="20"/>
      <c r="BU19" s="20"/>
      <c r="BV19" s="20"/>
      <c r="BY19" s="50">
        <f>+S19-'C&amp;A'!I19-SINDICATO!N19</f>
        <v>0</v>
      </c>
    </row>
    <row r="20" spans="1:77" x14ac:dyDescent="0.25">
      <c r="A20" s="19" t="s">
        <v>47</v>
      </c>
      <c r="B20" s="20" t="s">
        <v>48</v>
      </c>
      <c r="C20" s="21">
        <f t="shared" si="8"/>
        <v>1750</v>
      </c>
      <c r="D20" s="21">
        <v>0</v>
      </c>
      <c r="E20" s="21">
        <f t="shared" si="9"/>
        <v>4831.8500000000004</v>
      </c>
      <c r="F20" s="21">
        <f t="shared" si="10"/>
        <v>0</v>
      </c>
      <c r="G20" s="21">
        <f t="shared" si="11"/>
        <v>0</v>
      </c>
      <c r="H20" s="21">
        <v>0</v>
      </c>
      <c r="I20" s="21">
        <v>0</v>
      </c>
      <c r="J20" s="21">
        <f t="shared" si="12"/>
        <v>6581.85</v>
      </c>
      <c r="K20" s="21">
        <f t="shared" si="13"/>
        <v>0</v>
      </c>
      <c r="L20" s="21">
        <f t="shared" si="14"/>
        <v>45.15</v>
      </c>
      <c r="M20" s="21">
        <f t="shared" si="15"/>
        <v>0</v>
      </c>
      <c r="N20" s="21">
        <v>0</v>
      </c>
      <c r="O20" s="21"/>
      <c r="P20" s="21">
        <f t="shared" si="16"/>
        <v>0</v>
      </c>
      <c r="Q20" s="21">
        <f t="shared" si="17"/>
        <v>653.67000000000007</v>
      </c>
      <c r="R20" s="21">
        <f t="shared" si="18"/>
        <v>698.82</v>
      </c>
      <c r="S20" s="21">
        <f t="shared" si="19"/>
        <v>5883.0300000000007</v>
      </c>
      <c r="T20" s="21">
        <f t="shared" si="20"/>
        <v>6536.7000000000007</v>
      </c>
      <c r="U20" s="21">
        <f t="shared" si="21"/>
        <v>0</v>
      </c>
      <c r="V20" s="21">
        <f>+'C&amp;A'!E20*0.02</f>
        <v>21.911999999999999</v>
      </c>
      <c r="W20" s="21">
        <f t="shared" si="22"/>
        <v>6558.612000000001</v>
      </c>
      <c r="X20" s="21">
        <f t="shared" si="23"/>
        <v>1049.3779200000001</v>
      </c>
      <c r="Y20" s="21">
        <f t="shared" si="24"/>
        <v>7607.9899200000009</v>
      </c>
      <c r="Z20" s="171">
        <f t="shared" si="25"/>
        <v>0</v>
      </c>
      <c r="AA20" s="103" t="s">
        <v>210</v>
      </c>
      <c r="AB20" s="103" t="s">
        <v>47</v>
      </c>
      <c r="AC20" s="103" t="s">
        <v>220</v>
      </c>
      <c r="AD20" s="104"/>
      <c r="AE20" s="104"/>
      <c r="AF20" s="103" t="s">
        <v>144</v>
      </c>
      <c r="AG20" s="104"/>
      <c r="AH20" s="104"/>
      <c r="AI20" s="105">
        <v>1237.2399999999998</v>
      </c>
      <c r="AJ20" s="104">
        <v>512.76000000000022</v>
      </c>
      <c r="AK20" s="105">
        <f t="shared" si="0"/>
        <v>1750</v>
      </c>
      <c r="AL20" s="105">
        <f>2331.85+2500</f>
        <v>4831.8500000000004</v>
      </c>
      <c r="AM20" s="105"/>
      <c r="AN20" s="105"/>
      <c r="AO20" s="106">
        <v>45.15</v>
      </c>
      <c r="AP20" s="94">
        <f t="shared" si="1"/>
        <v>6536.7000000000007</v>
      </c>
      <c r="AQ20" s="105"/>
      <c r="AR20" s="83"/>
      <c r="AS20" s="83"/>
      <c r="AT20" s="83"/>
      <c r="AU20" s="107"/>
      <c r="AV20" s="103">
        <v>0</v>
      </c>
      <c r="AW20" s="94">
        <f t="shared" si="2"/>
        <v>6536.7000000000007</v>
      </c>
      <c r="AX20" s="83">
        <f t="shared" si="3"/>
        <v>653.67000000000007</v>
      </c>
      <c r="AY20" s="94">
        <f t="shared" si="4"/>
        <v>5883.0300000000007</v>
      </c>
      <c r="AZ20" s="83">
        <f t="shared" si="5"/>
        <v>0</v>
      </c>
      <c r="BA20" s="83">
        <f t="shared" si="6"/>
        <v>24.744799999999998</v>
      </c>
      <c r="BB20" s="94">
        <f t="shared" si="7"/>
        <v>6561.4448000000011</v>
      </c>
      <c r="BC20" s="153"/>
      <c r="BD20" s="85">
        <f t="shared" si="26"/>
        <v>-5883.0300000000007</v>
      </c>
      <c r="BE20" s="153"/>
      <c r="BF20" s="153"/>
      <c r="BG20" s="85">
        <f t="shared" si="27"/>
        <v>0</v>
      </c>
      <c r="BH20" s="86">
        <v>2765125111</v>
      </c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20"/>
      <c r="BT20" s="20"/>
      <c r="BU20" s="20"/>
      <c r="BV20" s="20"/>
      <c r="BY20" s="50">
        <f>+S20-'C&amp;A'!I20-SINDICATO!N20</f>
        <v>0</v>
      </c>
    </row>
    <row r="21" spans="1:77" x14ac:dyDescent="0.25">
      <c r="A21" s="19" t="s">
        <v>49</v>
      </c>
      <c r="B21" s="20" t="s">
        <v>50</v>
      </c>
      <c r="C21" s="21">
        <f t="shared" si="8"/>
        <v>3500</v>
      </c>
      <c r="D21" s="21">
        <v>0</v>
      </c>
      <c r="E21" s="21">
        <f t="shared" si="9"/>
        <v>11860.84</v>
      </c>
      <c r="F21" s="21">
        <f t="shared" si="10"/>
        <v>0</v>
      </c>
      <c r="G21" s="21">
        <f t="shared" si="11"/>
        <v>0</v>
      </c>
      <c r="H21" s="21">
        <v>0</v>
      </c>
      <c r="I21" s="21">
        <v>0</v>
      </c>
      <c r="J21" s="21">
        <f t="shared" si="12"/>
        <v>15360.84</v>
      </c>
      <c r="K21" s="21">
        <f t="shared" si="13"/>
        <v>0</v>
      </c>
      <c r="L21" s="21">
        <f t="shared" si="14"/>
        <v>45.15</v>
      </c>
      <c r="M21" s="21">
        <f t="shared" si="15"/>
        <v>0</v>
      </c>
      <c r="N21" s="21">
        <v>0</v>
      </c>
      <c r="O21" s="21"/>
      <c r="P21" s="21">
        <f t="shared" si="16"/>
        <v>0</v>
      </c>
      <c r="Q21" s="21">
        <f t="shared" si="17"/>
        <v>1531.5690000000002</v>
      </c>
      <c r="R21" s="21">
        <f t="shared" si="18"/>
        <v>1576.7190000000003</v>
      </c>
      <c r="S21" s="21">
        <f t="shared" si="19"/>
        <v>13784.120999999999</v>
      </c>
      <c r="T21" s="21">
        <f t="shared" si="20"/>
        <v>15315.69</v>
      </c>
      <c r="U21" s="21">
        <f t="shared" si="21"/>
        <v>0</v>
      </c>
      <c r="V21" s="21">
        <f>+'C&amp;A'!E21*0.02</f>
        <v>21.911999999999999</v>
      </c>
      <c r="W21" s="21">
        <f t="shared" si="22"/>
        <v>15337.602000000001</v>
      </c>
      <c r="X21" s="21">
        <f t="shared" si="23"/>
        <v>2454.0163200000002</v>
      </c>
      <c r="Y21" s="21">
        <f t="shared" si="24"/>
        <v>17791.618320000001</v>
      </c>
      <c r="Z21" s="171">
        <f t="shared" si="25"/>
        <v>0</v>
      </c>
      <c r="AA21" s="103" t="s">
        <v>221</v>
      </c>
      <c r="AB21" s="103" t="s">
        <v>49</v>
      </c>
      <c r="AC21" s="103" t="s">
        <v>222</v>
      </c>
      <c r="AD21" s="108"/>
      <c r="AE21" s="108"/>
      <c r="AF21" s="103" t="s">
        <v>131</v>
      </c>
      <c r="AG21" s="104"/>
      <c r="AH21" s="104"/>
      <c r="AI21" s="105">
        <v>1237.2399999999998</v>
      </c>
      <c r="AJ21" s="104">
        <v>2262.7600000000002</v>
      </c>
      <c r="AK21" s="105">
        <f t="shared" si="0"/>
        <v>3500</v>
      </c>
      <c r="AL21" s="105">
        <v>11860.84</v>
      </c>
      <c r="AM21" s="105"/>
      <c r="AN21" s="105"/>
      <c r="AO21" s="106">
        <v>45.15</v>
      </c>
      <c r="AP21" s="94">
        <f t="shared" si="1"/>
        <v>15315.69</v>
      </c>
      <c r="AQ21" s="105"/>
      <c r="AR21" s="83"/>
      <c r="AS21" s="83"/>
      <c r="AT21" s="83"/>
      <c r="AU21" s="107"/>
      <c r="AV21" s="103">
        <v>0</v>
      </c>
      <c r="AW21" s="94">
        <f t="shared" si="2"/>
        <v>15315.69</v>
      </c>
      <c r="AX21" s="83">
        <f t="shared" si="3"/>
        <v>1531.5690000000002</v>
      </c>
      <c r="AY21" s="94">
        <f t="shared" si="4"/>
        <v>13784.121000000001</v>
      </c>
      <c r="AZ21" s="83">
        <f t="shared" si="5"/>
        <v>0</v>
      </c>
      <c r="BA21" s="83">
        <f t="shared" si="6"/>
        <v>24.744799999999998</v>
      </c>
      <c r="BB21" s="94">
        <f t="shared" si="7"/>
        <v>15340.434800000001</v>
      </c>
      <c r="BC21" s="153"/>
      <c r="BD21" s="85">
        <f t="shared" si="26"/>
        <v>-13784.121000000001</v>
      </c>
      <c r="BE21" s="153"/>
      <c r="BF21" s="153"/>
      <c r="BG21" s="85">
        <f t="shared" si="27"/>
        <v>0</v>
      </c>
      <c r="BH21" s="86">
        <v>2943846814</v>
      </c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20"/>
      <c r="BT21" s="20"/>
      <c r="BU21" s="20"/>
      <c r="BV21" s="20"/>
      <c r="BY21" s="50">
        <f>+S21-'C&amp;A'!I21-SINDICATO!N21</f>
        <v>0</v>
      </c>
    </row>
    <row r="22" spans="1:77" x14ac:dyDescent="0.25">
      <c r="A22" s="19" t="s">
        <v>51</v>
      </c>
      <c r="B22" s="20" t="s">
        <v>52</v>
      </c>
      <c r="C22" s="21">
        <f t="shared" si="8"/>
        <v>5000</v>
      </c>
      <c r="D22" s="21">
        <v>0</v>
      </c>
      <c r="E22" s="21">
        <f t="shared" si="9"/>
        <v>34191.589999999997</v>
      </c>
      <c r="F22" s="21">
        <f t="shared" si="10"/>
        <v>0</v>
      </c>
      <c r="G22" s="21">
        <f t="shared" si="11"/>
        <v>0</v>
      </c>
      <c r="H22" s="21">
        <v>0</v>
      </c>
      <c r="I22" s="21">
        <v>0</v>
      </c>
      <c r="J22" s="21">
        <f t="shared" si="12"/>
        <v>39191.589999999997</v>
      </c>
      <c r="K22" s="21">
        <f t="shared" si="13"/>
        <v>500</v>
      </c>
      <c r="L22" s="21">
        <f t="shared" si="14"/>
        <v>45.15</v>
      </c>
      <c r="M22" s="21">
        <f t="shared" si="15"/>
        <v>0</v>
      </c>
      <c r="N22" s="21">
        <v>0</v>
      </c>
      <c r="O22" s="21"/>
      <c r="P22" s="21">
        <f t="shared" si="16"/>
        <v>345.44</v>
      </c>
      <c r="Q22" s="21">
        <f t="shared" si="17"/>
        <v>3914.6439999999998</v>
      </c>
      <c r="R22" s="21">
        <f t="shared" si="18"/>
        <v>4805.2339999999995</v>
      </c>
      <c r="S22" s="21">
        <f t="shared" si="19"/>
        <v>34386.356</v>
      </c>
      <c r="T22" s="21">
        <f t="shared" si="20"/>
        <v>39146.439999999995</v>
      </c>
      <c r="U22" s="21">
        <f t="shared" si="21"/>
        <v>0</v>
      </c>
      <c r="V22" s="21">
        <f>+'C&amp;A'!E22*0.02</f>
        <v>21.911999999999999</v>
      </c>
      <c r="W22" s="21">
        <f t="shared" si="22"/>
        <v>39168.351999999992</v>
      </c>
      <c r="X22" s="21">
        <f t="shared" si="23"/>
        <v>6266.9363199999989</v>
      </c>
      <c r="Y22" s="21">
        <f t="shared" si="24"/>
        <v>45435.288319999992</v>
      </c>
      <c r="Z22" s="171">
        <f t="shared" si="25"/>
        <v>0</v>
      </c>
      <c r="AA22" s="103" t="s">
        <v>218</v>
      </c>
      <c r="AB22" s="103">
        <v>43</v>
      </c>
      <c r="AC22" s="103" t="s">
        <v>223</v>
      </c>
      <c r="AD22" s="108"/>
      <c r="AE22" s="108"/>
      <c r="AF22" s="103" t="s">
        <v>140</v>
      </c>
      <c r="AG22" s="104"/>
      <c r="AH22" s="104"/>
      <c r="AI22" s="105">
        <v>1237.2399999999998</v>
      </c>
      <c r="AJ22" s="104">
        <v>3762.76</v>
      </c>
      <c r="AK22" s="105">
        <f t="shared" si="0"/>
        <v>5000</v>
      </c>
      <c r="AL22" s="105">
        <v>34191.589999999997</v>
      </c>
      <c r="AM22" s="105"/>
      <c r="AN22" s="105"/>
      <c r="AO22" s="106">
        <v>45.15</v>
      </c>
      <c r="AP22" s="94">
        <f t="shared" si="1"/>
        <v>39146.439999999995</v>
      </c>
      <c r="AQ22" s="105"/>
      <c r="AR22" s="83">
        <v>500</v>
      </c>
      <c r="AS22" s="83"/>
      <c r="AT22" s="83"/>
      <c r="AU22" s="107"/>
      <c r="AV22" s="103">
        <v>345.44</v>
      </c>
      <c r="AW22" s="94">
        <f>+AP22-SUM(AQ22:AV22)</f>
        <v>38300.999999999993</v>
      </c>
      <c r="AX22" s="83">
        <f t="shared" si="3"/>
        <v>3914.6439999999998</v>
      </c>
      <c r="AY22" s="94">
        <f t="shared" si="4"/>
        <v>34386.355999999992</v>
      </c>
      <c r="AZ22" s="83">
        <f t="shared" si="5"/>
        <v>0</v>
      </c>
      <c r="BA22" s="83">
        <f t="shared" si="6"/>
        <v>24.744799999999998</v>
      </c>
      <c r="BB22" s="94">
        <f t="shared" si="7"/>
        <v>39171.184799999995</v>
      </c>
      <c r="BC22" s="153"/>
      <c r="BD22" s="85">
        <f t="shared" si="26"/>
        <v>-34386.355999999992</v>
      </c>
      <c r="BE22" s="153"/>
      <c r="BF22" s="153"/>
      <c r="BG22" s="85">
        <f t="shared" si="27"/>
        <v>0</v>
      </c>
      <c r="BH22" s="86">
        <v>2637315589</v>
      </c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20"/>
      <c r="BT22" s="20"/>
      <c r="BU22" s="20"/>
      <c r="BV22" s="20"/>
      <c r="BY22" s="50">
        <f>+S22-'C&amp;A'!I22-SINDICATO!N22</f>
        <v>0</v>
      </c>
    </row>
    <row r="23" spans="1:77" ht="17.25" x14ac:dyDescent="0.35">
      <c r="A23" s="19" t="s">
        <v>53</v>
      </c>
      <c r="B23" s="20" t="s">
        <v>54</v>
      </c>
      <c r="C23" s="21">
        <f t="shared" si="8"/>
        <v>2750</v>
      </c>
      <c r="D23" s="21">
        <v>0</v>
      </c>
      <c r="E23" s="21">
        <f t="shared" si="9"/>
        <v>1750</v>
      </c>
      <c r="F23" s="21">
        <f t="shared" si="10"/>
        <v>0</v>
      </c>
      <c r="G23" s="21">
        <f t="shared" si="11"/>
        <v>0</v>
      </c>
      <c r="H23" s="21">
        <v>0</v>
      </c>
      <c r="I23" s="21">
        <v>0</v>
      </c>
      <c r="J23" s="21">
        <f t="shared" si="12"/>
        <v>4500</v>
      </c>
      <c r="K23" s="21">
        <f t="shared" si="13"/>
        <v>0</v>
      </c>
      <c r="L23" s="21">
        <f t="shared" si="14"/>
        <v>45.15</v>
      </c>
      <c r="M23" s="21">
        <f t="shared" si="15"/>
        <v>0</v>
      </c>
      <c r="N23" s="21">
        <v>0</v>
      </c>
      <c r="O23" s="115"/>
      <c r="P23" s="21">
        <f t="shared" si="16"/>
        <v>0</v>
      </c>
      <c r="Q23" s="21">
        <f t="shared" si="17"/>
        <v>0</v>
      </c>
      <c r="R23" s="21">
        <f t="shared" si="18"/>
        <v>45.15</v>
      </c>
      <c r="S23" s="21">
        <f t="shared" si="19"/>
        <v>4454.8500000000004</v>
      </c>
      <c r="T23" s="21">
        <f t="shared" si="20"/>
        <v>4454.8500000000004</v>
      </c>
      <c r="U23" s="21">
        <f t="shared" si="21"/>
        <v>445.48500000000007</v>
      </c>
      <c r="V23" s="21">
        <f>+'C&amp;A'!E23*0.02</f>
        <v>21.911999999999999</v>
      </c>
      <c r="W23" s="21">
        <f t="shared" si="22"/>
        <v>4922.2470000000003</v>
      </c>
      <c r="X23" s="21">
        <f t="shared" si="23"/>
        <v>787.55952000000002</v>
      </c>
      <c r="Y23" s="21">
        <f t="shared" si="24"/>
        <v>5709.8065200000001</v>
      </c>
      <c r="Z23" s="171">
        <f t="shared" si="25"/>
        <v>0</v>
      </c>
      <c r="AA23" s="103" t="s">
        <v>200</v>
      </c>
      <c r="AB23" s="103" t="s">
        <v>224</v>
      </c>
      <c r="AC23" s="103" t="s">
        <v>225</v>
      </c>
      <c r="AD23" s="108"/>
      <c r="AE23" s="108"/>
      <c r="AF23" s="103" t="s">
        <v>226</v>
      </c>
      <c r="AG23" s="104"/>
      <c r="AH23" s="104"/>
      <c r="AI23" s="105">
        <v>1237.2399999999998</v>
      </c>
      <c r="AJ23" s="104">
        <v>1512.7600000000002</v>
      </c>
      <c r="AK23" s="105">
        <f t="shared" si="0"/>
        <v>2750</v>
      </c>
      <c r="AL23" s="105">
        <v>1750</v>
      </c>
      <c r="AM23" s="105"/>
      <c r="AN23" s="105"/>
      <c r="AO23" s="106">
        <v>45.15</v>
      </c>
      <c r="AP23" s="94">
        <f t="shared" si="1"/>
        <v>4454.8500000000004</v>
      </c>
      <c r="AQ23" s="105"/>
      <c r="AR23" s="83"/>
      <c r="AS23" s="83"/>
      <c r="AT23" s="83"/>
      <c r="AU23" s="107"/>
      <c r="AV23" s="103">
        <v>0</v>
      </c>
      <c r="AW23" s="94">
        <f t="shared" si="2"/>
        <v>4454.8500000000004</v>
      </c>
      <c r="AX23" s="83">
        <f t="shared" si="3"/>
        <v>0</v>
      </c>
      <c r="AY23" s="94">
        <f t="shared" si="4"/>
        <v>4454.8500000000004</v>
      </c>
      <c r="AZ23" s="83">
        <f t="shared" si="5"/>
        <v>445.48500000000007</v>
      </c>
      <c r="BA23" s="83">
        <f t="shared" si="6"/>
        <v>24.744799999999998</v>
      </c>
      <c r="BB23" s="94">
        <f t="shared" si="7"/>
        <v>4925.0798000000004</v>
      </c>
      <c r="BC23" s="153"/>
      <c r="BD23" s="85">
        <f t="shared" si="26"/>
        <v>-4454.8500000000004</v>
      </c>
      <c r="BE23" s="153"/>
      <c r="BF23" s="153"/>
      <c r="BG23" s="85">
        <f>+BE23+BF23-BC23</f>
        <v>0</v>
      </c>
      <c r="BH23" s="86" t="s">
        <v>227</v>
      </c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20"/>
      <c r="BT23" s="20"/>
      <c r="BU23" s="20"/>
      <c r="BV23" s="20"/>
      <c r="BY23" s="50">
        <f>+S23-'C&amp;A'!I23-SINDICATO!N23</f>
        <v>0</v>
      </c>
    </row>
    <row r="24" spans="1:77" x14ac:dyDescent="0.25">
      <c r="A24" s="19" t="s">
        <v>55</v>
      </c>
      <c r="B24" s="20" t="s">
        <v>56</v>
      </c>
      <c r="C24" s="21">
        <f t="shared" si="8"/>
        <v>3500</v>
      </c>
      <c r="D24" s="21">
        <v>0</v>
      </c>
      <c r="E24" s="21">
        <f t="shared" si="9"/>
        <v>10500</v>
      </c>
      <c r="F24" s="21">
        <f t="shared" si="10"/>
        <v>0</v>
      </c>
      <c r="G24" s="21">
        <f t="shared" si="11"/>
        <v>0</v>
      </c>
      <c r="H24" s="21">
        <v>0</v>
      </c>
      <c r="I24" s="21">
        <v>0</v>
      </c>
      <c r="J24" s="21">
        <f t="shared" si="12"/>
        <v>14000</v>
      </c>
      <c r="K24" s="21">
        <f t="shared" si="13"/>
        <v>0</v>
      </c>
      <c r="L24" s="21">
        <f t="shared" si="14"/>
        <v>45.15</v>
      </c>
      <c r="M24" s="21">
        <f t="shared" si="15"/>
        <v>355.82</v>
      </c>
      <c r="N24" s="21">
        <v>0</v>
      </c>
      <c r="O24" s="21"/>
      <c r="P24" s="21">
        <f t="shared" si="16"/>
        <v>0</v>
      </c>
      <c r="Q24" s="21">
        <f t="shared" si="17"/>
        <v>1395.4850000000001</v>
      </c>
      <c r="R24" s="21">
        <f t="shared" si="18"/>
        <v>1796.4550000000002</v>
      </c>
      <c r="S24" s="21">
        <f t="shared" si="19"/>
        <v>12203.545</v>
      </c>
      <c r="T24" s="21">
        <f t="shared" si="20"/>
        <v>13954.85</v>
      </c>
      <c r="U24" s="21">
        <f t="shared" si="21"/>
        <v>0</v>
      </c>
      <c r="V24" s="21">
        <f>+'C&amp;A'!E24*0.02</f>
        <v>21.911999999999999</v>
      </c>
      <c r="W24" s="21">
        <f t="shared" si="22"/>
        <v>13976.762000000001</v>
      </c>
      <c r="X24" s="21">
        <f t="shared" si="23"/>
        <v>2236.2819200000004</v>
      </c>
      <c r="Y24" s="21">
        <f t="shared" si="24"/>
        <v>16213.04392</v>
      </c>
      <c r="Z24" s="171">
        <f t="shared" si="25"/>
        <v>0</v>
      </c>
      <c r="AA24" s="103" t="s">
        <v>203</v>
      </c>
      <c r="AB24" s="103" t="s">
        <v>55</v>
      </c>
      <c r="AC24" s="103" t="s">
        <v>228</v>
      </c>
      <c r="AD24" s="108"/>
      <c r="AE24" s="108"/>
      <c r="AF24" s="103" t="s">
        <v>133</v>
      </c>
      <c r="AG24" s="104"/>
      <c r="AH24" s="104"/>
      <c r="AI24" s="105">
        <v>1237.2399999999998</v>
      </c>
      <c r="AJ24" s="104">
        <v>2262.7600000000002</v>
      </c>
      <c r="AK24" s="105">
        <f t="shared" si="0"/>
        <v>3500</v>
      </c>
      <c r="AL24" s="105">
        <f>4500+6000</f>
        <v>10500</v>
      </c>
      <c r="AM24" s="105"/>
      <c r="AN24" s="105"/>
      <c r="AO24" s="106">
        <v>45.15</v>
      </c>
      <c r="AP24" s="94">
        <f t="shared" si="1"/>
        <v>13954.85</v>
      </c>
      <c r="AQ24" s="105"/>
      <c r="AR24" s="83"/>
      <c r="AS24" s="83"/>
      <c r="AT24" s="83"/>
      <c r="AU24" s="103">
        <v>355.82</v>
      </c>
      <c r="AV24" s="103">
        <v>0</v>
      </c>
      <c r="AW24" s="94">
        <f t="shared" si="2"/>
        <v>13599.03</v>
      </c>
      <c r="AX24" s="83">
        <f t="shared" si="3"/>
        <v>1395.4850000000001</v>
      </c>
      <c r="AY24" s="94">
        <f t="shared" si="4"/>
        <v>12203.545</v>
      </c>
      <c r="AZ24" s="83">
        <f t="shared" si="5"/>
        <v>0</v>
      </c>
      <c r="BA24" s="83">
        <f t="shared" si="6"/>
        <v>24.744799999999998</v>
      </c>
      <c r="BB24" s="94">
        <f t="shared" si="7"/>
        <v>13979.594800000001</v>
      </c>
      <c r="BC24" s="153"/>
      <c r="BD24" s="85">
        <f t="shared" si="26"/>
        <v>-12203.545</v>
      </c>
      <c r="BE24" s="153"/>
      <c r="BF24" s="153"/>
      <c r="BG24" s="85">
        <f t="shared" si="27"/>
        <v>0</v>
      </c>
      <c r="BH24" s="86">
        <v>2928980233</v>
      </c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20"/>
      <c r="BT24" s="20"/>
      <c r="BU24" s="20"/>
      <c r="BV24" s="20"/>
      <c r="BY24" s="50">
        <f>+S24-'C&amp;A'!I24-SINDICATO!N24</f>
        <v>0</v>
      </c>
    </row>
    <row r="25" spans="1:77" x14ac:dyDescent="0.25">
      <c r="A25" s="19" t="s">
        <v>58</v>
      </c>
      <c r="B25" s="20" t="s">
        <v>59</v>
      </c>
      <c r="C25" s="21">
        <f t="shared" si="8"/>
        <v>5000</v>
      </c>
      <c r="D25" s="21">
        <v>0</v>
      </c>
      <c r="E25" s="21">
        <f t="shared" si="9"/>
        <v>13550</v>
      </c>
      <c r="F25" s="21">
        <f t="shared" si="10"/>
        <v>0</v>
      </c>
      <c r="G25" s="21">
        <f t="shared" si="11"/>
        <v>0</v>
      </c>
      <c r="H25" s="21">
        <v>0</v>
      </c>
      <c r="I25" s="21">
        <v>0</v>
      </c>
      <c r="J25" s="21">
        <f t="shared" si="12"/>
        <v>18550</v>
      </c>
      <c r="K25" s="21">
        <f t="shared" si="13"/>
        <v>0</v>
      </c>
      <c r="L25" s="21">
        <f t="shared" si="14"/>
        <v>45.15</v>
      </c>
      <c r="M25" s="21">
        <f t="shared" si="15"/>
        <v>310.19</v>
      </c>
      <c r="N25" s="21">
        <v>0</v>
      </c>
      <c r="O25" s="21"/>
      <c r="P25" s="21">
        <f t="shared" si="16"/>
        <v>0</v>
      </c>
      <c r="Q25" s="21">
        <f t="shared" si="17"/>
        <v>1850.4849999999999</v>
      </c>
      <c r="R25" s="21">
        <f t="shared" si="18"/>
        <v>2205.8249999999998</v>
      </c>
      <c r="S25" s="21">
        <f t="shared" si="19"/>
        <v>16344.174999999999</v>
      </c>
      <c r="T25" s="21">
        <f t="shared" si="20"/>
        <v>18504.849999999999</v>
      </c>
      <c r="U25" s="21">
        <f t="shared" si="21"/>
        <v>0</v>
      </c>
      <c r="V25" s="21">
        <f>+'C&amp;A'!E25*0.02</f>
        <v>21.911999999999999</v>
      </c>
      <c r="W25" s="21">
        <f t="shared" si="22"/>
        <v>18526.761999999999</v>
      </c>
      <c r="X25" s="21">
        <f t="shared" si="23"/>
        <v>2964.2819199999999</v>
      </c>
      <c r="Y25" s="21">
        <f t="shared" si="24"/>
        <v>21491.04392</v>
      </c>
      <c r="Z25" s="171">
        <f t="shared" si="25"/>
        <v>0</v>
      </c>
      <c r="AA25" s="103" t="s">
        <v>203</v>
      </c>
      <c r="AB25" s="103" t="s">
        <v>58</v>
      </c>
      <c r="AC25" s="103" t="s">
        <v>232</v>
      </c>
      <c r="AD25" s="108"/>
      <c r="AE25" s="108"/>
      <c r="AF25" s="103" t="s">
        <v>131</v>
      </c>
      <c r="AG25" s="104"/>
      <c r="AH25" s="104"/>
      <c r="AI25" s="105">
        <v>1237.2399999999998</v>
      </c>
      <c r="AJ25" s="104">
        <v>3762.76</v>
      </c>
      <c r="AK25" s="105">
        <f t="shared" si="0"/>
        <v>5000</v>
      </c>
      <c r="AL25" s="105">
        <f>13000+550</f>
        <v>13550</v>
      </c>
      <c r="AM25" s="105"/>
      <c r="AN25" s="105"/>
      <c r="AO25" s="106">
        <v>45.15</v>
      </c>
      <c r="AP25" s="94">
        <f t="shared" si="1"/>
        <v>18504.849999999999</v>
      </c>
      <c r="AQ25" s="105"/>
      <c r="AR25" s="83"/>
      <c r="AS25" s="83"/>
      <c r="AT25" s="83"/>
      <c r="AU25" s="103">
        <v>310.19</v>
      </c>
      <c r="AV25" s="103">
        <v>0</v>
      </c>
      <c r="AW25" s="94">
        <f t="shared" si="2"/>
        <v>18194.66</v>
      </c>
      <c r="AX25" s="83">
        <f t="shared" si="3"/>
        <v>1850.4849999999999</v>
      </c>
      <c r="AY25" s="94">
        <f t="shared" si="4"/>
        <v>16344.174999999999</v>
      </c>
      <c r="AZ25" s="83">
        <f t="shared" si="5"/>
        <v>0</v>
      </c>
      <c r="BA25" s="83">
        <f t="shared" si="6"/>
        <v>24.744799999999998</v>
      </c>
      <c r="BB25" s="94">
        <f t="shared" si="7"/>
        <v>18529.594799999999</v>
      </c>
      <c r="BC25" s="153"/>
      <c r="BD25" s="85">
        <f t="shared" si="26"/>
        <v>-16344.174999999999</v>
      </c>
      <c r="BE25" s="153"/>
      <c r="BF25" s="153"/>
      <c r="BG25" s="85">
        <f t="shared" si="27"/>
        <v>0</v>
      </c>
      <c r="BH25" s="86">
        <v>2734223152</v>
      </c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20" t="s">
        <v>164</v>
      </c>
      <c r="BT25" s="20"/>
      <c r="BU25" s="20" t="s">
        <v>165</v>
      </c>
      <c r="BV25" s="20"/>
      <c r="BY25" s="50">
        <f>+S25-'C&amp;A'!I25-SINDICATO!N25</f>
        <v>0</v>
      </c>
    </row>
    <row r="26" spans="1:77" x14ac:dyDescent="0.25">
      <c r="A26" s="19" t="s">
        <v>60</v>
      </c>
      <c r="B26" s="20" t="s">
        <v>61</v>
      </c>
      <c r="C26" s="21">
        <f t="shared" si="8"/>
        <v>2750</v>
      </c>
      <c r="D26" s="21">
        <v>0</v>
      </c>
      <c r="E26" s="21">
        <f t="shared" si="9"/>
        <v>1500</v>
      </c>
      <c r="F26" s="21">
        <f t="shared" si="10"/>
        <v>0</v>
      </c>
      <c r="G26" s="21">
        <f t="shared" si="11"/>
        <v>0</v>
      </c>
      <c r="H26" s="21">
        <v>0</v>
      </c>
      <c r="I26" s="21">
        <v>0</v>
      </c>
      <c r="J26" s="21">
        <f t="shared" si="12"/>
        <v>4250</v>
      </c>
      <c r="K26" s="21">
        <f t="shared" si="13"/>
        <v>0</v>
      </c>
      <c r="L26" s="21">
        <f t="shared" si="14"/>
        <v>45.15</v>
      </c>
      <c r="M26" s="21">
        <f t="shared" si="15"/>
        <v>0</v>
      </c>
      <c r="N26" s="21">
        <v>0</v>
      </c>
      <c r="O26" s="21"/>
      <c r="P26" s="21">
        <f t="shared" si="16"/>
        <v>837.96</v>
      </c>
      <c r="Q26" s="21">
        <f t="shared" si="17"/>
        <v>0</v>
      </c>
      <c r="R26" s="21">
        <f t="shared" si="18"/>
        <v>883.11</v>
      </c>
      <c r="S26" s="21">
        <f t="shared" si="19"/>
        <v>3366.89</v>
      </c>
      <c r="T26" s="21">
        <f t="shared" si="20"/>
        <v>4204.8500000000004</v>
      </c>
      <c r="U26" s="21">
        <f t="shared" si="21"/>
        <v>420.48500000000007</v>
      </c>
      <c r="V26" s="21">
        <f>+'C&amp;A'!E26*0.02</f>
        <v>21.911999999999999</v>
      </c>
      <c r="W26" s="21">
        <f t="shared" si="22"/>
        <v>4647.2470000000003</v>
      </c>
      <c r="X26" s="21">
        <f t="shared" si="23"/>
        <v>743.55952000000002</v>
      </c>
      <c r="Y26" s="21">
        <f t="shared" si="24"/>
        <v>5390.8065200000001</v>
      </c>
      <c r="Z26" s="171">
        <f t="shared" si="25"/>
        <v>0</v>
      </c>
      <c r="AA26" s="103" t="s">
        <v>200</v>
      </c>
      <c r="AB26" s="103" t="s">
        <v>60</v>
      </c>
      <c r="AC26" s="103" t="s">
        <v>233</v>
      </c>
      <c r="AD26" s="108"/>
      <c r="AE26" s="108"/>
      <c r="AF26" s="103" t="s">
        <v>234</v>
      </c>
      <c r="AG26" s="104"/>
      <c r="AH26" s="104"/>
      <c r="AI26" s="105">
        <v>1237.2399999999998</v>
      </c>
      <c r="AJ26" s="104">
        <v>1512.7600000000002</v>
      </c>
      <c r="AK26" s="105">
        <f t="shared" si="0"/>
        <v>2750</v>
      </c>
      <c r="AL26" s="105">
        <v>1500</v>
      </c>
      <c r="AM26" s="105"/>
      <c r="AN26" s="105"/>
      <c r="AO26" s="106">
        <v>45.15</v>
      </c>
      <c r="AP26" s="94">
        <f t="shared" si="1"/>
        <v>4204.8500000000004</v>
      </c>
      <c r="AQ26" s="105"/>
      <c r="AR26" s="83"/>
      <c r="AS26" s="83"/>
      <c r="AT26" s="83"/>
      <c r="AU26" s="107"/>
      <c r="AV26" s="103">
        <v>837.96</v>
      </c>
      <c r="AW26" s="94">
        <f t="shared" si="2"/>
        <v>3366.8900000000003</v>
      </c>
      <c r="AX26" s="83">
        <f t="shared" si="3"/>
        <v>0</v>
      </c>
      <c r="AY26" s="94">
        <f t="shared" si="4"/>
        <v>3366.8900000000003</v>
      </c>
      <c r="AZ26" s="83">
        <f t="shared" si="5"/>
        <v>420.48500000000007</v>
      </c>
      <c r="BA26" s="83">
        <f t="shared" si="6"/>
        <v>24.744799999999998</v>
      </c>
      <c r="BB26" s="94">
        <f t="shared" si="7"/>
        <v>4650.0798000000004</v>
      </c>
      <c r="BC26" s="153"/>
      <c r="BD26" s="85">
        <f t="shared" si="26"/>
        <v>-3366.8900000000003</v>
      </c>
      <c r="BE26" s="153"/>
      <c r="BF26" s="153"/>
      <c r="BG26" s="85">
        <f t="shared" si="27"/>
        <v>0</v>
      </c>
      <c r="BH26" s="86">
        <v>2897100388</v>
      </c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20"/>
      <c r="BT26" s="20"/>
      <c r="BU26" s="20"/>
      <c r="BV26" s="20"/>
      <c r="BY26" s="50">
        <f>+S26-'C&amp;A'!I26-SINDICATO!N26</f>
        <v>0</v>
      </c>
    </row>
    <row r="27" spans="1:77" x14ac:dyDescent="0.25">
      <c r="A27" s="19" t="s">
        <v>62</v>
      </c>
      <c r="B27" s="20" t="s">
        <v>63</v>
      </c>
      <c r="C27" s="21">
        <f t="shared" si="8"/>
        <v>3000</v>
      </c>
      <c r="D27" s="21">
        <v>0</v>
      </c>
      <c r="E27" s="21">
        <f t="shared" si="9"/>
        <v>7663.7</v>
      </c>
      <c r="F27" s="21">
        <f t="shared" si="10"/>
        <v>0</v>
      </c>
      <c r="G27" s="21">
        <f t="shared" si="11"/>
        <v>0</v>
      </c>
      <c r="H27" s="21">
        <v>0</v>
      </c>
      <c r="I27" s="21">
        <v>0</v>
      </c>
      <c r="J27" s="21">
        <f t="shared" si="12"/>
        <v>10663.7</v>
      </c>
      <c r="K27" s="21">
        <f t="shared" si="13"/>
        <v>0</v>
      </c>
      <c r="L27" s="21">
        <f t="shared" si="14"/>
        <v>45.15</v>
      </c>
      <c r="M27" s="21">
        <f t="shared" si="15"/>
        <v>0</v>
      </c>
      <c r="N27" s="21">
        <v>0</v>
      </c>
      <c r="O27" s="21"/>
      <c r="P27" s="21">
        <f t="shared" si="16"/>
        <v>0</v>
      </c>
      <c r="Q27" s="21">
        <f t="shared" si="17"/>
        <v>1061.8550000000002</v>
      </c>
      <c r="R27" s="21">
        <f t="shared" si="18"/>
        <v>1107.0050000000003</v>
      </c>
      <c r="S27" s="21">
        <f t="shared" si="19"/>
        <v>9556.6949999999997</v>
      </c>
      <c r="T27" s="21">
        <f t="shared" si="20"/>
        <v>10618.550000000001</v>
      </c>
      <c r="U27" s="21">
        <f t="shared" si="21"/>
        <v>0</v>
      </c>
      <c r="V27" s="21">
        <f>+'C&amp;A'!E27*0.02</f>
        <v>21.911999999999999</v>
      </c>
      <c r="W27" s="21">
        <f t="shared" si="22"/>
        <v>10640.462000000001</v>
      </c>
      <c r="X27" s="21">
        <f t="shared" si="23"/>
        <v>1702.4739200000004</v>
      </c>
      <c r="Y27" s="21">
        <f t="shared" si="24"/>
        <v>12342.935920000002</v>
      </c>
      <c r="Z27" s="171">
        <f t="shared" si="25"/>
        <v>0</v>
      </c>
      <c r="AA27" s="103" t="s">
        <v>210</v>
      </c>
      <c r="AB27" s="103" t="s">
        <v>62</v>
      </c>
      <c r="AC27" s="103" t="s">
        <v>235</v>
      </c>
      <c r="AD27" s="104"/>
      <c r="AE27" s="104"/>
      <c r="AF27" s="103" t="s">
        <v>236</v>
      </c>
      <c r="AG27" s="104"/>
      <c r="AH27" s="104"/>
      <c r="AI27" s="105">
        <v>1237.2399999999998</v>
      </c>
      <c r="AJ27" s="104">
        <v>1762.7600000000002</v>
      </c>
      <c r="AK27" s="105">
        <f t="shared" si="0"/>
        <v>3000</v>
      </c>
      <c r="AL27" s="105">
        <f>4663.7+3000</f>
        <v>7663.7</v>
      </c>
      <c r="AM27" s="105"/>
      <c r="AN27" s="105"/>
      <c r="AO27" s="106">
        <v>45.15</v>
      </c>
      <c r="AP27" s="94">
        <f t="shared" si="1"/>
        <v>10618.550000000001</v>
      </c>
      <c r="AQ27" s="105"/>
      <c r="AR27" s="83"/>
      <c r="AS27" s="83"/>
      <c r="AT27" s="83"/>
      <c r="AU27" s="107"/>
      <c r="AV27" s="103">
        <v>0</v>
      </c>
      <c r="AW27" s="94">
        <f t="shared" si="2"/>
        <v>10618.550000000001</v>
      </c>
      <c r="AX27" s="83">
        <f t="shared" si="3"/>
        <v>1061.8550000000002</v>
      </c>
      <c r="AY27" s="94">
        <f t="shared" si="4"/>
        <v>9556.6950000000015</v>
      </c>
      <c r="AZ27" s="83">
        <f t="shared" si="5"/>
        <v>0</v>
      </c>
      <c r="BA27" s="83">
        <f t="shared" si="6"/>
        <v>24.744799999999998</v>
      </c>
      <c r="BB27" s="94">
        <f t="shared" si="7"/>
        <v>10643.294800000001</v>
      </c>
      <c r="BC27" s="153"/>
      <c r="BD27" s="85">
        <f t="shared" si="26"/>
        <v>-9556.6950000000015</v>
      </c>
      <c r="BE27" s="153"/>
      <c r="BF27" s="153"/>
      <c r="BG27" s="85">
        <f t="shared" si="27"/>
        <v>0</v>
      </c>
      <c r="BH27" s="86">
        <v>2743852393</v>
      </c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20"/>
      <c r="BT27" s="20"/>
      <c r="BU27" s="20"/>
      <c r="BV27" s="20"/>
      <c r="BY27" s="50">
        <f>+S27-'C&amp;A'!I27-SINDICATO!N27</f>
        <v>0</v>
      </c>
    </row>
    <row r="28" spans="1:77" x14ac:dyDescent="0.25">
      <c r="A28" s="19" t="s">
        <v>64</v>
      </c>
      <c r="B28" s="20" t="s">
        <v>65</v>
      </c>
      <c r="C28" s="21">
        <f t="shared" si="8"/>
        <v>3000</v>
      </c>
      <c r="D28" s="21">
        <v>0</v>
      </c>
      <c r="E28" s="21">
        <f t="shared" si="9"/>
        <v>3500</v>
      </c>
      <c r="F28" s="21">
        <f t="shared" si="10"/>
        <v>0</v>
      </c>
      <c r="G28" s="21">
        <f t="shared" si="11"/>
        <v>0</v>
      </c>
      <c r="H28" s="21">
        <v>0</v>
      </c>
      <c r="I28" s="21">
        <v>0</v>
      </c>
      <c r="J28" s="21">
        <f t="shared" si="12"/>
        <v>6500</v>
      </c>
      <c r="K28" s="21">
        <f t="shared" si="13"/>
        <v>0</v>
      </c>
      <c r="L28" s="21">
        <f t="shared" si="14"/>
        <v>45.15</v>
      </c>
      <c r="M28" s="21">
        <f t="shared" si="15"/>
        <v>0</v>
      </c>
      <c r="N28" s="21">
        <v>0</v>
      </c>
      <c r="O28" s="21"/>
      <c r="P28" s="21">
        <f t="shared" si="16"/>
        <v>0</v>
      </c>
      <c r="Q28" s="21">
        <f t="shared" si="17"/>
        <v>645.48500000000013</v>
      </c>
      <c r="R28" s="21">
        <f t="shared" si="18"/>
        <v>690.6350000000001</v>
      </c>
      <c r="S28" s="21">
        <f t="shared" si="19"/>
        <v>5809.3649999999998</v>
      </c>
      <c r="T28" s="21">
        <f t="shared" si="20"/>
        <v>6454.85</v>
      </c>
      <c r="U28" s="21">
        <f t="shared" si="21"/>
        <v>0</v>
      </c>
      <c r="V28" s="21">
        <f>+'C&amp;A'!E28*0.02</f>
        <v>21.911999999999999</v>
      </c>
      <c r="W28" s="21">
        <f t="shared" si="22"/>
        <v>6476.7620000000006</v>
      </c>
      <c r="X28" s="21">
        <f t="shared" si="23"/>
        <v>1036.2819200000001</v>
      </c>
      <c r="Y28" s="21">
        <f t="shared" si="24"/>
        <v>7513.043920000001</v>
      </c>
      <c r="Z28" s="171">
        <f t="shared" si="25"/>
        <v>0</v>
      </c>
      <c r="AA28" s="103" t="s">
        <v>221</v>
      </c>
      <c r="AB28" s="103" t="s">
        <v>64</v>
      </c>
      <c r="AC28" s="103" t="s">
        <v>237</v>
      </c>
      <c r="AD28" s="108"/>
      <c r="AE28" s="108"/>
      <c r="AF28" s="103" t="s">
        <v>238</v>
      </c>
      <c r="AG28" s="104"/>
      <c r="AH28" s="104"/>
      <c r="AI28" s="105">
        <v>1237.2399999999998</v>
      </c>
      <c r="AJ28" s="104">
        <v>1762.7600000000002</v>
      </c>
      <c r="AK28" s="105">
        <f t="shared" si="0"/>
        <v>3000</v>
      </c>
      <c r="AL28" s="105">
        <v>3500</v>
      </c>
      <c r="AM28" s="105"/>
      <c r="AN28" s="105"/>
      <c r="AO28" s="106">
        <v>45.15</v>
      </c>
      <c r="AP28" s="94">
        <f t="shared" si="1"/>
        <v>6454.85</v>
      </c>
      <c r="AQ28" s="105"/>
      <c r="AR28" s="83"/>
      <c r="AS28" s="83"/>
      <c r="AT28" s="83"/>
      <c r="AU28" s="107"/>
      <c r="AV28" s="103">
        <v>0</v>
      </c>
      <c r="AW28" s="94">
        <f t="shared" si="2"/>
        <v>6454.85</v>
      </c>
      <c r="AX28" s="83">
        <f t="shared" si="3"/>
        <v>645.48500000000013</v>
      </c>
      <c r="AY28" s="94">
        <f t="shared" si="4"/>
        <v>5809.3649999999998</v>
      </c>
      <c r="AZ28" s="83">
        <f t="shared" si="5"/>
        <v>0</v>
      </c>
      <c r="BA28" s="83">
        <f t="shared" si="6"/>
        <v>24.744799999999998</v>
      </c>
      <c r="BB28" s="94">
        <f t="shared" si="7"/>
        <v>6479.5948000000008</v>
      </c>
      <c r="BC28" s="153"/>
      <c r="BD28" s="85">
        <f t="shared" si="26"/>
        <v>-5809.3649999999998</v>
      </c>
      <c r="BE28" s="153"/>
      <c r="BF28" s="153"/>
      <c r="BG28" s="85">
        <f t="shared" si="27"/>
        <v>0</v>
      </c>
      <c r="BH28" s="86">
        <v>2949799338</v>
      </c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20"/>
      <c r="BT28" s="20"/>
      <c r="BU28" s="20"/>
      <c r="BV28" s="20"/>
      <c r="BY28" s="50">
        <f>+S28-'C&amp;A'!I28-SINDICATO!N28</f>
        <v>0</v>
      </c>
    </row>
    <row r="29" spans="1:77" x14ac:dyDescent="0.25">
      <c r="A29" s="19" t="s">
        <v>66</v>
      </c>
      <c r="B29" s="20" t="s">
        <v>67</v>
      </c>
      <c r="C29" s="21">
        <f t="shared" si="8"/>
        <v>2500</v>
      </c>
      <c r="D29" s="21">
        <v>0</v>
      </c>
      <c r="E29" s="21">
        <f t="shared" si="9"/>
        <v>4171</v>
      </c>
      <c r="F29" s="21">
        <f t="shared" si="10"/>
        <v>0</v>
      </c>
      <c r="G29" s="21">
        <f t="shared" si="11"/>
        <v>0</v>
      </c>
      <c r="H29" s="21">
        <v>0</v>
      </c>
      <c r="I29" s="21">
        <v>0</v>
      </c>
      <c r="J29" s="21">
        <f t="shared" si="12"/>
        <v>6671</v>
      </c>
      <c r="K29" s="21">
        <f t="shared" si="13"/>
        <v>0</v>
      </c>
      <c r="L29" s="21">
        <f t="shared" si="14"/>
        <v>45.15</v>
      </c>
      <c r="M29" s="21">
        <f t="shared" si="15"/>
        <v>0</v>
      </c>
      <c r="N29" s="21">
        <v>0</v>
      </c>
      <c r="O29" s="21"/>
      <c r="P29" s="21">
        <f t="shared" si="16"/>
        <v>0</v>
      </c>
      <c r="Q29" s="21">
        <f t="shared" si="17"/>
        <v>662.58500000000004</v>
      </c>
      <c r="R29" s="21">
        <f t="shared" si="18"/>
        <v>707.73500000000001</v>
      </c>
      <c r="S29" s="21">
        <f t="shared" si="19"/>
        <v>5963.2650000000003</v>
      </c>
      <c r="T29" s="21">
        <f t="shared" si="20"/>
        <v>6625.85</v>
      </c>
      <c r="U29" s="21">
        <f t="shared" si="21"/>
        <v>0</v>
      </c>
      <c r="V29" s="21">
        <f>+'C&amp;A'!E29*0.02</f>
        <v>21.911999999999999</v>
      </c>
      <c r="W29" s="21">
        <f t="shared" si="22"/>
        <v>6647.7620000000006</v>
      </c>
      <c r="X29" s="21">
        <f t="shared" si="23"/>
        <v>1063.64192</v>
      </c>
      <c r="Y29" s="21">
        <f t="shared" si="24"/>
        <v>7711.4039200000007</v>
      </c>
      <c r="Z29" s="171">
        <f t="shared" si="25"/>
        <v>0</v>
      </c>
      <c r="AA29" s="103" t="s">
        <v>229</v>
      </c>
      <c r="AB29" s="103" t="s">
        <v>66</v>
      </c>
      <c r="AC29" s="103" t="s">
        <v>239</v>
      </c>
      <c r="AD29" s="104"/>
      <c r="AE29" s="104"/>
      <c r="AF29" s="103" t="s">
        <v>141</v>
      </c>
      <c r="AG29" s="104"/>
      <c r="AH29" s="104"/>
      <c r="AI29" s="105">
        <v>1237.2399999999998</v>
      </c>
      <c r="AJ29" s="104">
        <v>1262.7600000000002</v>
      </c>
      <c r="AK29" s="105">
        <f t="shared" si="0"/>
        <v>2500</v>
      </c>
      <c r="AL29" s="105">
        <v>4171</v>
      </c>
      <c r="AM29" s="105"/>
      <c r="AN29" s="105"/>
      <c r="AO29" s="106">
        <v>45.15</v>
      </c>
      <c r="AP29" s="94">
        <f t="shared" si="1"/>
        <v>6625.85</v>
      </c>
      <c r="AQ29" s="105"/>
      <c r="AR29" s="83"/>
      <c r="AS29" s="83"/>
      <c r="AT29" s="83"/>
      <c r="AU29" s="107"/>
      <c r="AV29" s="103">
        <v>0</v>
      </c>
      <c r="AW29" s="94">
        <f t="shared" si="2"/>
        <v>6625.85</v>
      </c>
      <c r="AX29" s="83">
        <f t="shared" si="3"/>
        <v>662.58500000000004</v>
      </c>
      <c r="AY29" s="94">
        <f t="shared" si="4"/>
        <v>5963.2650000000003</v>
      </c>
      <c r="AZ29" s="83">
        <f t="shared" si="5"/>
        <v>0</v>
      </c>
      <c r="BA29" s="83">
        <f t="shared" si="6"/>
        <v>24.744799999999998</v>
      </c>
      <c r="BB29" s="94">
        <f t="shared" si="7"/>
        <v>6650.5948000000008</v>
      </c>
      <c r="BC29" s="153"/>
      <c r="BD29" s="85">
        <f t="shared" si="26"/>
        <v>-5963.2650000000003</v>
      </c>
      <c r="BE29" s="153"/>
      <c r="BF29" s="153"/>
      <c r="BG29" s="85">
        <f t="shared" si="27"/>
        <v>0</v>
      </c>
      <c r="BH29" s="86">
        <v>2945821312</v>
      </c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20" t="s">
        <v>164</v>
      </c>
      <c r="BT29" s="20"/>
      <c r="BU29" s="20" t="s">
        <v>165</v>
      </c>
      <c r="BV29" s="20"/>
      <c r="BY29" s="50">
        <f>+S29-'C&amp;A'!I29-SINDICATO!N29</f>
        <v>0</v>
      </c>
    </row>
    <row r="30" spans="1:77" x14ac:dyDescent="0.25">
      <c r="A30" s="19" t="s">
        <v>68</v>
      </c>
      <c r="B30" s="20" t="s">
        <v>69</v>
      </c>
      <c r="C30" s="21">
        <f t="shared" si="8"/>
        <v>2500</v>
      </c>
      <c r="D30" s="21">
        <v>0</v>
      </c>
      <c r="E30" s="21">
        <f t="shared" si="9"/>
        <v>1340</v>
      </c>
      <c r="F30" s="21">
        <f t="shared" si="10"/>
        <v>0</v>
      </c>
      <c r="G30" s="21">
        <f t="shared" si="11"/>
        <v>0</v>
      </c>
      <c r="H30" s="21">
        <v>0</v>
      </c>
      <c r="I30" s="21">
        <v>0</v>
      </c>
      <c r="J30" s="21">
        <f t="shared" si="12"/>
        <v>3840</v>
      </c>
      <c r="K30" s="21">
        <f t="shared" si="13"/>
        <v>0</v>
      </c>
      <c r="L30" s="21">
        <f t="shared" si="14"/>
        <v>45.15</v>
      </c>
      <c r="M30" s="21">
        <f t="shared" si="15"/>
        <v>0</v>
      </c>
      <c r="N30" s="21">
        <v>0</v>
      </c>
      <c r="O30" s="21"/>
      <c r="P30" s="21">
        <f t="shared" si="16"/>
        <v>1075.52</v>
      </c>
      <c r="Q30" s="21">
        <f t="shared" si="17"/>
        <v>0</v>
      </c>
      <c r="R30" s="21">
        <f t="shared" si="18"/>
        <v>1120.67</v>
      </c>
      <c r="S30" s="21">
        <f t="shared" si="19"/>
        <v>2719.33</v>
      </c>
      <c r="T30" s="21">
        <f t="shared" si="20"/>
        <v>3794.85</v>
      </c>
      <c r="U30" s="21">
        <f t="shared" si="21"/>
        <v>379.48500000000001</v>
      </c>
      <c r="V30" s="21">
        <f>+'C&amp;A'!E30*0.02</f>
        <v>21.911999999999999</v>
      </c>
      <c r="W30" s="21">
        <f t="shared" si="22"/>
        <v>4196.2470000000003</v>
      </c>
      <c r="X30" s="21">
        <f t="shared" si="23"/>
        <v>671.39952000000005</v>
      </c>
      <c r="Y30" s="21">
        <f t="shared" si="24"/>
        <v>4867.6465200000002</v>
      </c>
      <c r="Z30" s="171">
        <f t="shared" si="25"/>
        <v>0</v>
      </c>
      <c r="AA30" s="103" t="s">
        <v>218</v>
      </c>
      <c r="AB30" s="103" t="s">
        <v>240</v>
      </c>
      <c r="AC30" s="103" t="s">
        <v>359</v>
      </c>
      <c r="AD30" s="108"/>
      <c r="AE30" s="108"/>
      <c r="AF30" s="103" t="s">
        <v>146</v>
      </c>
      <c r="AG30" s="104"/>
      <c r="AH30" s="104"/>
      <c r="AI30" s="105">
        <v>1237.2399999999998</v>
      </c>
      <c r="AJ30" s="104">
        <v>1262.7600000000002</v>
      </c>
      <c r="AK30" s="105">
        <f t="shared" si="0"/>
        <v>2500</v>
      </c>
      <c r="AL30" s="105">
        <f>840+500</f>
        <v>1340</v>
      </c>
      <c r="AM30" s="105"/>
      <c r="AN30" s="105"/>
      <c r="AO30" s="106">
        <v>45.15</v>
      </c>
      <c r="AP30" s="94">
        <f t="shared" si="1"/>
        <v>3794.85</v>
      </c>
      <c r="AQ30" s="105"/>
      <c r="AR30" s="83"/>
      <c r="AS30" s="83"/>
      <c r="AT30" s="83"/>
      <c r="AU30" s="107"/>
      <c r="AV30" s="172">
        <v>1075.52</v>
      </c>
      <c r="AW30" s="94">
        <f t="shared" si="2"/>
        <v>2719.33</v>
      </c>
      <c r="AX30" s="83">
        <f t="shared" si="3"/>
        <v>0</v>
      </c>
      <c r="AY30" s="94">
        <f t="shared" si="4"/>
        <v>2719.33</v>
      </c>
      <c r="AZ30" s="83">
        <f t="shared" si="5"/>
        <v>379.48500000000001</v>
      </c>
      <c r="BA30" s="83">
        <f t="shared" si="6"/>
        <v>24.744799999999998</v>
      </c>
      <c r="BB30" s="94">
        <f t="shared" si="7"/>
        <v>4199.0798000000004</v>
      </c>
      <c r="BC30" s="153"/>
      <c r="BD30" s="85">
        <f t="shared" si="26"/>
        <v>-2719.33</v>
      </c>
      <c r="BE30" s="153"/>
      <c r="BF30" s="153"/>
      <c r="BG30" s="85">
        <f t="shared" si="27"/>
        <v>0</v>
      </c>
      <c r="BH30" s="86">
        <v>2871132644</v>
      </c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20"/>
      <c r="BT30" s="20"/>
      <c r="BU30" s="20"/>
      <c r="BV30" s="20"/>
      <c r="BY30" s="50">
        <f>+S30-'C&amp;A'!I30-SINDICATO!N30</f>
        <v>0</v>
      </c>
    </row>
    <row r="31" spans="1:77" x14ac:dyDescent="0.25">
      <c r="A31" s="19" t="s">
        <v>74</v>
      </c>
      <c r="B31" s="20" t="s">
        <v>75</v>
      </c>
      <c r="C31" s="21">
        <f t="shared" si="8"/>
        <v>4000</v>
      </c>
      <c r="D31" s="21">
        <v>0</v>
      </c>
      <c r="E31" s="21">
        <f t="shared" si="9"/>
        <v>0</v>
      </c>
      <c r="F31" s="21">
        <f t="shared" si="10"/>
        <v>0</v>
      </c>
      <c r="G31" s="21">
        <f t="shared" si="11"/>
        <v>0</v>
      </c>
      <c r="H31" s="21">
        <v>0</v>
      </c>
      <c r="I31" s="21">
        <v>0</v>
      </c>
      <c r="J31" s="21">
        <f t="shared" si="12"/>
        <v>4000</v>
      </c>
      <c r="K31" s="21">
        <f t="shared" si="13"/>
        <v>0</v>
      </c>
      <c r="L31" s="21">
        <f t="shared" si="14"/>
        <v>45.15</v>
      </c>
      <c r="M31" s="21">
        <f t="shared" si="15"/>
        <v>0</v>
      </c>
      <c r="N31" s="21">
        <v>0</v>
      </c>
      <c r="O31" s="21"/>
      <c r="P31" s="21">
        <f t="shared" si="16"/>
        <v>1146.5999999999999</v>
      </c>
      <c r="Q31" s="21">
        <f t="shared" si="17"/>
        <v>0</v>
      </c>
      <c r="R31" s="21">
        <f t="shared" si="18"/>
        <v>1191.75</v>
      </c>
      <c r="S31" s="21">
        <f t="shared" si="19"/>
        <v>2808.25</v>
      </c>
      <c r="T31" s="21">
        <f t="shared" si="20"/>
        <v>3954.85</v>
      </c>
      <c r="U31" s="21">
        <f t="shared" si="21"/>
        <v>395.48500000000001</v>
      </c>
      <c r="V31" s="21">
        <f>+'C&amp;A'!E31*0.02</f>
        <v>21.911999999999999</v>
      </c>
      <c r="W31" s="21">
        <f t="shared" si="22"/>
        <v>4372.2470000000003</v>
      </c>
      <c r="X31" s="21">
        <f t="shared" si="23"/>
        <v>699.55952000000002</v>
      </c>
      <c r="Y31" s="21">
        <f t="shared" si="24"/>
        <v>5071.8065200000001</v>
      </c>
      <c r="Z31" s="171">
        <f t="shared" si="25"/>
        <v>0</v>
      </c>
      <c r="AA31" s="103" t="s">
        <v>203</v>
      </c>
      <c r="AB31" s="103" t="s">
        <v>74</v>
      </c>
      <c r="AC31" s="103" t="s">
        <v>243</v>
      </c>
      <c r="AD31" s="108"/>
      <c r="AE31" s="108"/>
      <c r="AF31" s="103" t="s">
        <v>132</v>
      </c>
      <c r="AG31" s="104" t="s">
        <v>206</v>
      </c>
      <c r="AH31" s="104"/>
      <c r="AI31" s="105">
        <v>1237.2399999999998</v>
      </c>
      <c r="AJ31" s="104">
        <v>2762.76</v>
      </c>
      <c r="AK31" s="105">
        <f>+AI31+AJ31</f>
        <v>4000</v>
      </c>
      <c r="AL31" s="105"/>
      <c r="AM31" s="173"/>
      <c r="AN31" s="105"/>
      <c r="AO31" s="106">
        <v>45.15</v>
      </c>
      <c r="AP31" s="94">
        <f>SUM(AK31:AN31)-AO31</f>
        <v>3954.85</v>
      </c>
      <c r="AQ31" s="105"/>
      <c r="AR31" s="83"/>
      <c r="AS31" s="83"/>
      <c r="AT31" s="83"/>
      <c r="AU31" s="107"/>
      <c r="AV31" s="172">
        <v>1146.5999999999999</v>
      </c>
      <c r="AW31" s="94">
        <f>+AP31-SUM(AQ31:AV31)</f>
        <v>2808.25</v>
      </c>
      <c r="AX31" s="83">
        <f>IF(AP31&gt;4500,AP31*0.1,0)</f>
        <v>0</v>
      </c>
      <c r="AY31" s="94">
        <f>+AW31-AX31</f>
        <v>2808.25</v>
      </c>
      <c r="AZ31" s="83">
        <f>IF(AP31&lt;4500,AP31*0.1,0)</f>
        <v>395.48500000000001</v>
      </c>
      <c r="BA31" s="83">
        <f>AI31*0.02</f>
        <v>24.744799999999998</v>
      </c>
      <c r="BB31" s="94">
        <f>+AP31+AZ31+BA31</f>
        <v>4375.0798000000004</v>
      </c>
      <c r="BC31" s="153"/>
      <c r="BD31" s="85">
        <f>+BC31-AY31</f>
        <v>-2808.25</v>
      </c>
      <c r="BE31" s="153"/>
      <c r="BF31" s="153"/>
      <c r="BG31" s="85">
        <f>+BE31+BF31-BC31</f>
        <v>0</v>
      </c>
      <c r="BH31" s="86">
        <v>1109785957</v>
      </c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20"/>
      <c r="BT31" s="20"/>
      <c r="BU31" s="20"/>
      <c r="BV31" s="20"/>
      <c r="BY31" s="50">
        <f>+S31-'C&amp;A'!I31-SINDICATO!N31</f>
        <v>0</v>
      </c>
    </row>
    <row r="32" spans="1:77" x14ac:dyDescent="0.25">
      <c r="A32" s="19" t="s">
        <v>70</v>
      </c>
      <c r="B32" s="20" t="s">
        <v>71</v>
      </c>
      <c r="C32" s="21">
        <f t="shared" si="8"/>
        <v>2000</v>
      </c>
      <c r="D32" s="21">
        <v>0</v>
      </c>
      <c r="E32" s="21">
        <f t="shared" si="9"/>
        <v>1750</v>
      </c>
      <c r="F32" s="21">
        <f t="shared" si="10"/>
        <v>0</v>
      </c>
      <c r="G32" s="21">
        <f t="shared" si="11"/>
        <v>0</v>
      </c>
      <c r="H32" s="21">
        <v>0</v>
      </c>
      <c r="I32" s="21">
        <v>0</v>
      </c>
      <c r="J32" s="21">
        <f t="shared" si="12"/>
        <v>3750</v>
      </c>
      <c r="K32" s="21">
        <f t="shared" si="13"/>
        <v>0</v>
      </c>
      <c r="L32" s="21">
        <f t="shared" si="14"/>
        <v>45.15</v>
      </c>
      <c r="M32" s="21">
        <f t="shared" si="15"/>
        <v>0</v>
      </c>
      <c r="N32" s="21">
        <v>0</v>
      </c>
      <c r="O32" s="21"/>
      <c r="P32" s="21">
        <f t="shared" si="16"/>
        <v>0</v>
      </c>
      <c r="Q32" s="21">
        <f t="shared" si="17"/>
        <v>0</v>
      </c>
      <c r="R32" s="21">
        <f t="shared" si="18"/>
        <v>45.15</v>
      </c>
      <c r="S32" s="21">
        <f t="shared" si="19"/>
        <v>3704.85</v>
      </c>
      <c r="T32" s="21">
        <f t="shared" si="20"/>
        <v>3704.85</v>
      </c>
      <c r="U32" s="21">
        <f t="shared" si="21"/>
        <v>370.48500000000001</v>
      </c>
      <c r="V32" s="21">
        <f>+'C&amp;A'!E32*0.02</f>
        <v>21.911999999999999</v>
      </c>
      <c r="W32" s="21">
        <f t="shared" si="22"/>
        <v>4097.2470000000003</v>
      </c>
      <c r="X32" s="21">
        <f t="shared" si="23"/>
        <v>655.55952000000002</v>
      </c>
      <c r="Y32" s="21">
        <f t="shared" si="24"/>
        <v>4752.8065200000001</v>
      </c>
      <c r="Z32" s="171">
        <f t="shared" si="25"/>
        <v>0</v>
      </c>
      <c r="AA32" s="103" t="s">
        <v>200</v>
      </c>
      <c r="AB32" s="103" t="s">
        <v>241</v>
      </c>
      <c r="AC32" s="103" t="s">
        <v>360</v>
      </c>
      <c r="AD32" s="108"/>
      <c r="AE32" s="108"/>
      <c r="AF32" s="103" t="s">
        <v>234</v>
      </c>
      <c r="AG32" s="104"/>
      <c r="AH32" s="104"/>
      <c r="AI32" s="105">
        <v>1237.2399999999998</v>
      </c>
      <c r="AJ32" s="104">
        <v>762.76000000000022</v>
      </c>
      <c r="AK32" s="105">
        <f t="shared" si="0"/>
        <v>2000</v>
      </c>
      <c r="AL32" s="105">
        <v>1750</v>
      </c>
      <c r="AM32" s="105"/>
      <c r="AN32" s="105"/>
      <c r="AO32" s="106">
        <v>45.15</v>
      </c>
      <c r="AP32" s="94">
        <f t="shared" si="1"/>
        <v>3704.85</v>
      </c>
      <c r="AQ32" s="105"/>
      <c r="AR32" s="83"/>
      <c r="AS32" s="83"/>
      <c r="AT32" s="83"/>
      <c r="AU32" s="107"/>
      <c r="AV32" s="103">
        <v>0</v>
      </c>
      <c r="AW32" s="94">
        <f t="shared" si="2"/>
        <v>3704.85</v>
      </c>
      <c r="AX32" s="83">
        <f t="shared" si="3"/>
        <v>0</v>
      </c>
      <c r="AY32" s="94">
        <f t="shared" si="4"/>
        <v>3704.85</v>
      </c>
      <c r="AZ32" s="83">
        <f t="shared" si="5"/>
        <v>370.48500000000001</v>
      </c>
      <c r="BA32" s="83">
        <f t="shared" si="6"/>
        <v>24.744799999999998</v>
      </c>
      <c r="BB32" s="94">
        <f t="shared" si="7"/>
        <v>4100.0798000000004</v>
      </c>
      <c r="BC32" s="153"/>
      <c r="BD32" s="85">
        <f t="shared" si="26"/>
        <v>-3704.85</v>
      </c>
      <c r="BE32" s="153"/>
      <c r="BF32" s="153"/>
      <c r="BG32" s="85">
        <f t="shared" si="27"/>
        <v>0</v>
      </c>
      <c r="BH32" s="86">
        <v>2887709471</v>
      </c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20"/>
      <c r="BT32" s="20"/>
      <c r="BU32" s="20"/>
      <c r="BV32" s="20"/>
      <c r="BY32" s="50">
        <f>+S32-'C&amp;A'!I32-SINDICATO!N32</f>
        <v>0</v>
      </c>
    </row>
    <row r="33" spans="1:77" x14ac:dyDescent="0.25">
      <c r="A33" s="19" t="s">
        <v>72</v>
      </c>
      <c r="B33" s="20" t="s">
        <v>73</v>
      </c>
      <c r="C33" s="21">
        <f t="shared" si="8"/>
        <v>3000</v>
      </c>
      <c r="D33" s="21">
        <v>145.37389713135775</v>
      </c>
      <c r="E33" s="21">
        <f t="shared" si="9"/>
        <v>0</v>
      </c>
      <c r="F33" s="21">
        <f t="shared" si="10"/>
        <v>0</v>
      </c>
      <c r="G33" s="21">
        <f t="shared" si="11"/>
        <v>0</v>
      </c>
      <c r="H33" s="21">
        <v>0</v>
      </c>
      <c r="I33" s="21">
        <v>0</v>
      </c>
      <c r="J33" s="21">
        <f t="shared" si="12"/>
        <v>3145.3738971313578</v>
      </c>
      <c r="K33" s="21">
        <f t="shared" si="13"/>
        <v>0</v>
      </c>
      <c r="L33" s="21">
        <f t="shared" si="14"/>
        <v>45.15</v>
      </c>
      <c r="M33" s="21">
        <f t="shared" si="15"/>
        <v>0</v>
      </c>
      <c r="N33" s="21">
        <v>0</v>
      </c>
      <c r="O33" s="21"/>
      <c r="P33" s="21">
        <f t="shared" si="16"/>
        <v>0</v>
      </c>
      <c r="Q33" s="21">
        <f t="shared" si="17"/>
        <v>0</v>
      </c>
      <c r="R33" s="21">
        <f t="shared" si="18"/>
        <v>45.15</v>
      </c>
      <c r="S33" s="21">
        <f t="shared" si="19"/>
        <v>3100.2238971313577</v>
      </c>
      <c r="T33" s="21">
        <f t="shared" si="20"/>
        <v>3100.2238971313577</v>
      </c>
      <c r="U33" s="21">
        <f t="shared" si="21"/>
        <v>295.48500000000001</v>
      </c>
      <c r="V33" s="21">
        <f>+'C&amp;A'!E33*0.02</f>
        <v>21.911999999999999</v>
      </c>
      <c r="W33" s="21">
        <f t="shared" si="22"/>
        <v>3417.6208971313577</v>
      </c>
      <c r="X33" s="21">
        <f t="shared" si="23"/>
        <v>546.81934354101725</v>
      </c>
      <c r="Y33" s="21">
        <f t="shared" si="24"/>
        <v>3964.4402406723748</v>
      </c>
      <c r="Z33" s="171">
        <f t="shared" si="25"/>
        <v>145.37389713135781</v>
      </c>
      <c r="AA33" s="103" t="s">
        <v>203</v>
      </c>
      <c r="AB33" s="103" t="s">
        <v>72</v>
      </c>
      <c r="AC33" s="103" t="s">
        <v>242</v>
      </c>
      <c r="AD33" s="108"/>
      <c r="AE33" s="108"/>
      <c r="AF33" s="103" t="s">
        <v>134</v>
      </c>
      <c r="AG33" s="104" t="s">
        <v>206</v>
      </c>
      <c r="AH33" s="104"/>
      <c r="AI33" s="105">
        <v>1237.2399999999998</v>
      </c>
      <c r="AJ33" s="104">
        <f>1612.76+150</f>
        <v>1762.76</v>
      </c>
      <c r="AK33" s="105">
        <f t="shared" si="0"/>
        <v>3000</v>
      </c>
      <c r="AL33" s="105"/>
      <c r="AM33" s="105"/>
      <c r="AN33" s="105"/>
      <c r="AO33" s="106">
        <v>45.15</v>
      </c>
      <c r="AP33" s="94">
        <f t="shared" si="1"/>
        <v>2954.85</v>
      </c>
      <c r="AQ33" s="105"/>
      <c r="AR33" s="83"/>
      <c r="AS33" s="83"/>
      <c r="AT33" s="83"/>
      <c r="AU33" s="107"/>
      <c r="AV33" s="103">
        <v>0</v>
      </c>
      <c r="AW33" s="94">
        <f t="shared" si="2"/>
        <v>2954.85</v>
      </c>
      <c r="AX33" s="83">
        <f t="shared" si="3"/>
        <v>0</v>
      </c>
      <c r="AY33" s="94">
        <f t="shared" si="4"/>
        <v>2954.85</v>
      </c>
      <c r="AZ33" s="83">
        <f t="shared" si="5"/>
        <v>295.48500000000001</v>
      </c>
      <c r="BA33" s="83">
        <f t="shared" si="6"/>
        <v>24.744799999999998</v>
      </c>
      <c r="BB33" s="94">
        <f t="shared" si="7"/>
        <v>3275.0798</v>
      </c>
      <c r="BC33" s="153"/>
      <c r="BD33" s="85">
        <f t="shared" si="26"/>
        <v>-2954.85</v>
      </c>
      <c r="BE33" s="153"/>
      <c r="BF33" s="153"/>
      <c r="BG33" s="85">
        <f t="shared" si="27"/>
        <v>0</v>
      </c>
      <c r="BH33" s="86">
        <v>2886339700</v>
      </c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20"/>
      <c r="BT33" s="20"/>
      <c r="BU33" s="20"/>
      <c r="BV33" s="20"/>
      <c r="BY33" s="50">
        <f>+S33-'C&amp;A'!I33-SINDICATO!N33</f>
        <v>0</v>
      </c>
    </row>
    <row r="34" spans="1:77" x14ac:dyDescent="0.25">
      <c r="A34" s="19" t="s">
        <v>76</v>
      </c>
      <c r="B34" s="20" t="s">
        <v>77</v>
      </c>
      <c r="C34" s="21">
        <f t="shared" si="8"/>
        <v>3500</v>
      </c>
      <c r="D34" s="21">
        <v>0</v>
      </c>
      <c r="E34" s="21">
        <f t="shared" si="9"/>
        <v>14865.91</v>
      </c>
      <c r="F34" s="21">
        <f t="shared" si="10"/>
        <v>0</v>
      </c>
      <c r="G34" s="21">
        <f t="shared" si="11"/>
        <v>0</v>
      </c>
      <c r="H34" s="21">
        <v>0</v>
      </c>
      <c r="I34" s="21">
        <v>0</v>
      </c>
      <c r="J34" s="21">
        <f t="shared" si="12"/>
        <v>18365.91</v>
      </c>
      <c r="K34" s="21">
        <f t="shared" si="13"/>
        <v>0</v>
      </c>
      <c r="L34" s="21">
        <f t="shared" si="14"/>
        <v>45.15</v>
      </c>
      <c r="M34" s="21">
        <f t="shared" si="15"/>
        <v>58.19</v>
      </c>
      <c r="N34" s="21">
        <v>0</v>
      </c>
      <c r="O34" s="21"/>
      <c r="P34" s="21">
        <f t="shared" si="16"/>
        <v>0</v>
      </c>
      <c r="Q34" s="21">
        <f t="shared" si="17"/>
        <v>1832.076</v>
      </c>
      <c r="R34" s="21">
        <f t="shared" si="18"/>
        <v>1935.4159999999999</v>
      </c>
      <c r="S34" s="21">
        <f t="shared" si="19"/>
        <v>16430.493999999999</v>
      </c>
      <c r="T34" s="21">
        <f t="shared" si="20"/>
        <v>18320.759999999998</v>
      </c>
      <c r="U34" s="21">
        <f t="shared" si="21"/>
        <v>0</v>
      </c>
      <c r="V34" s="21">
        <f>+'C&amp;A'!E34*0.02</f>
        <v>21.911999999999999</v>
      </c>
      <c r="W34" s="21">
        <f t="shared" si="22"/>
        <v>18342.671999999999</v>
      </c>
      <c r="X34" s="21">
        <f t="shared" si="23"/>
        <v>2934.8275199999998</v>
      </c>
      <c r="Y34" s="21">
        <f t="shared" si="24"/>
        <v>21277.499519999998</v>
      </c>
      <c r="Z34" s="171">
        <f t="shared" si="25"/>
        <v>0</v>
      </c>
      <c r="AA34" s="103" t="s">
        <v>218</v>
      </c>
      <c r="AB34" s="103" t="s">
        <v>244</v>
      </c>
      <c r="AC34" s="103" t="s">
        <v>245</v>
      </c>
      <c r="AD34" s="108"/>
      <c r="AE34" s="108"/>
      <c r="AF34" s="103" t="s">
        <v>142</v>
      </c>
      <c r="AG34" s="104"/>
      <c r="AH34" s="104"/>
      <c r="AI34" s="105">
        <v>1237.2399999999998</v>
      </c>
      <c r="AJ34" s="104">
        <v>2262.7600000000002</v>
      </c>
      <c r="AK34" s="105">
        <f t="shared" si="0"/>
        <v>3500</v>
      </c>
      <c r="AL34" s="105">
        <v>14865.91</v>
      </c>
      <c r="AM34" s="105"/>
      <c r="AN34" s="105"/>
      <c r="AO34" s="106">
        <v>45.15</v>
      </c>
      <c r="AP34" s="94">
        <f t="shared" si="1"/>
        <v>18320.759999999998</v>
      </c>
      <c r="AQ34" s="105"/>
      <c r="AR34" s="83"/>
      <c r="AS34" s="83"/>
      <c r="AT34" s="83"/>
      <c r="AU34" s="103">
        <v>58.19</v>
      </c>
      <c r="AV34" s="103">
        <v>0</v>
      </c>
      <c r="AW34" s="94">
        <f t="shared" si="2"/>
        <v>18262.57</v>
      </c>
      <c r="AX34" s="83">
        <f t="shared" si="3"/>
        <v>1832.076</v>
      </c>
      <c r="AY34" s="94">
        <f t="shared" si="4"/>
        <v>16430.493999999999</v>
      </c>
      <c r="AZ34" s="83">
        <f t="shared" si="5"/>
        <v>0</v>
      </c>
      <c r="BA34" s="83">
        <f t="shared" si="6"/>
        <v>24.744799999999998</v>
      </c>
      <c r="BB34" s="94">
        <f t="shared" si="7"/>
        <v>18345.504799999999</v>
      </c>
      <c r="BC34" s="153"/>
      <c r="BD34" s="85">
        <f t="shared" si="26"/>
        <v>-16430.493999999999</v>
      </c>
      <c r="BE34" s="153"/>
      <c r="BF34" s="153"/>
      <c r="BG34" s="85">
        <f t="shared" si="27"/>
        <v>0</v>
      </c>
      <c r="BH34" s="86">
        <v>2659973974</v>
      </c>
      <c r="BI34" s="86"/>
      <c r="BJ34" s="86"/>
      <c r="BK34" s="86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Y34" s="50">
        <f>+S34-'C&amp;A'!I34-SINDICATO!N34</f>
        <v>0</v>
      </c>
    </row>
    <row r="35" spans="1:77" x14ac:dyDescent="0.25">
      <c r="A35" s="19" t="s">
        <v>78</v>
      </c>
      <c r="B35" s="20" t="s">
        <v>79</v>
      </c>
      <c r="C35" s="21">
        <f t="shared" si="8"/>
        <v>3250</v>
      </c>
      <c r="D35" s="21">
        <v>0</v>
      </c>
      <c r="E35" s="21">
        <f t="shared" si="9"/>
        <v>6813.74</v>
      </c>
      <c r="F35" s="21">
        <f t="shared" si="10"/>
        <v>0</v>
      </c>
      <c r="G35" s="21">
        <f t="shared" si="11"/>
        <v>0</v>
      </c>
      <c r="H35" s="21">
        <v>0</v>
      </c>
      <c r="I35" s="21">
        <v>0</v>
      </c>
      <c r="J35" s="21">
        <f t="shared" si="12"/>
        <v>10063.74</v>
      </c>
      <c r="K35" s="21">
        <f t="shared" si="13"/>
        <v>0</v>
      </c>
      <c r="L35" s="21">
        <f t="shared" si="14"/>
        <v>45.15</v>
      </c>
      <c r="M35" s="21">
        <f t="shared" si="15"/>
        <v>0</v>
      </c>
      <c r="N35" s="21">
        <v>0</v>
      </c>
      <c r="O35" s="21"/>
      <c r="P35" s="21">
        <f t="shared" si="16"/>
        <v>1045.54</v>
      </c>
      <c r="Q35" s="21">
        <f t="shared" si="17"/>
        <v>1001.859</v>
      </c>
      <c r="R35" s="21">
        <f t="shared" si="18"/>
        <v>2092.549</v>
      </c>
      <c r="S35" s="21">
        <f t="shared" si="19"/>
        <v>7971.1909999999998</v>
      </c>
      <c r="T35" s="21">
        <f t="shared" si="20"/>
        <v>10018.59</v>
      </c>
      <c r="U35" s="21">
        <f t="shared" si="21"/>
        <v>0</v>
      </c>
      <c r="V35" s="21">
        <f>+'C&amp;A'!E35*0.02</f>
        <v>21.911999999999999</v>
      </c>
      <c r="W35" s="21">
        <f t="shared" si="22"/>
        <v>10040.502</v>
      </c>
      <c r="X35" s="21">
        <f t="shared" si="23"/>
        <v>1606.4803200000001</v>
      </c>
      <c r="Y35" s="21">
        <f t="shared" si="24"/>
        <v>11646.982320000001</v>
      </c>
      <c r="Z35" s="171">
        <f t="shared" si="25"/>
        <v>0</v>
      </c>
      <c r="AA35" s="103" t="s">
        <v>218</v>
      </c>
      <c r="AB35" s="103" t="s">
        <v>78</v>
      </c>
      <c r="AC35" s="103" t="s">
        <v>361</v>
      </c>
      <c r="AD35" s="108"/>
      <c r="AE35" s="108"/>
      <c r="AF35" s="103" t="s">
        <v>143</v>
      </c>
      <c r="AG35" s="104"/>
      <c r="AH35" s="104"/>
      <c r="AI35" s="105">
        <v>1237.2399999999998</v>
      </c>
      <c r="AJ35" s="104">
        <v>2012.7600000000002</v>
      </c>
      <c r="AK35" s="105">
        <f t="shared" si="0"/>
        <v>3250</v>
      </c>
      <c r="AL35" s="105">
        <v>6813.74</v>
      </c>
      <c r="AM35" s="105"/>
      <c r="AN35" s="105"/>
      <c r="AO35" s="106">
        <v>45.15</v>
      </c>
      <c r="AP35" s="94">
        <f t="shared" si="1"/>
        <v>10018.59</v>
      </c>
      <c r="AQ35" s="105"/>
      <c r="AR35" s="83"/>
      <c r="AS35" s="83"/>
      <c r="AT35" s="83"/>
      <c r="AU35" s="107"/>
      <c r="AV35" s="172">
        <v>1045.54</v>
      </c>
      <c r="AW35" s="94">
        <f t="shared" si="2"/>
        <v>8973.0499999999993</v>
      </c>
      <c r="AX35" s="83">
        <f t="shared" si="3"/>
        <v>1001.859</v>
      </c>
      <c r="AY35" s="94">
        <f t="shared" si="4"/>
        <v>7971.1909999999989</v>
      </c>
      <c r="AZ35" s="83">
        <f t="shared" si="5"/>
        <v>0</v>
      </c>
      <c r="BA35" s="83">
        <f t="shared" si="6"/>
        <v>24.744799999999998</v>
      </c>
      <c r="BB35" s="94">
        <f t="shared" si="7"/>
        <v>10043.334800000001</v>
      </c>
      <c r="BC35" s="153"/>
      <c r="BD35" s="85">
        <f t="shared" si="26"/>
        <v>-7971.1909999999989</v>
      </c>
      <c r="BE35" s="153"/>
      <c r="BF35" s="153"/>
      <c r="BG35" s="85">
        <f t="shared" si="27"/>
        <v>0</v>
      </c>
      <c r="BH35" s="86">
        <v>2786636659</v>
      </c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20"/>
      <c r="BT35" s="20"/>
      <c r="BU35" s="20"/>
      <c r="BV35" s="20"/>
      <c r="BY35" s="50">
        <f>+S35-'C&amp;A'!I35-SINDICATO!N35</f>
        <v>0</v>
      </c>
    </row>
    <row r="36" spans="1:77" x14ac:dyDescent="0.25">
      <c r="A36" s="19" t="s">
        <v>80</v>
      </c>
      <c r="B36" s="20" t="s">
        <v>81</v>
      </c>
      <c r="C36" s="21">
        <f t="shared" si="8"/>
        <v>3000</v>
      </c>
      <c r="D36" s="21">
        <v>0</v>
      </c>
      <c r="E36" s="21">
        <f t="shared" si="9"/>
        <v>3831.85</v>
      </c>
      <c r="F36" s="21">
        <f t="shared" si="10"/>
        <v>0</v>
      </c>
      <c r="G36" s="21">
        <f t="shared" si="11"/>
        <v>0</v>
      </c>
      <c r="H36" s="21">
        <v>0</v>
      </c>
      <c r="I36" s="21">
        <v>0</v>
      </c>
      <c r="J36" s="21">
        <f t="shared" si="12"/>
        <v>6831.85</v>
      </c>
      <c r="K36" s="21">
        <f t="shared" si="13"/>
        <v>0</v>
      </c>
      <c r="L36" s="21">
        <f t="shared" si="14"/>
        <v>45.15</v>
      </c>
      <c r="M36" s="21">
        <f t="shared" si="15"/>
        <v>0</v>
      </c>
      <c r="N36" s="21">
        <v>0</v>
      </c>
      <c r="O36" s="21"/>
      <c r="P36" s="21">
        <f t="shared" si="16"/>
        <v>0</v>
      </c>
      <c r="Q36" s="21">
        <f t="shared" si="17"/>
        <v>678.67000000000007</v>
      </c>
      <c r="R36" s="21">
        <f t="shared" si="18"/>
        <v>723.82</v>
      </c>
      <c r="S36" s="21">
        <f t="shared" si="19"/>
        <v>6108.0300000000007</v>
      </c>
      <c r="T36" s="21">
        <f t="shared" si="20"/>
        <v>6786.7000000000007</v>
      </c>
      <c r="U36" s="21">
        <f t="shared" si="21"/>
        <v>0</v>
      </c>
      <c r="V36" s="21">
        <f>+'C&amp;A'!E36*0.02</f>
        <v>21.911999999999999</v>
      </c>
      <c r="W36" s="21">
        <f t="shared" si="22"/>
        <v>6808.612000000001</v>
      </c>
      <c r="X36" s="21">
        <f t="shared" si="23"/>
        <v>1089.3779200000001</v>
      </c>
      <c r="Y36" s="21">
        <f t="shared" si="24"/>
        <v>7897.9899200000009</v>
      </c>
      <c r="Z36" s="171">
        <f t="shared" si="25"/>
        <v>0</v>
      </c>
      <c r="AA36" s="103" t="s">
        <v>229</v>
      </c>
      <c r="AB36" s="103" t="s">
        <v>80</v>
      </c>
      <c r="AC36" s="103" t="s">
        <v>362</v>
      </c>
      <c r="AD36" s="104"/>
      <c r="AE36" s="104"/>
      <c r="AF36" s="103" t="s">
        <v>141</v>
      </c>
      <c r="AG36" s="104"/>
      <c r="AH36" s="104"/>
      <c r="AI36" s="105">
        <v>1237.2399999999998</v>
      </c>
      <c r="AJ36" s="104">
        <v>1762.7600000000002</v>
      </c>
      <c r="AK36" s="105">
        <f t="shared" si="0"/>
        <v>3000</v>
      </c>
      <c r="AL36" s="105">
        <f>2331.85+1500</f>
        <v>3831.85</v>
      </c>
      <c r="AM36" s="105"/>
      <c r="AN36" s="105"/>
      <c r="AO36" s="106">
        <v>45.15</v>
      </c>
      <c r="AP36" s="94">
        <f t="shared" si="1"/>
        <v>6786.7000000000007</v>
      </c>
      <c r="AQ36" s="105"/>
      <c r="AR36" s="83"/>
      <c r="AS36" s="83"/>
      <c r="AT36" s="83"/>
      <c r="AU36" s="107"/>
      <c r="AV36" s="103">
        <v>0</v>
      </c>
      <c r="AW36" s="94">
        <f t="shared" si="2"/>
        <v>6786.7000000000007</v>
      </c>
      <c r="AX36" s="83">
        <f t="shared" si="3"/>
        <v>678.67000000000007</v>
      </c>
      <c r="AY36" s="94">
        <f t="shared" si="4"/>
        <v>6108.0300000000007</v>
      </c>
      <c r="AZ36" s="83">
        <f t="shared" si="5"/>
        <v>0</v>
      </c>
      <c r="BA36" s="83">
        <f t="shared" si="6"/>
        <v>24.744799999999998</v>
      </c>
      <c r="BB36" s="94">
        <f t="shared" si="7"/>
        <v>6811.4448000000011</v>
      </c>
      <c r="BC36" s="153"/>
      <c r="BD36" s="85">
        <f t="shared" si="26"/>
        <v>-6108.0300000000007</v>
      </c>
      <c r="BE36" s="153"/>
      <c r="BF36" s="153"/>
      <c r="BG36" s="85">
        <f t="shared" si="27"/>
        <v>0</v>
      </c>
      <c r="BH36" s="86">
        <v>2892941821</v>
      </c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20"/>
      <c r="BT36" s="20"/>
      <c r="BU36" s="20"/>
      <c r="BV36" s="20"/>
      <c r="BY36" s="50">
        <f>+S36-'C&amp;A'!I36-SINDICATO!N36</f>
        <v>0</v>
      </c>
    </row>
    <row r="37" spans="1:77" x14ac:dyDescent="0.25">
      <c r="A37" s="19" t="s">
        <v>82</v>
      </c>
      <c r="B37" s="20" t="s">
        <v>83</v>
      </c>
      <c r="C37" s="21">
        <f t="shared" si="8"/>
        <v>4000</v>
      </c>
      <c r="D37" s="21">
        <v>0</v>
      </c>
      <c r="E37" s="21">
        <f t="shared" si="9"/>
        <v>7850</v>
      </c>
      <c r="F37" s="21">
        <f t="shared" si="10"/>
        <v>0</v>
      </c>
      <c r="G37" s="21">
        <f t="shared" si="11"/>
        <v>0</v>
      </c>
      <c r="H37" s="21">
        <v>0</v>
      </c>
      <c r="I37" s="21">
        <v>0</v>
      </c>
      <c r="J37" s="21">
        <f t="shared" si="12"/>
        <v>11850</v>
      </c>
      <c r="K37" s="21">
        <f t="shared" si="13"/>
        <v>0</v>
      </c>
      <c r="L37" s="21">
        <f t="shared" si="14"/>
        <v>45.15</v>
      </c>
      <c r="M37" s="21">
        <f t="shared" si="15"/>
        <v>0</v>
      </c>
      <c r="N37" s="21">
        <v>0</v>
      </c>
      <c r="O37" s="21"/>
      <c r="P37" s="21">
        <f t="shared" si="16"/>
        <v>1200.08</v>
      </c>
      <c r="Q37" s="21">
        <f t="shared" si="17"/>
        <v>1180.4850000000001</v>
      </c>
      <c r="R37" s="21">
        <f t="shared" si="18"/>
        <v>2425.7150000000001</v>
      </c>
      <c r="S37" s="21">
        <f t="shared" si="19"/>
        <v>9424.2849999999999</v>
      </c>
      <c r="T37" s="21">
        <f t="shared" si="20"/>
        <v>11804.85</v>
      </c>
      <c r="U37" s="21">
        <f t="shared" si="21"/>
        <v>0</v>
      </c>
      <c r="V37" s="21">
        <f>+'C&amp;A'!E37*0.02</f>
        <v>21.911999999999999</v>
      </c>
      <c r="W37" s="21">
        <f t="shared" si="22"/>
        <v>11826.762000000001</v>
      </c>
      <c r="X37" s="21">
        <f t="shared" si="23"/>
        <v>1892.2819200000001</v>
      </c>
      <c r="Y37" s="21">
        <f t="shared" si="24"/>
        <v>13719.04392</v>
      </c>
      <c r="Z37" s="171">
        <f t="shared" si="25"/>
        <v>0</v>
      </c>
      <c r="AA37" s="103" t="s">
        <v>210</v>
      </c>
      <c r="AB37" s="103" t="s">
        <v>82</v>
      </c>
      <c r="AC37" s="103" t="s">
        <v>246</v>
      </c>
      <c r="AD37" s="104"/>
      <c r="AE37" s="104"/>
      <c r="AF37" s="103" t="s">
        <v>149</v>
      </c>
      <c r="AG37" s="104"/>
      <c r="AH37" s="104"/>
      <c r="AI37" s="105">
        <v>1237.2399999999998</v>
      </c>
      <c r="AJ37" s="104">
        <v>2762.76</v>
      </c>
      <c r="AK37" s="105">
        <f t="shared" si="0"/>
        <v>4000</v>
      </c>
      <c r="AL37" s="105">
        <f>4850+3000</f>
        <v>7850</v>
      </c>
      <c r="AM37" s="105"/>
      <c r="AN37" s="105"/>
      <c r="AO37" s="106">
        <v>45.15</v>
      </c>
      <c r="AP37" s="94">
        <f t="shared" si="1"/>
        <v>11804.85</v>
      </c>
      <c r="AQ37" s="105"/>
      <c r="AR37" s="83"/>
      <c r="AS37" s="83"/>
      <c r="AT37" s="83"/>
      <c r="AU37" s="107"/>
      <c r="AV37" s="172">
        <v>1200.08</v>
      </c>
      <c r="AW37" s="94">
        <f t="shared" si="2"/>
        <v>10604.77</v>
      </c>
      <c r="AX37" s="83">
        <f t="shared" si="3"/>
        <v>1180.4850000000001</v>
      </c>
      <c r="AY37" s="94">
        <f t="shared" si="4"/>
        <v>9424.2849999999999</v>
      </c>
      <c r="AZ37" s="83">
        <f t="shared" si="5"/>
        <v>0</v>
      </c>
      <c r="BA37" s="83">
        <f t="shared" si="6"/>
        <v>24.744799999999998</v>
      </c>
      <c r="BB37" s="94">
        <f t="shared" si="7"/>
        <v>11829.594800000001</v>
      </c>
      <c r="BC37" s="153"/>
      <c r="BD37" s="85">
        <f t="shared" si="26"/>
        <v>-9424.2849999999999</v>
      </c>
      <c r="BE37" s="153"/>
      <c r="BF37" s="153"/>
      <c r="BG37" s="85">
        <f t="shared" si="27"/>
        <v>0</v>
      </c>
      <c r="BH37" s="86">
        <v>2745564778</v>
      </c>
      <c r="BI37" s="72"/>
      <c r="BJ37" s="86"/>
      <c r="BK37" s="86"/>
      <c r="BL37" s="86"/>
      <c r="BM37" s="86"/>
      <c r="BN37" s="86"/>
      <c r="BO37" s="86"/>
      <c r="BP37" s="86"/>
      <c r="BQ37" s="86"/>
      <c r="BR37" s="86"/>
      <c r="BS37" s="20"/>
      <c r="BT37" s="20"/>
      <c r="BU37" s="20"/>
      <c r="BV37" s="20"/>
      <c r="BY37" s="50">
        <f>+S37-'C&amp;A'!I37-SINDICATO!N37</f>
        <v>0</v>
      </c>
    </row>
    <row r="38" spans="1:77" x14ac:dyDescent="0.25">
      <c r="A38" s="19" t="s">
        <v>84</v>
      </c>
      <c r="B38" s="20" t="s">
        <v>85</v>
      </c>
      <c r="C38" s="21">
        <f t="shared" si="8"/>
        <v>4500</v>
      </c>
      <c r="D38" s="21">
        <v>0</v>
      </c>
      <c r="E38" s="21">
        <f t="shared" si="9"/>
        <v>0</v>
      </c>
      <c r="F38" s="21">
        <f t="shared" si="10"/>
        <v>0</v>
      </c>
      <c r="G38" s="21">
        <f t="shared" si="11"/>
        <v>0</v>
      </c>
      <c r="H38" s="21">
        <v>0</v>
      </c>
      <c r="I38" s="21">
        <v>0</v>
      </c>
      <c r="J38" s="21">
        <f t="shared" si="12"/>
        <v>4500</v>
      </c>
      <c r="K38" s="21">
        <f t="shared" si="13"/>
        <v>0</v>
      </c>
      <c r="L38" s="21">
        <f t="shared" si="14"/>
        <v>45.15</v>
      </c>
      <c r="M38" s="21">
        <f t="shared" si="15"/>
        <v>0</v>
      </c>
      <c r="N38" s="21">
        <v>0</v>
      </c>
      <c r="O38" s="21"/>
      <c r="P38" s="21">
        <f t="shared" si="16"/>
        <v>887.44</v>
      </c>
      <c r="Q38" s="21">
        <f t="shared" si="17"/>
        <v>0</v>
      </c>
      <c r="R38" s="21">
        <f t="shared" si="18"/>
        <v>932.59</v>
      </c>
      <c r="S38" s="21">
        <f t="shared" si="19"/>
        <v>3567.41</v>
      </c>
      <c r="T38" s="21">
        <f t="shared" si="20"/>
        <v>4454.8500000000004</v>
      </c>
      <c r="U38" s="21">
        <f t="shared" si="21"/>
        <v>445.48500000000007</v>
      </c>
      <c r="V38" s="21">
        <f>+'C&amp;A'!E38*0.02</f>
        <v>21.911999999999999</v>
      </c>
      <c r="W38" s="21">
        <f t="shared" si="22"/>
        <v>4922.2470000000003</v>
      </c>
      <c r="X38" s="21">
        <f t="shared" si="23"/>
        <v>787.55952000000002</v>
      </c>
      <c r="Y38" s="21">
        <f t="shared" si="24"/>
        <v>5709.8065200000001</v>
      </c>
      <c r="Z38" s="171">
        <f t="shared" si="25"/>
        <v>0</v>
      </c>
      <c r="AA38" s="103" t="s">
        <v>218</v>
      </c>
      <c r="AB38" s="103" t="s">
        <v>84</v>
      </c>
      <c r="AC38" s="103" t="s">
        <v>247</v>
      </c>
      <c r="AD38" s="108"/>
      <c r="AE38" s="108"/>
      <c r="AF38" s="103" t="s">
        <v>145</v>
      </c>
      <c r="AG38" s="104"/>
      <c r="AH38" s="104"/>
      <c r="AI38" s="105">
        <v>1237.2399999999998</v>
      </c>
      <c r="AJ38" s="104">
        <f>2912.76+350</f>
        <v>3262.76</v>
      </c>
      <c r="AK38" s="105">
        <f t="shared" si="0"/>
        <v>4500</v>
      </c>
      <c r="AL38" s="105"/>
      <c r="AM38" s="105"/>
      <c r="AN38" s="105"/>
      <c r="AO38" s="106">
        <v>45.15</v>
      </c>
      <c r="AP38" s="94">
        <f t="shared" si="1"/>
        <v>4454.8500000000004</v>
      </c>
      <c r="AQ38" s="105"/>
      <c r="AR38" s="83"/>
      <c r="AS38" s="83"/>
      <c r="AT38" s="83"/>
      <c r="AU38" s="107"/>
      <c r="AV38" s="103">
        <v>887.44</v>
      </c>
      <c r="AW38" s="94">
        <f t="shared" si="2"/>
        <v>3567.4100000000003</v>
      </c>
      <c r="AX38" s="83">
        <f t="shared" si="3"/>
        <v>0</v>
      </c>
      <c r="AY38" s="94">
        <f t="shared" si="4"/>
        <v>3567.4100000000003</v>
      </c>
      <c r="AZ38" s="83">
        <f t="shared" si="5"/>
        <v>445.48500000000007</v>
      </c>
      <c r="BA38" s="83">
        <f t="shared" si="6"/>
        <v>24.744799999999998</v>
      </c>
      <c r="BB38" s="94">
        <f t="shared" si="7"/>
        <v>4925.0798000000004</v>
      </c>
      <c r="BC38" s="153"/>
      <c r="BD38" s="85">
        <f t="shared" si="26"/>
        <v>-3567.4100000000003</v>
      </c>
      <c r="BE38" s="153"/>
      <c r="BF38" s="153"/>
      <c r="BG38" s="85">
        <f t="shared" si="27"/>
        <v>0</v>
      </c>
      <c r="BH38" s="86">
        <v>2760229598</v>
      </c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20"/>
      <c r="BT38" s="20"/>
      <c r="BU38" s="20"/>
      <c r="BV38" s="20"/>
      <c r="BY38" s="50">
        <f>+S38-'C&amp;A'!I38-SINDICATO!N38</f>
        <v>0</v>
      </c>
    </row>
    <row r="39" spans="1:77" x14ac:dyDescent="0.25">
      <c r="A39" s="19" t="s">
        <v>86</v>
      </c>
      <c r="B39" s="20" t="s">
        <v>87</v>
      </c>
      <c r="C39" s="21">
        <f t="shared" si="8"/>
        <v>1474.9999999999998</v>
      </c>
      <c r="D39" s="21">
        <v>125.12056780965156</v>
      </c>
      <c r="E39" s="21">
        <f t="shared" si="9"/>
        <v>1750</v>
      </c>
      <c r="F39" s="21">
        <f t="shared" si="10"/>
        <v>0</v>
      </c>
      <c r="G39" s="21">
        <f t="shared" si="11"/>
        <v>0</v>
      </c>
      <c r="H39" s="21">
        <v>0</v>
      </c>
      <c r="I39" s="21">
        <v>0</v>
      </c>
      <c r="J39" s="21">
        <f t="shared" si="12"/>
        <v>3350.1205678096512</v>
      </c>
      <c r="K39" s="21">
        <f t="shared" si="13"/>
        <v>0</v>
      </c>
      <c r="L39" s="21">
        <f t="shared" si="14"/>
        <v>45.15</v>
      </c>
      <c r="M39" s="21">
        <f t="shared" si="15"/>
        <v>0</v>
      </c>
      <c r="N39" s="21">
        <v>0</v>
      </c>
      <c r="O39" s="21"/>
      <c r="P39" s="21">
        <f t="shared" si="16"/>
        <v>0</v>
      </c>
      <c r="Q39" s="21">
        <f t="shared" si="17"/>
        <v>0</v>
      </c>
      <c r="R39" s="21">
        <f t="shared" si="18"/>
        <v>45.15</v>
      </c>
      <c r="S39" s="21">
        <f t="shared" si="19"/>
        <v>3304.9705678096511</v>
      </c>
      <c r="T39" s="21">
        <f t="shared" si="20"/>
        <v>3304.9705678096511</v>
      </c>
      <c r="U39" s="21">
        <f t="shared" si="21"/>
        <v>317.98500000000001</v>
      </c>
      <c r="V39" s="21">
        <f>+'C&amp;A'!E39*0.02</f>
        <v>21.911999999999999</v>
      </c>
      <c r="W39" s="21">
        <f t="shared" si="22"/>
        <v>3644.8675678096511</v>
      </c>
      <c r="X39" s="21">
        <f t="shared" si="23"/>
        <v>583.17881084954422</v>
      </c>
      <c r="Y39" s="21">
        <f t="shared" si="24"/>
        <v>4228.0463786591954</v>
      </c>
      <c r="Z39" s="171">
        <f t="shared" si="25"/>
        <v>125.12056780965122</v>
      </c>
      <c r="AA39" s="103" t="s">
        <v>200</v>
      </c>
      <c r="AB39" s="103" t="s">
        <v>86</v>
      </c>
      <c r="AC39" s="103" t="s">
        <v>363</v>
      </c>
      <c r="AD39" s="108"/>
      <c r="AE39" s="108"/>
      <c r="AF39" s="103" t="s">
        <v>248</v>
      </c>
      <c r="AG39" s="104"/>
      <c r="AH39" s="104"/>
      <c r="AI39" s="105">
        <v>1237.2399999999998</v>
      </c>
      <c r="AJ39" s="104">
        <f>187.76+50</f>
        <v>237.76</v>
      </c>
      <c r="AK39" s="105">
        <f t="shared" si="0"/>
        <v>1474.9999999999998</v>
      </c>
      <c r="AL39" s="105">
        <v>1750</v>
      </c>
      <c r="AM39" s="105"/>
      <c r="AN39" s="105"/>
      <c r="AO39" s="106">
        <v>45.15</v>
      </c>
      <c r="AP39" s="94">
        <f t="shared" si="1"/>
        <v>3179.85</v>
      </c>
      <c r="AQ39" s="105"/>
      <c r="AR39" s="83"/>
      <c r="AS39" s="83"/>
      <c r="AT39" s="83"/>
      <c r="AU39" s="107"/>
      <c r="AV39" s="103">
        <v>0</v>
      </c>
      <c r="AW39" s="94">
        <f t="shared" si="2"/>
        <v>3179.85</v>
      </c>
      <c r="AX39" s="83">
        <f t="shared" si="3"/>
        <v>0</v>
      </c>
      <c r="AY39" s="94">
        <f t="shared" si="4"/>
        <v>3179.85</v>
      </c>
      <c r="AZ39" s="83">
        <f t="shared" si="5"/>
        <v>317.98500000000001</v>
      </c>
      <c r="BA39" s="83">
        <f t="shared" si="6"/>
        <v>24.744799999999998</v>
      </c>
      <c r="BB39" s="94">
        <f t="shared" si="7"/>
        <v>3522.5798</v>
      </c>
      <c r="BC39" s="153"/>
      <c r="BD39" s="85">
        <f t="shared" si="26"/>
        <v>-3179.85</v>
      </c>
      <c r="BE39" s="153"/>
      <c r="BF39" s="153"/>
      <c r="BG39" s="85">
        <f t="shared" si="27"/>
        <v>0</v>
      </c>
      <c r="BH39" s="86">
        <v>1404990536</v>
      </c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20"/>
      <c r="BT39" s="20"/>
      <c r="BU39" s="20"/>
      <c r="BV39" s="20"/>
      <c r="BY39" s="50">
        <f>+S39-'C&amp;A'!I39-SINDICATO!N39</f>
        <v>0</v>
      </c>
    </row>
    <row r="40" spans="1:77" x14ac:dyDescent="0.25">
      <c r="A40" s="19" t="s">
        <v>88</v>
      </c>
      <c r="B40" s="20" t="s">
        <v>89</v>
      </c>
      <c r="C40" s="21">
        <f t="shared" si="8"/>
        <v>2350</v>
      </c>
      <c r="D40" s="21">
        <v>0</v>
      </c>
      <c r="E40" s="21">
        <f t="shared" si="9"/>
        <v>2268.67</v>
      </c>
      <c r="F40" s="21">
        <f t="shared" si="10"/>
        <v>0</v>
      </c>
      <c r="G40" s="21">
        <f t="shared" si="11"/>
        <v>0</v>
      </c>
      <c r="H40" s="21">
        <v>0</v>
      </c>
      <c r="I40" s="21">
        <v>0</v>
      </c>
      <c r="J40" s="21">
        <f t="shared" si="12"/>
        <v>4618.67</v>
      </c>
      <c r="K40" s="21">
        <f t="shared" si="13"/>
        <v>0</v>
      </c>
      <c r="L40" s="21">
        <f t="shared" si="14"/>
        <v>45.15</v>
      </c>
      <c r="M40" s="21">
        <f t="shared" si="15"/>
        <v>0</v>
      </c>
      <c r="N40" s="21">
        <v>0</v>
      </c>
      <c r="O40" s="21"/>
      <c r="P40" s="21">
        <f t="shared" si="16"/>
        <v>0</v>
      </c>
      <c r="Q40" s="21">
        <f t="shared" si="17"/>
        <v>457.35200000000009</v>
      </c>
      <c r="R40" s="21">
        <f t="shared" si="18"/>
        <v>502.50200000000007</v>
      </c>
      <c r="S40" s="21">
        <f t="shared" si="19"/>
        <v>4116.1679999999997</v>
      </c>
      <c r="T40" s="21">
        <f t="shared" si="20"/>
        <v>4573.5200000000004</v>
      </c>
      <c r="U40" s="21">
        <f t="shared" si="21"/>
        <v>0</v>
      </c>
      <c r="V40" s="21">
        <f>+'C&amp;A'!E40*0.02</f>
        <v>21.911999999999999</v>
      </c>
      <c r="W40" s="21">
        <f t="shared" si="22"/>
        <v>4595.4320000000007</v>
      </c>
      <c r="X40" s="21">
        <f t="shared" si="23"/>
        <v>735.26912000000016</v>
      </c>
      <c r="Y40" s="21">
        <f t="shared" si="24"/>
        <v>5330.7011200000006</v>
      </c>
      <c r="Z40" s="171">
        <f t="shared" si="25"/>
        <v>0</v>
      </c>
      <c r="AA40" s="103" t="s">
        <v>218</v>
      </c>
      <c r="AB40" s="103" t="s">
        <v>88</v>
      </c>
      <c r="AC40" s="103" t="s">
        <v>249</v>
      </c>
      <c r="AD40" s="108"/>
      <c r="AE40" s="108"/>
      <c r="AF40" s="103" t="s">
        <v>144</v>
      </c>
      <c r="AG40" s="104"/>
      <c r="AH40" s="104"/>
      <c r="AI40" s="105">
        <v>1237.2399999999998</v>
      </c>
      <c r="AJ40" s="104">
        <v>1112.7600000000002</v>
      </c>
      <c r="AK40" s="105">
        <f t="shared" si="0"/>
        <v>2350</v>
      </c>
      <c r="AL40" s="105">
        <v>2268.67</v>
      </c>
      <c r="AM40" s="105"/>
      <c r="AN40" s="105"/>
      <c r="AO40" s="106">
        <v>45.15</v>
      </c>
      <c r="AP40" s="94">
        <f t="shared" si="1"/>
        <v>4573.5200000000004</v>
      </c>
      <c r="AQ40" s="105"/>
      <c r="AR40" s="83"/>
      <c r="AS40" s="83"/>
      <c r="AT40" s="83"/>
      <c r="AU40" s="107"/>
      <c r="AV40" s="103">
        <v>0</v>
      </c>
      <c r="AW40" s="94">
        <f t="shared" si="2"/>
        <v>4573.5200000000004</v>
      </c>
      <c r="AX40" s="83">
        <f t="shared" si="3"/>
        <v>457.35200000000009</v>
      </c>
      <c r="AY40" s="94">
        <f t="shared" si="4"/>
        <v>4116.1680000000006</v>
      </c>
      <c r="AZ40" s="83">
        <f t="shared" si="5"/>
        <v>0</v>
      </c>
      <c r="BA40" s="83">
        <f t="shared" si="6"/>
        <v>24.744799999999998</v>
      </c>
      <c r="BB40" s="94">
        <f t="shared" si="7"/>
        <v>4598.2648000000008</v>
      </c>
      <c r="BC40" s="153"/>
      <c r="BD40" s="85">
        <f t="shared" si="26"/>
        <v>-4116.1680000000006</v>
      </c>
      <c r="BE40" s="153"/>
      <c r="BF40" s="153"/>
      <c r="BG40" s="85">
        <f t="shared" si="27"/>
        <v>0</v>
      </c>
      <c r="BH40" s="86">
        <v>2884661508</v>
      </c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20"/>
      <c r="BT40" s="20"/>
      <c r="BU40" s="20"/>
      <c r="BV40" s="20"/>
      <c r="BY40" s="50">
        <f>+S40-'C&amp;A'!I40-SINDICATO!N40</f>
        <v>0</v>
      </c>
    </row>
    <row r="41" spans="1:77" x14ac:dyDescent="0.25">
      <c r="A41" s="19" t="s">
        <v>90</v>
      </c>
      <c r="B41" s="20" t="s">
        <v>91</v>
      </c>
      <c r="C41" s="21">
        <f t="shared" si="8"/>
        <v>2550</v>
      </c>
      <c r="D41" s="21">
        <v>160.37636329558455</v>
      </c>
      <c r="E41" s="21">
        <f t="shared" si="9"/>
        <v>0</v>
      </c>
      <c r="F41" s="21">
        <f t="shared" si="10"/>
        <v>0</v>
      </c>
      <c r="G41" s="21">
        <f t="shared" si="11"/>
        <v>0</v>
      </c>
      <c r="H41" s="21">
        <v>0</v>
      </c>
      <c r="I41" s="21">
        <v>0</v>
      </c>
      <c r="J41" s="21">
        <f t="shared" si="12"/>
        <v>2710.3763632955847</v>
      </c>
      <c r="K41" s="21">
        <f t="shared" si="13"/>
        <v>0</v>
      </c>
      <c r="L41" s="21">
        <f t="shared" si="14"/>
        <v>45.15</v>
      </c>
      <c r="M41" s="21">
        <f t="shared" si="15"/>
        <v>0</v>
      </c>
      <c r="N41" s="21">
        <v>0</v>
      </c>
      <c r="O41" s="21"/>
      <c r="P41" s="21">
        <f t="shared" si="16"/>
        <v>0</v>
      </c>
      <c r="Q41" s="21">
        <f t="shared" si="17"/>
        <v>0</v>
      </c>
      <c r="R41" s="21">
        <f t="shared" si="18"/>
        <v>45.15</v>
      </c>
      <c r="S41" s="21">
        <f t="shared" si="19"/>
        <v>2665.2263632955846</v>
      </c>
      <c r="T41" s="21">
        <f t="shared" si="20"/>
        <v>2665.2263632955846</v>
      </c>
      <c r="U41" s="21">
        <f t="shared" si="21"/>
        <v>250.48500000000001</v>
      </c>
      <c r="V41" s="21">
        <f>+'C&amp;A'!E41*0.02</f>
        <v>21.911999999999999</v>
      </c>
      <c r="W41" s="21">
        <f t="shared" si="22"/>
        <v>2937.6233632955846</v>
      </c>
      <c r="X41" s="21">
        <f t="shared" si="23"/>
        <v>470.01973812729352</v>
      </c>
      <c r="Y41" s="21">
        <f t="shared" si="24"/>
        <v>3407.6431014228783</v>
      </c>
      <c r="Z41" s="171">
        <f t="shared" si="25"/>
        <v>160.37636329558472</v>
      </c>
      <c r="AA41" s="103" t="s">
        <v>229</v>
      </c>
      <c r="AB41" s="103" t="s">
        <v>90</v>
      </c>
      <c r="AC41" s="103" t="s">
        <v>250</v>
      </c>
      <c r="AD41" s="108"/>
      <c r="AE41" s="108"/>
      <c r="AF41" s="103" t="s">
        <v>135</v>
      </c>
      <c r="AG41" s="104" t="s">
        <v>206</v>
      </c>
      <c r="AH41" s="104"/>
      <c r="AI41" s="105">
        <v>1237.2399999999998</v>
      </c>
      <c r="AJ41" s="104">
        <f>1112.76+200</f>
        <v>1312.76</v>
      </c>
      <c r="AK41" s="105">
        <f t="shared" si="0"/>
        <v>2550</v>
      </c>
      <c r="AL41" s="105"/>
      <c r="AM41" s="105"/>
      <c r="AN41" s="105"/>
      <c r="AO41" s="106">
        <v>45.15</v>
      </c>
      <c r="AP41" s="94">
        <f t="shared" si="1"/>
        <v>2504.85</v>
      </c>
      <c r="AQ41" s="105"/>
      <c r="AR41" s="83"/>
      <c r="AS41" s="83"/>
      <c r="AT41" s="83"/>
      <c r="AU41" s="107"/>
      <c r="AV41" s="103">
        <v>0</v>
      </c>
      <c r="AW41" s="94">
        <f t="shared" si="2"/>
        <v>2504.85</v>
      </c>
      <c r="AX41" s="83">
        <f t="shared" si="3"/>
        <v>0</v>
      </c>
      <c r="AY41" s="94">
        <f t="shared" si="4"/>
        <v>2504.85</v>
      </c>
      <c r="AZ41" s="83">
        <f t="shared" si="5"/>
        <v>250.48500000000001</v>
      </c>
      <c r="BA41" s="83">
        <f t="shared" si="6"/>
        <v>24.744799999999998</v>
      </c>
      <c r="BB41" s="94">
        <f t="shared" si="7"/>
        <v>2780.0798</v>
      </c>
      <c r="BC41" s="153"/>
      <c r="BD41" s="85">
        <f t="shared" si="26"/>
        <v>-2504.85</v>
      </c>
      <c r="BE41" s="153"/>
      <c r="BF41" s="153"/>
      <c r="BG41" s="85">
        <f t="shared" si="27"/>
        <v>0</v>
      </c>
      <c r="BH41" s="86">
        <v>2864339452</v>
      </c>
      <c r="BI41" s="72"/>
      <c r="BJ41" s="86"/>
      <c r="BK41" s="86"/>
      <c r="BL41" s="86"/>
      <c r="BM41" s="86"/>
      <c r="BN41" s="86"/>
      <c r="BO41" s="86"/>
      <c r="BP41" s="86"/>
      <c r="BQ41" s="86"/>
      <c r="BR41" s="86"/>
      <c r="BS41" s="20"/>
      <c r="BT41" s="20"/>
      <c r="BU41" s="20"/>
      <c r="BV41" s="20"/>
      <c r="BY41" s="50">
        <f>+S41-'C&amp;A'!I41-SINDICATO!N41</f>
        <v>0</v>
      </c>
    </row>
    <row r="42" spans="1:77" x14ac:dyDescent="0.25">
      <c r="A42" s="52" t="s">
        <v>154</v>
      </c>
      <c r="B42" s="20" t="s">
        <v>155</v>
      </c>
      <c r="C42" s="21">
        <f t="shared" si="8"/>
        <v>2500</v>
      </c>
      <c r="D42" s="21">
        <v>0</v>
      </c>
      <c r="E42" s="21">
        <f t="shared" si="9"/>
        <v>16663.28</v>
      </c>
      <c r="F42" s="21">
        <f t="shared" si="10"/>
        <v>0</v>
      </c>
      <c r="G42" s="21">
        <f t="shared" si="11"/>
        <v>0</v>
      </c>
      <c r="H42" s="21">
        <v>0</v>
      </c>
      <c r="I42" s="21">
        <v>0</v>
      </c>
      <c r="J42" s="21">
        <f t="shared" si="12"/>
        <v>19163.28</v>
      </c>
      <c r="K42" s="21">
        <f t="shared" si="13"/>
        <v>0</v>
      </c>
      <c r="L42" s="21">
        <f t="shared" si="14"/>
        <v>45.15</v>
      </c>
      <c r="M42" s="21">
        <f t="shared" si="15"/>
        <v>0</v>
      </c>
      <c r="N42" s="21">
        <v>0</v>
      </c>
      <c r="O42" s="21"/>
      <c r="P42" s="21">
        <f t="shared" si="16"/>
        <v>0</v>
      </c>
      <c r="Q42" s="21">
        <f t="shared" si="17"/>
        <v>1911.8129999999999</v>
      </c>
      <c r="R42" s="21">
        <f t="shared" si="18"/>
        <v>1956.963</v>
      </c>
      <c r="S42" s="21">
        <f t="shared" si="19"/>
        <v>17206.316999999999</v>
      </c>
      <c r="T42" s="21">
        <f t="shared" si="20"/>
        <v>19118.129999999997</v>
      </c>
      <c r="U42" s="21">
        <f t="shared" si="21"/>
        <v>0</v>
      </c>
      <c r="V42" s="21">
        <f>+'C&amp;A'!E42*0.02</f>
        <v>21.911999999999999</v>
      </c>
      <c r="W42" s="21">
        <f t="shared" si="22"/>
        <v>19140.041999999998</v>
      </c>
      <c r="X42" s="21">
        <f t="shared" si="23"/>
        <v>3062.4067199999995</v>
      </c>
      <c r="Y42" s="21">
        <f t="shared" si="24"/>
        <v>22202.448719999997</v>
      </c>
      <c r="Z42" s="171">
        <f t="shared" si="25"/>
        <v>0</v>
      </c>
      <c r="AA42" s="103" t="s">
        <v>221</v>
      </c>
      <c r="AB42" s="103" t="s">
        <v>251</v>
      </c>
      <c r="AC42" s="103" t="s">
        <v>252</v>
      </c>
      <c r="AD42" s="108"/>
      <c r="AE42" s="108"/>
      <c r="AF42" s="103" t="s">
        <v>138</v>
      </c>
      <c r="AG42" s="104"/>
      <c r="AH42" s="104"/>
      <c r="AI42" s="105">
        <v>1237.2399999999998</v>
      </c>
      <c r="AJ42" s="104">
        <v>1262.7600000000002</v>
      </c>
      <c r="AK42" s="105">
        <f t="shared" si="0"/>
        <v>2500</v>
      </c>
      <c r="AL42" s="105">
        <v>16663.28</v>
      </c>
      <c r="AM42" s="105"/>
      <c r="AN42" s="105"/>
      <c r="AO42" s="106">
        <v>45.15</v>
      </c>
      <c r="AP42" s="94">
        <f t="shared" si="1"/>
        <v>19118.129999999997</v>
      </c>
      <c r="AQ42" s="105"/>
      <c r="AR42" s="83"/>
      <c r="AS42" s="83"/>
      <c r="AT42" s="83"/>
      <c r="AU42" s="107"/>
      <c r="AV42" s="103">
        <v>0</v>
      </c>
      <c r="AW42" s="94">
        <f t="shared" si="2"/>
        <v>19118.129999999997</v>
      </c>
      <c r="AX42" s="83">
        <f t="shared" si="3"/>
        <v>1911.8129999999999</v>
      </c>
      <c r="AY42" s="94">
        <f t="shared" si="4"/>
        <v>17206.316999999999</v>
      </c>
      <c r="AZ42" s="83">
        <f t="shared" si="5"/>
        <v>0</v>
      </c>
      <c r="BA42" s="83">
        <f t="shared" si="6"/>
        <v>24.744799999999998</v>
      </c>
      <c r="BB42" s="94">
        <f t="shared" si="7"/>
        <v>19142.874799999998</v>
      </c>
      <c r="BC42" s="153"/>
      <c r="BD42" s="85">
        <f t="shared" si="26"/>
        <v>-17206.316999999999</v>
      </c>
      <c r="BE42" s="153"/>
      <c r="BF42" s="153"/>
      <c r="BG42" s="85">
        <f t="shared" si="27"/>
        <v>0</v>
      </c>
      <c r="BH42" s="86">
        <v>2782513943</v>
      </c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20"/>
      <c r="BT42" s="20"/>
      <c r="BU42" s="20"/>
      <c r="BV42" s="20"/>
      <c r="BY42" s="50">
        <f>+S42-'C&amp;A'!I42-SINDICATO!N42</f>
        <v>0</v>
      </c>
    </row>
    <row r="43" spans="1:77" x14ac:dyDescent="0.25">
      <c r="A43" s="19" t="s">
        <v>94</v>
      </c>
      <c r="B43" s="20" t="s">
        <v>95</v>
      </c>
      <c r="C43" s="21">
        <f t="shared" si="8"/>
        <v>3250</v>
      </c>
      <c r="D43" s="21">
        <v>125.12056780965156</v>
      </c>
      <c r="E43" s="21">
        <f t="shared" si="9"/>
        <v>0</v>
      </c>
      <c r="F43" s="21">
        <f t="shared" si="10"/>
        <v>0</v>
      </c>
      <c r="G43" s="21">
        <f t="shared" si="11"/>
        <v>0</v>
      </c>
      <c r="H43" s="21">
        <v>0</v>
      </c>
      <c r="I43" s="21">
        <v>0</v>
      </c>
      <c r="J43" s="21">
        <f t="shared" si="12"/>
        <v>3375.1205678096517</v>
      </c>
      <c r="K43" s="21">
        <f t="shared" si="13"/>
        <v>0</v>
      </c>
      <c r="L43" s="21">
        <f t="shared" si="14"/>
        <v>45.15</v>
      </c>
      <c r="M43" s="21">
        <f t="shared" si="15"/>
        <v>0</v>
      </c>
      <c r="N43" s="21">
        <v>0</v>
      </c>
      <c r="O43" s="21"/>
      <c r="P43" s="21">
        <f t="shared" si="16"/>
        <v>0</v>
      </c>
      <c r="Q43" s="21">
        <f t="shared" si="17"/>
        <v>0</v>
      </c>
      <c r="R43" s="21">
        <f t="shared" si="18"/>
        <v>45.15</v>
      </c>
      <c r="S43" s="21">
        <f t="shared" si="19"/>
        <v>3329.9705678096516</v>
      </c>
      <c r="T43" s="21">
        <f t="shared" si="20"/>
        <v>3329.9705678096516</v>
      </c>
      <c r="U43" s="21">
        <f t="shared" si="21"/>
        <v>320.48500000000001</v>
      </c>
      <c r="V43" s="21">
        <f>+'C&amp;A'!E43*0.02</f>
        <v>21.911999999999999</v>
      </c>
      <c r="W43" s="21">
        <f t="shared" si="22"/>
        <v>3672.3675678096515</v>
      </c>
      <c r="X43" s="21">
        <f t="shared" si="23"/>
        <v>587.57881084954431</v>
      </c>
      <c r="Y43" s="21">
        <f t="shared" si="24"/>
        <v>4259.9463786591959</v>
      </c>
      <c r="Z43" s="171">
        <f t="shared" si="25"/>
        <v>125.12056780965167</v>
      </c>
      <c r="AA43" s="103" t="s">
        <v>203</v>
      </c>
      <c r="AB43" s="103" t="s">
        <v>94</v>
      </c>
      <c r="AC43" s="103" t="s">
        <v>254</v>
      </c>
      <c r="AD43" s="108"/>
      <c r="AE43" s="108"/>
      <c r="AF43" s="103" t="s">
        <v>134</v>
      </c>
      <c r="AG43" s="104" t="s">
        <v>255</v>
      </c>
      <c r="AH43" s="104"/>
      <c r="AI43" s="105">
        <v>1237.2399999999998</v>
      </c>
      <c r="AJ43" s="104">
        <f>1612.76+400</f>
        <v>2012.76</v>
      </c>
      <c r="AK43" s="105">
        <f t="shared" si="0"/>
        <v>3250</v>
      </c>
      <c r="AL43" s="105"/>
      <c r="AM43" s="105"/>
      <c r="AN43" s="105"/>
      <c r="AO43" s="106">
        <v>45.15</v>
      </c>
      <c r="AP43" s="94">
        <f t="shared" si="1"/>
        <v>3204.85</v>
      </c>
      <c r="AQ43" s="105"/>
      <c r="AR43" s="83"/>
      <c r="AS43" s="83"/>
      <c r="AT43" s="83"/>
      <c r="AU43" s="107"/>
      <c r="AV43" s="103">
        <v>0</v>
      </c>
      <c r="AW43" s="94">
        <f t="shared" si="2"/>
        <v>3204.85</v>
      </c>
      <c r="AX43" s="83">
        <f t="shared" si="3"/>
        <v>0</v>
      </c>
      <c r="AY43" s="94">
        <f t="shared" si="4"/>
        <v>3204.85</v>
      </c>
      <c r="AZ43" s="83">
        <f t="shared" si="5"/>
        <v>320.48500000000001</v>
      </c>
      <c r="BA43" s="83">
        <f t="shared" si="6"/>
        <v>24.744799999999998</v>
      </c>
      <c r="BB43" s="94">
        <f t="shared" si="7"/>
        <v>3550.0798</v>
      </c>
      <c r="BC43" s="153"/>
      <c r="BD43" s="85">
        <f t="shared" si="26"/>
        <v>-3204.85</v>
      </c>
      <c r="BE43" s="153"/>
      <c r="BF43" s="153"/>
      <c r="BG43" s="85">
        <f t="shared" si="27"/>
        <v>0</v>
      </c>
      <c r="BH43" s="86">
        <v>2631133012</v>
      </c>
      <c r="BI43" s="72"/>
      <c r="BJ43" s="86"/>
      <c r="BK43" s="86"/>
      <c r="BL43" s="86"/>
      <c r="BM43" s="86"/>
      <c r="BN43" s="86"/>
      <c r="BO43" s="86"/>
      <c r="BP43" s="86"/>
      <c r="BQ43" s="86"/>
      <c r="BR43" s="86"/>
      <c r="BS43" s="20"/>
      <c r="BT43" s="20"/>
      <c r="BU43" s="20"/>
      <c r="BV43" s="20"/>
      <c r="BY43" s="50">
        <f>+S43-'C&amp;A'!I43-SINDICATO!N43</f>
        <v>0</v>
      </c>
    </row>
    <row r="44" spans="1:77" x14ac:dyDescent="0.25">
      <c r="A44" s="19" t="s">
        <v>96</v>
      </c>
      <c r="B44" s="20" t="s">
        <v>97</v>
      </c>
      <c r="C44" s="21">
        <f t="shared" si="8"/>
        <v>3150</v>
      </c>
      <c r="D44" s="21">
        <v>125.12056780965156</v>
      </c>
      <c r="E44" s="21">
        <f t="shared" si="9"/>
        <v>0</v>
      </c>
      <c r="F44" s="21">
        <f t="shared" si="10"/>
        <v>0</v>
      </c>
      <c r="G44" s="21">
        <f t="shared" si="11"/>
        <v>0</v>
      </c>
      <c r="H44" s="21">
        <v>0</v>
      </c>
      <c r="I44" s="21">
        <v>0</v>
      </c>
      <c r="J44" s="21">
        <f t="shared" si="12"/>
        <v>3275.1205678096517</v>
      </c>
      <c r="K44" s="21">
        <f t="shared" si="13"/>
        <v>0</v>
      </c>
      <c r="L44" s="21">
        <f t="shared" si="14"/>
        <v>45.15</v>
      </c>
      <c r="M44" s="21">
        <f t="shared" si="15"/>
        <v>0</v>
      </c>
      <c r="N44" s="21">
        <v>0</v>
      </c>
      <c r="O44" s="21"/>
      <c r="P44" s="21">
        <f t="shared" si="16"/>
        <v>0</v>
      </c>
      <c r="Q44" s="21">
        <f t="shared" si="17"/>
        <v>0</v>
      </c>
      <c r="R44" s="21">
        <f t="shared" si="18"/>
        <v>45.15</v>
      </c>
      <c r="S44" s="21">
        <f t="shared" si="19"/>
        <v>3229.9705678096516</v>
      </c>
      <c r="T44" s="21">
        <f t="shared" si="20"/>
        <v>3229.9705678096516</v>
      </c>
      <c r="U44" s="21">
        <f t="shared" si="21"/>
        <v>310.48500000000001</v>
      </c>
      <c r="V44" s="21">
        <f>+'C&amp;A'!E44*0.02</f>
        <v>21.911999999999999</v>
      </c>
      <c r="W44" s="21">
        <f t="shared" si="22"/>
        <v>3562.3675678096515</v>
      </c>
      <c r="X44" s="21">
        <f t="shared" si="23"/>
        <v>569.97881084954429</v>
      </c>
      <c r="Y44" s="21">
        <f t="shared" si="24"/>
        <v>4132.3463786591956</v>
      </c>
      <c r="Z44" s="171">
        <f t="shared" si="25"/>
        <v>125.12056780965167</v>
      </c>
      <c r="AA44" s="103" t="s">
        <v>229</v>
      </c>
      <c r="AB44" s="103" t="s">
        <v>96</v>
      </c>
      <c r="AC44" s="103" t="s">
        <v>256</v>
      </c>
      <c r="AD44" s="104"/>
      <c r="AE44" s="104"/>
      <c r="AF44" s="103" t="s">
        <v>257</v>
      </c>
      <c r="AG44" s="104" t="s">
        <v>206</v>
      </c>
      <c r="AH44" s="104"/>
      <c r="AI44" s="105">
        <v>1237.2399999999998</v>
      </c>
      <c r="AJ44" s="104">
        <v>1912.7600000000002</v>
      </c>
      <c r="AK44" s="105">
        <f t="shared" si="0"/>
        <v>3150</v>
      </c>
      <c r="AL44" s="105"/>
      <c r="AM44" s="105"/>
      <c r="AN44" s="105"/>
      <c r="AO44" s="106">
        <v>45.15</v>
      </c>
      <c r="AP44" s="94">
        <f t="shared" si="1"/>
        <v>3104.85</v>
      </c>
      <c r="AQ44" s="105"/>
      <c r="AR44" s="83"/>
      <c r="AS44" s="83"/>
      <c r="AT44" s="83"/>
      <c r="AU44" s="107"/>
      <c r="AV44" s="103">
        <v>0</v>
      </c>
      <c r="AW44" s="94">
        <f t="shared" si="2"/>
        <v>3104.85</v>
      </c>
      <c r="AX44" s="83">
        <f t="shared" si="3"/>
        <v>0</v>
      </c>
      <c r="AY44" s="94">
        <f t="shared" si="4"/>
        <v>3104.85</v>
      </c>
      <c r="AZ44" s="83">
        <f t="shared" si="5"/>
        <v>310.48500000000001</v>
      </c>
      <c r="BA44" s="83">
        <f t="shared" si="6"/>
        <v>24.744799999999998</v>
      </c>
      <c r="BB44" s="94">
        <f t="shared" si="7"/>
        <v>3440.0798</v>
      </c>
      <c r="BC44" s="153"/>
      <c r="BD44" s="85">
        <f t="shared" si="26"/>
        <v>-3104.85</v>
      </c>
      <c r="BE44" s="153"/>
      <c r="BF44" s="153"/>
      <c r="BG44" s="85">
        <f t="shared" si="27"/>
        <v>0</v>
      </c>
      <c r="BH44" s="86">
        <v>2948414130</v>
      </c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20"/>
      <c r="BT44" s="20"/>
      <c r="BU44" s="20"/>
      <c r="BV44" s="20"/>
      <c r="BY44" s="50">
        <f>+S44-'C&amp;A'!I44-SINDICATO!N44</f>
        <v>0</v>
      </c>
    </row>
    <row r="45" spans="1:77" x14ac:dyDescent="0.25">
      <c r="A45" s="19" t="s">
        <v>100</v>
      </c>
      <c r="B45" s="20" t="s">
        <v>101</v>
      </c>
      <c r="C45" s="21">
        <f t="shared" si="8"/>
        <v>2500</v>
      </c>
      <c r="D45" s="21">
        <v>0</v>
      </c>
      <c r="E45" s="21">
        <f t="shared" si="9"/>
        <v>13399.04</v>
      </c>
      <c r="F45" s="21">
        <f t="shared" si="10"/>
        <v>0</v>
      </c>
      <c r="G45" s="21">
        <f t="shared" si="11"/>
        <v>0</v>
      </c>
      <c r="H45" s="21">
        <v>0</v>
      </c>
      <c r="I45" s="21">
        <v>0</v>
      </c>
      <c r="J45" s="21">
        <f t="shared" si="12"/>
        <v>15899.04</v>
      </c>
      <c r="K45" s="21">
        <f t="shared" si="13"/>
        <v>0</v>
      </c>
      <c r="L45" s="21">
        <f t="shared" si="14"/>
        <v>45.15</v>
      </c>
      <c r="M45" s="21">
        <f t="shared" si="15"/>
        <v>0</v>
      </c>
      <c r="N45" s="21">
        <v>0</v>
      </c>
      <c r="O45" s="21"/>
      <c r="P45" s="21">
        <f t="shared" si="16"/>
        <v>0</v>
      </c>
      <c r="Q45" s="21">
        <f t="shared" si="17"/>
        <v>1585.3890000000001</v>
      </c>
      <c r="R45" s="21">
        <f t="shared" si="18"/>
        <v>1630.5390000000002</v>
      </c>
      <c r="S45" s="21">
        <f t="shared" si="19"/>
        <v>14268.501</v>
      </c>
      <c r="T45" s="21">
        <f t="shared" si="20"/>
        <v>15853.890000000001</v>
      </c>
      <c r="U45" s="21">
        <f t="shared" si="21"/>
        <v>0</v>
      </c>
      <c r="V45" s="21">
        <f>+'C&amp;A'!E45*0.02</f>
        <v>21.911999999999999</v>
      </c>
      <c r="W45" s="21">
        <f t="shared" si="22"/>
        <v>15875.802000000001</v>
      </c>
      <c r="X45" s="21">
        <f t="shared" si="23"/>
        <v>2540.1283200000003</v>
      </c>
      <c r="Y45" s="21">
        <f t="shared" si="24"/>
        <v>18415.930320000003</v>
      </c>
      <c r="Z45" s="171">
        <f t="shared" si="25"/>
        <v>0</v>
      </c>
      <c r="AA45" s="103" t="s">
        <v>260</v>
      </c>
      <c r="AB45" s="103" t="s">
        <v>261</v>
      </c>
      <c r="AC45" s="103" t="s">
        <v>364</v>
      </c>
      <c r="AD45" s="108"/>
      <c r="AE45" s="108"/>
      <c r="AF45" s="103" t="s">
        <v>262</v>
      </c>
      <c r="AG45" s="104"/>
      <c r="AH45" s="104"/>
      <c r="AI45" s="105">
        <v>1237.2399999999998</v>
      </c>
      <c r="AJ45" s="104">
        <v>1262.7600000000002</v>
      </c>
      <c r="AK45" s="105">
        <f>+AI45+AJ45</f>
        <v>2500</v>
      </c>
      <c r="AL45" s="105">
        <v>13399.04</v>
      </c>
      <c r="AM45" s="105"/>
      <c r="AN45" s="105"/>
      <c r="AO45" s="106">
        <v>45.15</v>
      </c>
      <c r="AP45" s="94">
        <f>SUM(AK45:AN45)-AO45</f>
        <v>15853.890000000001</v>
      </c>
      <c r="AQ45" s="105"/>
      <c r="AR45" s="83"/>
      <c r="AS45" s="83"/>
      <c r="AT45" s="83"/>
      <c r="AU45" s="107"/>
      <c r="AV45" s="103">
        <v>0</v>
      </c>
      <c r="AW45" s="94">
        <f>+AP45-SUM(AQ45:AV45)</f>
        <v>15853.890000000001</v>
      </c>
      <c r="AX45" s="83">
        <f>IF(AP45&gt;4500,AP45*0.1,0)</f>
        <v>1585.3890000000001</v>
      </c>
      <c r="AY45" s="94">
        <f>+AW45-AX45</f>
        <v>14268.501</v>
      </c>
      <c r="AZ45" s="83">
        <f>IF(AP45&lt;4500,AP45*0.1,0)</f>
        <v>0</v>
      </c>
      <c r="BA45" s="83">
        <f>AI45*0.02</f>
        <v>24.744799999999998</v>
      </c>
      <c r="BB45" s="94">
        <f>+AP45+AZ45+BA45</f>
        <v>15878.634800000002</v>
      </c>
      <c r="BC45" s="153"/>
      <c r="BD45" s="85">
        <f>+BC45-AY45</f>
        <v>-14268.501</v>
      </c>
      <c r="BE45" s="153"/>
      <c r="BF45" s="153"/>
      <c r="BG45" s="85">
        <f>+BE45+BF45-BC45</f>
        <v>0</v>
      </c>
      <c r="BH45" s="86">
        <v>2912923548</v>
      </c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20"/>
      <c r="BT45" s="20"/>
      <c r="BU45" s="20"/>
      <c r="BV45" s="20"/>
      <c r="BY45" s="50">
        <f>+S45-'C&amp;A'!I45-SINDICATO!N45</f>
        <v>0</v>
      </c>
    </row>
    <row r="46" spans="1:77" x14ac:dyDescent="0.25">
      <c r="A46" s="19" t="s">
        <v>98</v>
      </c>
      <c r="B46" s="20" t="s">
        <v>99</v>
      </c>
      <c r="C46" s="21">
        <f t="shared" si="8"/>
        <v>3750</v>
      </c>
      <c r="D46" s="21">
        <v>0</v>
      </c>
      <c r="E46" s="21">
        <f t="shared" si="9"/>
        <v>6813.74</v>
      </c>
      <c r="F46" s="21">
        <f t="shared" si="10"/>
        <v>0</v>
      </c>
      <c r="G46" s="21">
        <f t="shared" si="11"/>
        <v>0</v>
      </c>
      <c r="H46" s="21">
        <v>0</v>
      </c>
      <c r="I46" s="21">
        <v>0</v>
      </c>
      <c r="J46" s="21">
        <f t="shared" si="12"/>
        <v>10563.74</v>
      </c>
      <c r="K46" s="21">
        <f t="shared" si="13"/>
        <v>0</v>
      </c>
      <c r="L46" s="21">
        <f t="shared" si="14"/>
        <v>45.15</v>
      </c>
      <c r="M46" s="21">
        <f t="shared" si="15"/>
        <v>0</v>
      </c>
      <c r="N46" s="21">
        <v>0</v>
      </c>
      <c r="O46" s="21"/>
      <c r="P46" s="21">
        <f t="shared" si="16"/>
        <v>395.88</v>
      </c>
      <c r="Q46" s="21">
        <f t="shared" si="17"/>
        <v>1051.8590000000002</v>
      </c>
      <c r="R46" s="21">
        <f t="shared" si="18"/>
        <v>1492.8890000000001</v>
      </c>
      <c r="S46" s="21">
        <f t="shared" si="19"/>
        <v>9070.8509999999987</v>
      </c>
      <c r="T46" s="21">
        <f t="shared" si="20"/>
        <v>10518.59</v>
      </c>
      <c r="U46" s="21">
        <f t="shared" si="21"/>
        <v>0</v>
      </c>
      <c r="V46" s="21">
        <f>+'C&amp;A'!E46*0.02</f>
        <v>21.911999999999999</v>
      </c>
      <c r="W46" s="21">
        <f t="shared" si="22"/>
        <v>10540.502</v>
      </c>
      <c r="X46" s="21">
        <f t="shared" si="23"/>
        <v>1686.4803200000001</v>
      </c>
      <c r="Y46" s="21">
        <f t="shared" si="24"/>
        <v>12226.982320000001</v>
      </c>
      <c r="Z46" s="171">
        <f t="shared" si="25"/>
        <v>0</v>
      </c>
      <c r="AA46" s="103" t="s">
        <v>218</v>
      </c>
      <c r="AB46" s="103" t="s">
        <v>258</v>
      </c>
      <c r="AC46" s="103" t="s">
        <v>259</v>
      </c>
      <c r="AD46" s="108"/>
      <c r="AE46" s="108"/>
      <c r="AF46" s="103" t="s">
        <v>144</v>
      </c>
      <c r="AG46" s="104"/>
      <c r="AH46" s="104"/>
      <c r="AI46" s="105">
        <v>1237.2399999999998</v>
      </c>
      <c r="AJ46" s="104">
        <v>2512.7600000000002</v>
      </c>
      <c r="AK46" s="105">
        <f t="shared" si="0"/>
        <v>3750</v>
      </c>
      <c r="AL46" s="105">
        <v>6813.74</v>
      </c>
      <c r="AM46" s="105"/>
      <c r="AN46" s="105"/>
      <c r="AO46" s="106">
        <v>45.15</v>
      </c>
      <c r="AP46" s="94">
        <f t="shared" si="1"/>
        <v>10518.59</v>
      </c>
      <c r="AQ46" s="105"/>
      <c r="AR46" s="83"/>
      <c r="AS46" s="83"/>
      <c r="AT46" s="83"/>
      <c r="AU46" s="107"/>
      <c r="AV46" s="103">
        <v>395.88</v>
      </c>
      <c r="AW46" s="94">
        <f t="shared" si="2"/>
        <v>10122.710000000001</v>
      </c>
      <c r="AX46" s="83">
        <f t="shared" si="3"/>
        <v>1051.8590000000002</v>
      </c>
      <c r="AY46" s="94">
        <f t="shared" si="4"/>
        <v>9070.8510000000006</v>
      </c>
      <c r="AZ46" s="83">
        <f t="shared" si="5"/>
        <v>0</v>
      </c>
      <c r="BA46" s="83">
        <f t="shared" si="6"/>
        <v>24.744799999999998</v>
      </c>
      <c r="BB46" s="94">
        <f t="shared" si="7"/>
        <v>10543.334800000001</v>
      </c>
      <c r="BC46" s="153"/>
      <c r="BD46" s="85">
        <f t="shared" si="26"/>
        <v>-9070.8510000000006</v>
      </c>
      <c r="BE46" s="153"/>
      <c r="BF46" s="153"/>
      <c r="BG46" s="85">
        <f t="shared" si="27"/>
        <v>0</v>
      </c>
      <c r="BH46" s="86">
        <v>2934137264</v>
      </c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20"/>
      <c r="BT46" s="20"/>
      <c r="BU46" s="20"/>
      <c r="BV46" s="20"/>
      <c r="BY46" s="50">
        <f>+S46-'C&amp;A'!I46-SINDICATO!N46</f>
        <v>0</v>
      </c>
    </row>
    <row r="47" spans="1:77" x14ac:dyDescent="0.25">
      <c r="A47" s="19" t="s">
        <v>102</v>
      </c>
      <c r="B47" s="20" t="s">
        <v>103</v>
      </c>
      <c r="C47" s="21">
        <f t="shared" si="8"/>
        <v>3000</v>
      </c>
      <c r="D47" s="21">
        <v>145.37389713135775</v>
      </c>
      <c r="E47" s="21">
        <f t="shared" si="9"/>
        <v>0</v>
      </c>
      <c r="F47" s="21">
        <f t="shared" si="10"/>
        <v>0</v>
      </c>
      <c r="G47" s="21">
        <f t="shared" si="11"/>
        <v>0</v>
      </c>
      <c r="H47" s="21">
        <v>0</v>
      </c>
      <c r="I47" s="21">
        <v>0</v>
      </c>
      <c r="J47" s="21">
        <f t="shared" si="12"/>
        <v>3145.3738971313578</v>
      </c>
      <c r="K47" s="21">
        <f t="shared" si="13"/>
        <v>0</v>
      </c>
      <c r="L47" s="21">
        <f t="shared" si="14"/>
        <v>45.15</v>
      </c>
      <c r="M47" s="21">
        <f t="shared" si="15"/>
        <v>0</v>
      </c>
      <c r="N47" s="21">
        <v>0</v>
      </c>
      <c r="O47" s="21"/>
      <c r="P47" s="21">
        <f t="shared" si="16"/>
        <v>0</v>
      </c>
      <c r="Q47" s="21">
        <f t="shared" si="17"/>
        <v>0</v>
      </c>
      <c r="R47" s="21">
        <f t="shared" si="18"/>
        <v>45.15</v>
      </c>
      <c r="S47" s="21">
        <f t="shared" si="19"/>
        <v>3100.2238971313577</v>
      </c>
      <c r="T47" s="21">
        <f t="shared" si="20"/>
        <v>3100.2238971313577</v>
      </c>
      <c r="U47" s="21">
        <f t="shared" si="21"/>
        <v>295.48500000000001</v>
      </c>
      <c r="V47" s="21">
        <f>+'C&amp;A'!E47*0.02</f>
        <v>21.911999999999999</v>
      </c>
      <c r="W47" s="21">
        <f t="shared" si="22"/>
        <v>3417.6208971313577</v>
      </c>
      <c r="X47" s="21">
        <f t="shared" si="23"/>
        <v>546.81934354101725</v>
      </c>
      <c r="Y47" s="21">
        <f t="shared" si="24"/>
        <v>3964.4402406723748</v>
      </c>
      <c r="Z47" s="171">
        <f t="shared" si="25"/>
        <v>145.37389713135781</v>
      </c>
      <c r="AA47" s="103" t="s">
        <v>229</v>
      </c>
      <c r="AB47" s="103" t="s">
        <v>102</v>
      </c>
      <c r="AC47" s="103" t="s">
        <v>263</v>
      </c>
      <c r="AD47" s="104"/>
      <c r="AE47" s="104"/>
      <c r="AF47" s="103" t="s">
        <v>264</v>
      </c>
      <c r="AG47" s="104" t="s">
        <v>206</v>
      </c>
      <c r="AH47" s="104"/>
      <c r="AI47" s="105">
        <v>1237.2399999999998</v>
      </c>
      <c r="AJ47" s="104">
        <v>1762.7600000000002</v>
      </c>
      <c r="AK47" s="105">
        <f t="shared" si="0"/>
        <v>3000</v>
      </c>
      <c r="AL47" s="105"/>
      <c r="AM47" s="105"/>
      <c r="AN47" s="105"/>
      <c r="AO47" s="106">
        <v>45.15</v>
      </c>
      <c r="AP47" s="94">
        <f t="shared" si="1"/>
        <v>2954.85</v>
      </c>
      <c r="AQ47" s="105"/>
      <c r="AR47" s="83"/>
      <c r="AS47" s="83"/>
      <c r="AT47" s="83"/>
      <c r="AU47" s="107"/>
      <c r="AV47" s="103">
        <v>0</v>
      </c>
      <c r="AW47" s="94">
        <f t="shared" si="2"/>
        <v>2954.85</v>
      </c>
      <c r="AX47" s="83">
        <f t="shared" si="3"/>
        <v>0</v>
      </c>
      <c r="AY47" s="94">
        <f t="shared" si="4"/>
        <v>2954.85</v>
      </c>
      <c r="AZ47" s="83">
        <f t="shared" si="5"/>
        <v>295.48500000000001</v>
      </c>
      <c r="BA47" s="83">
        <f t="shared" si="6"/>
        <v>24.744799999999998</v>
      </c>
      <c r="BB47" s="94">
        <f t="shared" si="7"/>
        <v>3275.0798</v>
      </c>
      <c r="BC47" s="153"/>
      <c r="BD47" s="85">
        <f t="shared" si="26"/>
        <v>-2954.85</v>
      </c>
      <c r="BE47" s="153"/>
      <c r="BF47" s="153"/>
      <c r="BG47" s="85">
        <f t="shared" si="27"/>
        <v>0</v>
      </c>
      <c r="BH47" s="86">
        <v>2985396239</v>
      </c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20"/>
      <c r="BT47" s="20"/>
      <c r="BU47" s="20"/>
      <c r="BV47" s="20"/>
      <c r="BY47" s="50">
        <f>+S47-'C&amp;A'!I47-SINDICATO!N47</f>
        <v>0</v>
      </c>
    </row>
    <row r="48" spans="1:77" x14ac:dyDescent="0.25">
      <c r="A48" s="19" t="s">
        <v>104</v>
      </c>
      <c r="B48" s="20" t="s">
        <v>105</v>
      </c>
      <c r="C48" s="21">
        <f t="shared" si="8"/>
        <v>4500</v>
      </c>
      <c r="D48" s="21">
        <v>0</v>
      </c>
      <c r="E48" s="21">
        <f t="shared" si="9"/>
        <v>2500</v>
      </c>
      <c r="F48" s="21">
        <f t="shared" si="10"/>
        <v>0</v>
      </c>
      <c r="G48" s="21">
        <f t="shared" si="11"/>
        <v>0</v>
      </c>
      <c r="H48" s="21">
        <v>0</v>
      </c>
      <c r="I48" s="21">
        <v>0</v>
      </c>
      <c r="J48" s="21">
        <f t="shared" si="12"/>
        <v>7000</v>
      </c>
      <c r="K48" s="21">
        <f t="shared" si="13"/>
        <v>0</v>
      </c>
      <c r="L48" s="21">
        <f t="shared" si="14"/>
        <v>45.15</v>
      </c>
      <c r="M48" s="21">
        <f t="shared" si="15"/>
        <v>0</v>
      </c>
      <c r="N48" s="21">
        <v>0</v>
      </c>
      <c r="O48" s="21"/>
      <c r="P48" s="21">
        <f t="shared" si="16"/>
        <v>0</v>
      </c>
      <c r="Q48" s="21">
        <f t="shared" si="17"/>
        <v>695.48500000000013</v>
      </c>
      <c r="R48" s="21">
        <f t="shared" si="18"/>
        <v>740.6350000000001</v>
      </c>
      <c r="S48" s="21">
        <f t="shared" si="19"/>
        <v>6259.3649999999998</v>
      </c>
      <c r="T48" s="21">
        <f t="shared" si="20"/>
        <v>6954.85</v>
      </c>
      <c r="U48" s="21">
        <f t="shared" si="21"/>
        <v>0</v>
      </c>
      <c r="V48" s="21">
        <f>+'C&amp;A'!E48*0.02</f>
        <v>21.911999999999999</v>
      </c>
      <c r="W48" s="21">
        <f t="shared" si="22"/>
        <v>6976.7620000000006</v>
      </c>
      <c r="X48" s="21">
        <f t="shared" si="23"/>
        <v>1116.2819200000001</v>
      </c>
      <c r="Y48" s="21">
        <f t="shared" si="24"/>
        <v>8093.043920000001</v>
      </c>
      <c r="Z48" s="171">
        <f t="shared" si="25"/>
        <v>0</v>
      </c>
      <c r="AA48" s="103" t="s">
        <v>221</v>
      </c>
      <c r="AB48" s="103" t="s">
        <v>104</v>
      </c>
      <c r="AC48" s="103" t="s">
        <v>265</v>
      </c>
      <c r="AD48" s="108"/>
      <c r="AE48" s="108"/>
      <c r="AF48" s="103" t="s">
        <v>136</v>
      </c>
      <c r="AG48" s="104"/>
      <c r="AH48" s="104"/>
      <c r="AI48" s="105">
        <v>1237.2399999999998</v>
      </c>
      <c r="AJ48" s="104">
        <v>3262.76</v>
      </c>
      <c r="AK48" s="105">
        <f t="shared" si="0"/>
        <v>4500</v>
      </c>
      <c r="AL48" s="105">
        <v>2500</v>
      </c>
      <c r="AM48" s="105"/>
      <c r="AN48" s="105"/>
      <c r="AO48" s="106">
        <v>45.15</v>
      </c>
      <c r="AP48" s="94">
        <f t="shared" si="1"/>
        <v>6954.85</v>
      </c>
      <c r="AQ48" s="105"/>
      <c r="AR48" s="83"/>
      <c r="AS48" s="83"/>
      <c r="AT48" s="83"/>
      <c r="AU48" s="107"/>
      <c r="AV48" s="103">
        <v>0</v>
      </c>
      <c r="AW48" s="94">
        <f t="shared" si="2"/>
        <v>6954.85</v>
      </c>
      <c r="AX48" s="83">
        <f t="shared" si="3"/>
        <v>695.48500000000013</v>
      </c>
      <c r="AY48" s="94">
        <f t="shared" si="4"/>
        <v>6259.3649999999998</v>
      </c>
      <c r="AZ48" s="83">
        <f t="shared" si="5"/>
        <v>0</v>
      </c>
      <c r="BA48" s="83">
        <f t="shared" si="6"/>
        <v>24.744799999999998</v>
      </c>
      <c r="BB48" s="94">
        <f t="shared" si="7"/>
        <v>6979.5948000000008</v>
      </c>
      <c r="BC48" s="153"/>
      <c r="BD48" s="85">
        <f t="shared" si="26"/>
        <v>-6259.3649999999998</v>
      </c>
      <c r="BE48" s="153"/>
      <c r="BF48" s="153"/>
      <c r="BG48" s="85">
        <f t="shared" si="27"/>
        <v>0</v>
      </c>
      <c r="BH48" s="86">
        <v>2893013472</v>
      </c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20"/>
      <c r="BT48" s="20"/>
      <c r="BU48" s="20"/>
      <c r="BV48" s="20"/>
      <c r="BY48" s="50">
        <f>+S48-'C&amp;A'!I48-SINDICATO!N48</f>
        <v>0</v>
      </c>
    </row>
    <row r="49" spans="1:77" x14ac:dyDescent="0.25">
      <c r="A49" s="19" t="s">
        <v>106</v>
      </c>
      <c r="B49" s="20" t="s">
        <v>107</v>
      </c>
      <c r="C49" s="21">
        <f t="shared" si="8"/>
        <v>3000</v>
      </c>
      <c r="D49" s="21">
        <v>145.37389713135775</v>
      </c>
      <c r="E49" s="21">
        <f t="shared" si="9"/>
        <v>0</v>
      </c>
      <c r="F49" s="21">
        <f t="shared" si="10"/>
        <v>0</v>
      </c>
      <c r="G49" s="21">
        <f t="shared" si="11"/>
        <v>0</v>
      </c>
      <c r="H49" s="21">
        <v>0</v>
      </c>
      <c r="I49" s="21">
        <v>0</v>
      </c>
      <c r="J49" s="21">
        <f t="shared" si="12"/>
        <v>3145.3738971313578</v>
      </c>
      <c r="K49" s="21">
        <f t="shared" si="13"/>
        <v>0</v>
      </c>
      <c r="L49" s="21">
        <f t="shared" si="14"/>
        <v>45.15</v>
      </c>
      <c r="M49" s="21">
        <f t="shared" si="15"/>
        <v>0</v>
      </c>
      <c r="N49" s="21">
        <v>0</v>
      </c>
      <c r="O49" s="21"/>
      <c r="P49" s="21">
        <f t="shared" si="16"/>
        <v>0</v>
      </c>
      <c r="Q49" s="21">
        <f t="shared" si="17"/>
        <v>0</v>
      </c>
      <c r="R49" s="21">
        <f t="shared" si="18"/>
        <v>45.15</v>
      </c>
      <c r="S49" s="21">
        <f t="shared" si="19"/>
        <v>3100.2238971313577</v>
      </c>
      <c r="T49" s="21">
        <f t="shared" si="20"/>
        <v>3100.2238971313577</v>
      </c>
      <c r="U49" s="21">
        <f t="shared" si="21"/>
        <v>295.48500000000001</v>
      </c>
      <c r="V49" s="21">
        <f>+'C&amp;A'!E49*0.02</f>
        <v>21.911999999999999</v>
      </c>
      <c r="W49" s="21">
        <f t="shared" si="22"/>
        <v>3417.6208971313577</v>
      </c>
      <c r="X49" s="21">
        <f t="shared" si="23"/>
        <v>546.81934354101725</v>
      </c>
      <c r="Y49" s="21">
        <f t="shared" si="24"/>
        <v>3964.4402406723748</v>
      </c>
      <c r="Z49" s="171">
        <f t="shared" si="25"/>
        <v>145.37389713135781</v>
      </c>
      <c r="AA49" s="103" t="s">
        <v>203</v>
      </c>
      <c r="AB49" s="103" t="s">
        <v>106</v>
      </c>
      <c r="AC49" s="103" t="s">
        <v>266</v>
      </c>
      <c r="AD49" s="108"/>
      <c r="AE49" s="108"/>
      <c r="AF49" s="103" t="s">
        <v>267</v>
      </c>
      <c r="AG49" s="104" t="s">
        <v>268</v>
      </c>
      <c r="AH49" s="104"/>
      <c r="AI49" s="105">
        <v>1237.2399999999998</v>
      </c>
      <c r="AJ49" s="104">
        <f>1612.76+150</f>
        <v>1762.76</v>
      </c>
      <c r="AK49" s="105">
        <f t="shared" si="0"/>
        <v>3000</v>
      </c>
      <c r="AL49" s="105"/>
      <c r="AM49" s="105"/>
      <c r="AN49" s="105"/>
      <c r="AO49" s="106">
        <v>45.15</v>
      </c>
      <c r="AP49" s="94">
        <f t="shared" si="1"/>
        <v>2954.85</v>
      </c>
      <c r="AQ49" s="105"/>
      <c r="AR49" s="83"/>
      <c r="AS49" s="83"/>
      <c r="AT49" s="83"/>
      <c r="AU49" s="107"/>
      <c r="AV49" s="103">
        <v>0</v>
      </c>
      <c r="AW49" s="94">
        <f t="shared" si="2"/>
        <v>2954.85</v>
      </c>
      <c r="AX49" s="83">
        <f t="shared" si="3"/>
        <v>0</v>
      </c>
      <c r="AY49" s="94">
        <f t="shared" si="4"/>
        <v>2954.85</v>
      </c>
      <c r="AZ49" s="83">
        <f t="shared" si="5"/>
        <v>295.48500000000001</v>
      </c>
      <c r="BA49" s="83">
        <f t="shared" si="6"/>
        <v>24.744799999999998</v>
      </c>
      <c r="BB49" s="94">
        <f t="shared" si="7"/>
        <v>3275.0798</v>
      </c>
      <c r="BC49" s="153"/>
      <c r="BD49" s="85">
        <f t="shared" si="26"/>
        <v>-2954.85</v>
      </c>
      <c r="BE49" s="153"/>
      <c r="BF49" s="153"/>
      <c r="BG49" s="85">
        <f t="shared" si="27"/>
        <v>0</v>
      </c>
      <c r="BH49" s="86">
        <v>2836126510</v>
      </c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20"/>
      <c r="BT49" s="20"/>
      <c r="BU49" s="20"/>
      <c r="BV49" s="20"/>
      <c r="BY49" s="50">
        <f>+S49-'C&amp;A'!I49-SINDICATO!N49</f>
        <v>0</v>
      </c>
    </row>
    <row r="50" spans="1:77" x14ac:dyDescent="0.25">
      <c r="A50" s="19" t="s">
        <v>108</v>
      </c>
      <c r="B50" s="20" t="s">
        <v>109</v>
      </c>
      <c r="C50" s="21">
        <f t="shared" si="8"/>
        <v>4500</v>
      </c>
      <c r="D50" s="21">
        <v>0</v>
      </c>
      <c r="E50" s="21">
        <f t="shared" si="9"/>
        <v>3700</v>
      </c>
      <c r="F50" s="21">
        <f t="shared" si="10"/>
        <v>0</v>
      </c>
      <c r="G50" s="21">
        <f t="shared" si="11"/>
        <v>0</v>
      </c>
      <c r="H50" s="21">
        <v>0</v>
      </c>
      <c r="I50" s="21">
        <v>0</v>
      </c>
      <c r="J50" s="21">
        <f t="shared" si="12"/>
        <v>8200</v>
      </c>
      <c r="K50" s="21">
        <f t="shared" si="13"/>
        <v>0</v>
      </c>
      <c r="L50" s="21">
        <f t="shared" si="14"/>
        <v>45.15</v>
      </c>
      <c r="M50" s="21">
        <f t="shared" si="15"/>
        <v>0</v>
      </c>
      <c r="N50" s="21">
        <v>0</v>
      </c>
      <c r="O50" s="21"/>
      <c r="P50" s="21">
        <f t="shared" si="16"/>
        <v>0</v>
      </c>
      <c r="Q50" s="21">
        <f t="shared" si="17"/>
        <v>815.48500000000013</v>
      </c>
      <c r="R50" s="21">
        <f t="shared" si="18"/>
        <v>860.6350000000001</v>
      </c>
      <c r="S50" s="21">
        <f t="shared" si="19"/>
        <v>7339.3649999999998</v>
      </c>
      <c r="T50" s="21">
        <f t="shared" si="20"/>
        <v>8154.85</v>
      </c>
      <c r="U50" s="21">
        <f t="shared" si="21"/>
        <v>0</v>
      </c>
      <c r="V50" s="21">
        <f>+'C&amp;A'!E50*0.02</f>
        <v>21.911999999999999</v>
      </c>
      <c r="W50" s="21">
        <f t="shared" si="22"/>
        <v>8176.7620000000006</v>
      </c>
      <c r="X50" s="21">
        <f t="shared" si="23"/>
        <v>1308.2819200000001</v>
      </c>
      <c r="Y50" s="21">
        <f t="shared" si="24"/>
        <v>9485.0439200000001</v>
      </c>
      <c r="Z50" s="171">
        <f t="shared" si="25"/>
        <v>0</v>
      </c>
      <c r="AA50" s="103" t="s">
        <v>229</v>
      </c>
      <c r="AB50" s="103" t="s">
        <v>108</v>
      </c>
      <c r="AC50" s="103" t="s">
        <v>269</v>
      </c>
      <c r="AD50" s="108"/>
      <c r="AE50" s="108"/>
      <c r="AF50" s="103" t="s">
        <v>215</v>
      </c>
      <c r="AG50" s="104"/>
      <c r="AH50" s="104"/>
      <c r="AI50" s="105">
        <v>1237.2399999999998</v>
      </c>
      <c r="AJ50" s="104">
        <v>3262.76</v>
      </c>
      <c r="AK50" s="105">
        <f t="shared" si="0"/>
        <v>4500</v>
      </c>
      <c r="AL50" s="105">
        <v>3700</v>
      </c>
      <c r="AM50" s="105"/>
      <c r="AN50" s="105"/>
      <c r="AO50" s="106">
        <v>45.15</v>
      </c>
      <c r="AP50" s="94">
        <f t="shared" si="1"/>
        <v>8154.85</v>
      </c>
      <c r="AQ50" s="105"/>
      <c r="AR50" s="83"/>
      <c r="AS50" s="83"/>
      <c r="AT50" s="83"/>
      <c r="AU50" s="107"/>
      <c r="AV50" s="103">
        <v>0</v>
      </c>
      <c r="AW50" s="94">
        <f t="shared" si="2"/>
        <v>8154.85</v>
      </c>
      <c r="AX50" s="83">
        <f t="shared" si="3"/>
        <v>815.48500000000013</v>
      </c>
      <c r="AY50" s="94">
        <f t="shared" si="4"/>
        <v>7339.3649999999998</v>
      </c>
      <c r="AZ50" s="83">
        <f t="shared" si="5"/>
        <v>0</v>
      </c>
      <c r="BA50" s="83">
        <f t="shared" si="6"/>
        <v>24.744799999999998</v>
      </c>
      <c r="BB50" s="94">
        <f t="shared" si="7"/>
        <v>8179.5948000000008</v>
      </c>
      <c r="BC50" s="153"/>
      <c r="BD50" s="85">
        <f t="shared" si="26"/>
        <v>-7339.3649999999998</v>
      </c>
      <c r="BE50" s="153"/>
      <c r="BF50" s="153"/>
      <c r="BG50" s="85">
        <f t="shared" si="27"/>
        <v>0</v>
      </c>
      <c r="BH50" s="86">
        <v>2894923057</v>
      </c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20"/>
      <c r="BT50" s="20"/>
      <c r="BU50" s="20"/>
      <c r="BV50" s="20"/>
      <c r="BY50" s="50">
        <f>+S50-'C&amp;A'!I50-SINDICATO!N50</f>
        <v>0</v>
      </c>
    </row>
    <row r="51" spans="1:77" x14ac:dyDescent="0.25">
      <c r="A51" s="19"/>
      <c r="B51" s="103" t="s">
        <v>366</v>
      </c>
      <c r="C51" s="21">
        <f t="shared" si="8"/>
        <v>6000</v>
      </c>
      <c r="D51" s="21">
        <v>0</v>
      </c>
      <c r="E51" s="21">
        <f t="shared" si="9"/>
        <v>0</v>
      </c>
      <c r="F51" s="21">
        <f t="shared" si="10"/>
        <v>0</v>
      </c>
      <c r="G51" s="21">
        <f t="shared" si="11"/>
        <v>0</v>
      </c>
      <c r="H51" s="21">
        <v>0</v>
      </c>
      <c r="I51" s="21">
        <v>0</v>
      </c>
      <c r="J51" s="21">
        <f t="shared" si="12"/>
        <v>6000</v>
      </c>
      <c r="K51" s="21">
        <f t="shared" si="13"/>
        <v>0</v>
      </c>
      <c r="L51" s="21">
        <f t="shared" si="14"/>
        <v>45.15</v>
      </c>
      <c r="M51" s="21">
        <f t="shared" si="15"/>
        <v>0</v>
      </c>
      <c r="N51" s="21">
        <v>0</v>
      </c>
      <c r="O51" s="21"/>
      <c r="P51" s="21">
        <f t="shared" si="16"/>
        <v>1014.46</v>
      </c>
      <c r="Q51" s="21">
        <f t="shared" si="17"/>
        <v>595.48500000000001</v>
      </c>
      <c r="R51" s="21">
        <f t="shared" si="18"/>
        <v>1655.0950000000003</v>
      </c>
      <c r="S51" s="21">
        <f t="shared" si="19"/>
        <v>4344.9049999999997</v>
      </c>
      <c r="T51" s="21">
        <f t="shared" si="20"/>
        <v>5954.85</v>
      </c>
      <c r="U51" s="21">
        <f t="shared" si="21"/>
        <v>0</v>
      </c>
      <c r="V51" s="21">
        <f>+'C&amp;A'!E51*0.02</f>
        <v>21.911999999999999</v>
      </c>
      <c r="W51" s="21">
        <f t="shared" si="22"/>
        <v>5976.7620000000006</v>
      </c>
      <c r="X51" s="21">
        <f t="shared" si="23"/>
        <v>956.28192000000013</v>
      </c>
      <c r="Y51" s="21">
        <f t="shared" si="24"/>
        <v>6933.043920000001</v>
      </c>
      <c r="Z51" s="171">
        <f t="shared" si="25"/>
        <v>0</v>
      </c>
      <c r="AA51" s="103" t="s">
        <v>207</v>
      </c>
      <c r="AB51" s="103" t="s">
        <v>365</v>
      </c>
      <c r="AC51" s="103" t="s">
        <v>366</v>
      </c>
      <c r="AD51" s="108"/>
      <c r="AE51" s="108"/>
      <c r="AF51" s="103" t="s">
        <v>367</v>
      </c>
      <c r="AG51" s="104" t="s">
        <v>206</v>
      </c>
      <c r="AH51" s="104"/>
      <c r="AI51" s="105">
        <v>1237.2399999999998</v>
      </c>
      <c r="AJ51" s="104">
        <v>4762.76</v>
      </c>
      <c r="AK51" s="105">
        <f>+AI51+AJ51</f>
        <v>6000</v>
      </c>
      <c r="AL51" s="105"/>
      <c r="AM51" s="105"/>
      <c r="AN51" s="105"/>
      <c r="AO51" s="106">
        <v>45.15</v>
      </c>
      <c r="AP51" s="94">
        <f t="shared" si="1"/>
        <v>5954.85</v>
      </c>
      <c r="AQ51" s="105"/>
      <c r="AR51" s="83"/>
      <c r="AS51" s="83"/>
      <c r="AT51" s="83"/>
      <c r="AU51" s="107"/>
      <c r="AV51" s="107">
        <v>1014.46</v>
      </c>
      <c r="AW51" s="94">
        <f t="shared" si="2"/>
        <v>4940.3900000000003</v>
      </c>
      <c r="AX51" s="83">
        <f>IF(AP51&gt;4500,AP51*0.1,0)</f>
        <v>595.48500000000001</v>
      </c>
      <c r="AY51" s="94">
        <f>+AW51-AX51</f>
        <v>4344.9050000000007</v>
      </c>
      <c r="AZ51" s="83">
        <f>IF(AP51&lt;4500,AP51*0.1,0)</f>
        <v>0</v>
      </c>
      <c r="BA51" s="83">
        <f>AI51*0.02</f>
        <v>24.744799999999998</v>
      </c>
      <c r="BB51" s="94">
        <f>+AP51+AZ51+BA51</f>
        <v>5979.5948000000008</v>
      </c>
      <c r="BC51" s="153"/>
      <c r="BD51" s="85">
        <f t="shared" si="26"/>
        <v>-4344.9050000000007</v>
      </c>
      <c r="BE51" s="153"/>
      <c r="BF51" s="153"/>
      <c r="BG51" s="85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20"/>
      <c r="BT51" s="20"/>
      <c r="BU51" s="20"/>
      <c r="BV51" s="20"/>
      <c r="BY51" s="50">
        <f>+S51-'C&amp;A'!I51-SINDICATO!N51</f>
        <v>0</v>
      </c>
    </row>
    <row r="52" spans="1:77" x14ac:dyDescent="0.25">
      <c r="A52" s="19" t="s">
        <v>354</v>
      </c>
      <c r="B52" s="20" t="s">
        <v>111</v>
      </c>
      <c r="C52" s="21">
        <f t="shared" si="8"/>
        <v>4000</v>
      </c>
      <c r="D52" s="21">
        <v>0</v>
      </c>
      <c r="E52" s="21">
        <f t="shared" si="9"/>
        <v>0</v>
      </c>
      <c r="F52" s="21">
        <f t="shared" si="10"/>
        <v>0</v>
      </c>
      <c r="G52" s="21">
        <f t="shared" si="11"/>
        <v>0</v>
      </c>
      <c r="H52" s="21">
        <v>0</v>
      </c>
      <c r="I52" s="21">
        <v>0</v>
      </c>
      <c r="J52" s="21">
        <f t="shared" si="12"/>
        <v>4000</v>
      </c>
      <c r="K52" s="21">
        <f t="shared" si="13"/>
        <v>0</v>
      </c>
      <c r="L52" s="21">
        <f t="shared" si="14"/>
        <v>45.15</v>
      </c>
      <c r="M52" s="21">
        <f t="shared" si="15"/>
        <v>0</v>
      </c>
      <c r="N52" s="21">
        <v>0</v>
      </c>
      <c r="O52" s="21"/>
      <c r="P52" s="21">
        <f t="shared" si="16"/>
        <v>1303.1099999999999</v>
      </c>
      <c r="Q52" s="21">
        <f t="shared" si="17"/>
        <v>0</v>
      </c>
      <c r="R52" s="21">
        <f t="shared" si="18"/>
        <v>1348.26</v>
      </c>
      <c r="S52" s="21">
        <f t="shared" si="19"/>
        <v>2651.74</v>
      </c>
      <c r="T52" s="21">
        <f t="shared" si="20"/>
        <v>3954.85</v>
      </c>
      <c r="U52" s="21">
        <f t="shared" si="21"/>
        <v>395.48500000000001</v>
      </c>
      <c r="V52" s="21">
        <f>+'C&amp;A'!E52*0.02</f>
        <v>21.911999999999999</v>
      </c>
      <c r="W52" s="21">
        <f t="shared" si="22"/>
        <v>4372.2470000000003</v>
      </c>
      <c r="X52" s="21">
        <f t="shared" si="23"/>
        <v>699.55952000000002</v>
      </c>
      <c r="Y52" s="21">
        <f t="shared" si="24"/>
        <v>5071.8065200000001</v>
      </c>
      <c r="Z52" s="171">
        <f t="shared" si="25"/>
        <v>0</v>
      </c>
      <c r="AA52" s="103" t="s">
        <v>203</v>
      </c>
      <c r="AB52" s="103" t="s">
        <v>110</v>
      </c>
      <c r="AC52" s="103" t="s">
        <v>270</v>
      </c>
      <c r="AD52" s="108"/>
      <c r="AE52" s="108"/>
      <c r="AF52" s="103" t="s">
        <v>132</v>
      </c>
      <c r="AG52" s="104" t="s">
        <v>206</v>
      </c>
      <c r="AH52" s="104"/>
      <c r="AI52" s="105">
        <v>1237.2399999999998</v>
      </c>
      <c r="AJ52" s="104">
        <v>2762.76</v>
      </c>
      <c r="AK52" s="105">
        <f t="shared" si="0"/>
        <v>4000</v>
      </c>
      <c r="AL52" s="105"/>
      <c r="AM52" s="105"/>
      <c r="AN52" s="105"/>
      <c r="AO52" s="106">
        <v>45.15</v>
      </c>
      <c r="AP52" s="94">
        <f t="shared" si="1"/>
        <v>3954.85</v>
      </c>
      <c r="AQ52" s="105"/>
      <c r="AR52" s="83"/>
      <c r="AS52" s="83"/>
      <c r="AT52" s="83"/>
      <c r="AU52" s="107"/>
      <c r="AV52" s="172">
        <v>1303.1099999999999</v>
      </c>
      <c r="AW52" s="94">
        <f t="shared" si="2"/>
        <v>2651.74</v>
      </c>
      <c r="AX52" s="83">
        <f t="shared" si="3"/>
        <v>0</v>
      </c>
      <c r="AY52" s="94">
        <f t="shared" si="4"/>
        <v>2651.74</v>
      </c>
      <c r="AZ52" s="83">
        <f t="shared" si="5"/>
        <v>395.48500000000001</v>
      </c>
      <c r="BA52" s="83">
        <f t="shared" si="6"/>
        <v>24.744799999999998</v>
      </c>
      <c r="BB52" s="94">
        <f t="shared" si="7"/>
        <v>4375.0798000000004</v>
      </c>
      <c r="BC52" s="153"/>
      <c r="BD52" s="85">
        <f t="shared" si="26"/>
        <v>-2651.74</v>
      </c>
      <c r="BE52" s="153"/>
      <c r="BF52" s="153"/>
      <c r="BG52" s="85">
        <f t="shared" si="27"/>
        <v>0</v>
      </c>
      <c r="BH52" s="86">
        <v>2914530241</v>
      </c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20"/>
      <c r="BT52" s="20"/>
      <c r="BU52" s="20"/>
      <c r="BV52" s="20"/>
      <c r="BY52" s="50">
        <f>+S52-'C&amp;A'!I52-SINDICATO!N52</f>
        <v>0</v>
      </c>
    </row>
    <row r="53" spans="1:77" x14ac:dyDescent="0.25">
      <c r="A53" s="19" t="s">
        <v>112</v>
      </c>
      <c r="B53" s="20" t="s">
        <v>113</v>
      </c>
      <c r="C53" s="21">
        <f t="shared" si="8"/>
        <v>3250</v>
      </c>
      <c r="D53" s="21">
        <v>0</v>
      </c>
      <c r="E53" s="21">
        <f t="shared" si="9"/>
        <v>4171</v>
      </c>
      <c r="F53" s="21">
        <f t="shared" si="10"/>
        <v>0</v>
      </c>
      <c r="G53" s="21">
        <f t="shared" si="11"/>
        <v>0</v>
      </c>
      <c r="H53" s="21">
        <v>0</v>
      </c>
      <c r="I53" s="21">
        <v>0</v>
      </c>
      <c r="J53" s="21">
        <f t="shared" si="12"/>
        <v>7421</v>
      </c>
      <c r="K53" s="21">
        <f t="shared" si="13"/>
        <v>0</v>
      </c>
      <c r="L53" s="21">
        <f t="shared" si="14"/>
        <v>45.15</v>
      </c>
      <c r="M53" s="21">
        <f t="shared" si="15"/>
        <v>0</v>
      </c>
      <c r="N53" s="21">
        <v>0</v>
      </c>
      <c r="O53" s="21"/>
      <c r="P53" s="21">
        <f t="shared" si="16"/>
        <v>1041.05</v>
      </c>
      <c r="Q53" s="21">
        <f t="shared" si="17"/>
        <v>737.58500000000004</v>
      </c>
      <c r="R53" s="21">
        <f t="shared" si="18"/>
        <v>1823.7850000000001</v>
      </c>
      <c r="S53" s="21">
        <f t="shared" si="19"/>
        <v>5597.2150000000001</v>
      </c>
      <c r="T53" s="21">
        <f t="shared" si="20"/>
        <v>7375.85</v>
      </c>
      <c r="U53" s="21">
        <f t="shared" si="21"/>
        <v>0</v>
      </c>
      <c r="V53" s="21">
        <f>+'C&amp;A'!E53*0.02</f>
        <v>21.911999999999999</v>
      </c>
      <c r="W53" s="21">
        <f t="shared" si="22"/>
        <v>7397.7620000000006</v>
      </c>
      <c r="X53" s="21">
        <f t="shared" si="23"/>
        <v>1183.64192</v>
      </c>
      <c r="Y53" s="21">
        <f t="shared" si="24"/>
        <v>8581.4039200000007</v>
      </c>
      <c r="Z53" s="171">
        <f t="shared" si="25"/>
        <v>0</v>
      </c>
      <c r="AA53" s="103" t="s">
        <v>229</v>
      </c>
      <c r="AB53" s="103" t="s">
        <v>112</v>
      </c>
      <c r="AC53" s="103" t="s">
        <v>271</v>
      </c>
      <c r="AD53" s="108"/>
      <c r="AE53" s="108"/>
      <c r="AF53" s="103" t="s">
        <v>238</v>
      </c>
      <c r="AG53" s="104"/>
      <c r="AH53" s="104"/>
      <c r="AI53" s="105">
        <v>1237.2399999999998</v>
      </c>
      <c r="AJ53" s="104">
        <v>2012.7600000000002</v>
      </c>
      <c r="AK53" s="105">
        <f t="shared" si="0"/>
        <v>3250</v>
      </c>
      <c r="AL53" s="105">
        <v>4171</v>
      </c>
      <c r="AM53" s="105"/>
      <c r="AN53" s="105"/>
      <c r="AO53" s="106">
        <v>45.15</v>
      </c>
      <c r="AP53" s="94">
        <f t="shared" si="1"/>
        <v>7375.85</v>
      </c>
      <c r="AQ53" s="105"/>
      <c r="AR53" s="83"/>
      <c r="AS53" s="83"/>
      <c r="AT53" s="83"/>
      <c r="AU53" s="107"/>
      <c r="AV53" s="172">
        <v>1041.05</v>
      </c>
      <c r="AW53" s="94">
        <f t="shared" si="2"/>
        <v>6334.8</v>
      </c>
      <c r="AX53" s="83">
        <f t="shared" si="3"/>
        <v>737.58500000000004</v>
      </c>
      <c r="AY53" s="94">
        <f t="shared" si="4"/>
        <v>5597.2150000000001</v>
      </c>
      <c r="AZ53" s="83">
        <f t="shared" si="5"/>
        <v>0</v>
      </c>
      <c r="BA53" s="83">
        <f t="shared" si="6"/>
        <v>24.744799999999998</v>
      </c>
      <c r="BB53" s="94">
        <f t="shared" si="7"/>
        <v>7400.5948000000008</v>
      </c>
      <c r="BC53" s="153"/>
      <c r="BD53" s="85">
        <f t="shared" si="26"/>
        <v>-5597.2150000000001</v>
      </c>
      <c r="BE53" s="153"/>
      <c r="BF53" s="153"/>
      <c r="BG53" s="85">
        <f t="shared" si="27"/>
        <v>0</v>
      </c>
      <c r="BH53" s="86">
        <v>1413691810</v>
      </c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20"/>
      <c r="BT53" s="20"/>
      <c r="BU53" s="20"/>
      <c r="BV53" s="20"/>
      <c r="BY53" s="50">
        <f>+S53-'C&amp;A'!I53-SINDICATO!N53</f>
        <v>0</v>
      </c>
    </row>
    <row r="54" spans="1:77" x14ac:dyDescent="0.25">
      <c r="A54" s="19" t="s">
        <v>114</v>
      </c>
      <c r="B54" s="20" t="s">
        <v>115</v>
      </c>
      <c r="C54" s="21">
        <f t="shared" si="8"/>
        <v>2500</v>
      </c>
      <c r="D54" s="21">
        <v>0</v>
      </c>
      <c r="E54" s="21">
        <f t="shared" si="9"/>
        <v>1420</v>
      </c>
      <c r="F54" s="21">
        <f t="shared" si="10"/>
        <v>0</v>
      </c>
      <c r="G54" s="21">
        <f t="shared" si="11"/>
        <v>0</v>
      </c>
      <c r="H54" s="21">
        <v>0</v>
      </c>
      <c r="I54" s="21">
        <v>0</v>
      </c>
      <c r="J54" s="21">
        <f t="shared" si="12"/>
        <v>3920</v>
      </c>
      <c r="K54" s="21">
        <f t="shared" si="13"/>
        <v>0</v>
      </c>
      <c r="L54" s="21">
        <f t="shared" si="14"/>
        <v>45.15</v>
      </c>
      <c r="M54" s="21">
        <f t="shared" si="15"/>
        <v>0</v>
      </c>
      <c r="N54" s="21">
        <v>0</v>
      </c>
      <c r="O54" s="21"/>
      <c r="P54" s="21">
        <f t="shared" si="16"/>
        <v>0</v>
      </c>
      <c r="Q54" s="21">
        <f t="shared" si="17"/>
        <v>0</v>
      </c>
      <c r="R54" s="21">
        <f t="shared" si="18"/>
        <v>45.15</v>
      </c>
      <c r="S54" s="21">
        <f t="shared" si="19"/>
        <v>3874.85</v>
      </c>
      <c r="T54" s="21">
        <f t="shared" si="20"/>
        <v>3874.85</v>
      </c>
      <c r="U54" s="21">
        <f t="shared" si="21"/>
        <v>387.48500000000001</v>
      </c>
      <c r="V54" s="21">
        <f>+'C&amp;A'!E54*0.02</f>
        <v>21.911999999999999</v>
      </c>
      <c r="W54" s="21">
        <f t="shared" si="22"/>
        <v>4284.2470000000003</v>
      </c>
      <c r="X54" s="21">
        <f t="shared" si="23"/>
        <v>685.47952000000009</v>
      </c>
      <c r="Y54" s="21">
        <f t="shared" si="24"/>
        <v>4969.7265200000002</v>
      </c>
      <c r="Z54" s="171">
        <f t="shared" si="25"/>
        <v>0</v>
      </c>
      <c r="AA54" s="103" t="s">
        <v>218</v>
      </c>
      <c r="AB54" s="103" t="s">
        <v>272</v>
      </c>
      <c r="AC54" s="103" t="s">
        <v>273</v>
      </c>
      <c r="AD54" s="108"/>
      <c r="AE54" s="108"/>
      <c r="AF54" s="103" t="s">
        <v>146</v>
      </c>
      <c r="AG54" s="104"/>
      <c r="AH54" s="104"/>
      <c r="AI54" s="105">
        <v>1237.2399999999998</v>
      </c>
      <c r="AJ54" s="104">
        <v>1262.7600000000002</v>
      </c>
      <c r="AK54" s="105">
        <f t="shared" si="0"/>
        <v>2500</v>
      </c>
      <c r="AL54" s="105">
        <f>920+500</f>
        <v>1420</v>
      </c>
      <c r="AM54" s="105"/>
      <c r="AN54" s="105"/>
      <c r="AO54" s="106">
        <v>45.15</v>
      </c>
      <c r="AP54" s="94">
        <f t="shared" si="1"/>
        <v>3874.85</v>
      </c>
      <c r="AQ54" s="105"/>
      <c r="AR54" s="83"/>
      <c r="AS54" s="83"/>
      <c r="AT54" s="83"/>
      <c r="AU54" s="107"/>
      <c r="AV54" s="103">
        <v>0</v>
      </c>
      <c r="AW54" s="94">
        <f t="shared" si="2"/>
        <v>3874.85</v>
      </c>
      <c r="AX54" s="83">
        <f t="shared" si="3"/>
        <v>0</v>
      </c>
      <c r="AY54" s="94">
        <f t="shared" si="4"/>
        <v>3874.85</v>
      </c>
      <c r="AZ54" s="83">
        <f t="shared" si="5"/>
        <v>387.48500000000001</v>
      </c>
      <c r="BA54" s="83">
        <f t="shared" si="6"/>
        <v>24.744799999999998</v>
      </c>
      <c r="BB54" s="94">
        <f t="shared" si="7"/>
        <v>4287.0798000000004</v>
      </c>
      <c r="BC54" s="153"/>
      <c r="BD54" s="85">
        <f t="shared" si="26"/>
        <v>-3874.85</v>
      </c>
      <c r="BE54" s="153"/>
      <c r="BF54" s="153"/>
      <c r="BG54" s="85">
        <f t="shared" si="27"/>
        <v>0</v>
      </c>
      <c r="BH54" s="86">
        <v>2965106850</v>
      </c>
      <c r="BI54" s="86"/>
      <c r="BJ54" s="85"/>
      <c r="BK54" s="86"/>
      <c r="BL54" s="86"/>
      <c r="BM54" s="86"/>
      <c r="BN54" s="86"/>
      <c r="BO54" s="86"/>
      <c r="BP54" s="86"/>
      <c r="BQ54" s="86"/>
      <c r="BR54" s="86"/>
      <c r="BS54" s="20"/>
      <c r="BT54" s="20"/>
      <c r="BU54" s="20"/>
      <c r="BV54" s="20"/>
      <c r="BY54" s="50">
        <f>+S54-'C&amp;A'!I54-SINDICATO!N54</f>
        <v>0</v>
      </c>
    </row>
    <row r="55" spans="1:77" x14ac:dyDescent="0.25">
      <c r="A55" s="19" t="s">
        <v>116</v>
      </c>
      <c r="B55" s="20" t="s">
        <v>117</v>
      </c>
      <c r="C55" s="21">
        <f t="shared" si="8"/>
        <v>3500</v>
      </c>
      <c r="D55" s="21">
        <v>0</v>
      </c>
      <c r="E55" s="21">
        <f t="shared" si="9"/>
        <v>9500</v>
      </c>
      <c r="F55" s="21">
        <f t="shared" si="10"/>
        <v>0</v>
      </c>
      <c r="G55" s="21">
        <f t="shared" si="11"/>
        <v>0</v>
      </c>
      <c r="H55" s="21">
        <v>0</v>
      </c>
      <c r="I55" s="21">
        <v>0</v>
      </c>
      <c r="J55" s="21">
        <f t="shared" si="12"/>
        <v>13000</v>
      </c>
      <c r="K55" s="21">
        <f t="shared" si="13"/>
        <v>0</v>
      </c>
      <c r="L55" s="21">
        <f t="shared" si="14"/>
        <v>45.15</v>
      </c>
      <c r="M55" s="21">
        <f t="shared" si="15"/>
        <v>0</v>
      </c>
      <c r="N55" s="21">
        <v>0</v>
      </c>
      <c r="O55" s="21"/>
      <c r="P55" s="21">
        <f t="shared" si="16"/>
        <v>462.61</v>
      </c>
      <c r="Q55" s="21">
        <f t="shared" si="17"/>
        <v>1295.4850000000001</v>
      </c>
      <c r="R55" s="21">
        <f t="shared" si="18"/>
        <v>1803.2450000000001</v>
      </c>
      <c r="S55" s="21">
        <f t="shared" si="19"/>
        <v>11196.754999999999</v>
      </c>
      <c r="T55" s="21">
        <f t="shared" si="20"/>
        <v>12954.85</v>
      </c>
      <c r="U55" s="21">
        <f t="shared" si="21"/>
        <v>0</v>
      </c>
      <c r="V55" s="21">
        <f>+'C&amp;A'!E55*0.02</f>
        <v>21.911999999999999</v>
      </c>
      <c r="W55" s="21">
        <f t="shared" si="22"/>
        <v>12976.762000000001</v>
      </c>
      <c r="X55" s="21">
        <f t="shared" si="23"/>
        <v>2076.2819200000004</v>
      </c>
      <c r="Y55" s="21">
        <f t="shared" si="24"/>
        <v>15053.04392</v>
      </c>
      <c r="Z55" s="171">
        <f t="shared" si="25"/>
        <v>0</v>
      </c>
      <c r="AA55" s="103" t="s">
        <v>200</v>
      </c>
      <c r="AB55" s="103" t="s">
        <v>116</v>
      </c>
      <c r="AC55" s="103" t="s">
        <v>368</v>
      </c>
      <c r="AD55" s="108"/>
      <c r="AE55" s="108"/>
      <c r="AF55" s="103" t="s">
        <v>215</v>
      </c>
      <c r="AG55" s="104"/>
      <c r="AH55" s="104"/>
      <c r="AI55" s="105">
        <v>1237.2399999999998</v>
      </c>
      <c r="AJ55" s="104">
        <v>2262.7600000000002</v>
      </c>
      <c r="AK55" s="105">
        <f t="shared" si="0"/>
        <v>3500</v>
      </c>
      <c r="AL55" s="105">
        <v>9500</v>
      </c>
      <c r="AM55" s="105"/>
      <c r="AN55" s="105"/>
      <c r="AO55" s="106">
        <v>45.15</v>
      </c>
      <c r="AP55" s="94">
        <f t="shared" si="1"/>
        <v>12954.85</v>
      </c>
      <c r="AQ55" s="105"/>
      <c r="AR55" s="83"/>
      <c r="AS55" s="83"/>
      <c r="AT55" s="83"/>
      <c r="AU55" s="107"/>
      <c r="AV55" s="103">
        <v>462.61</v>
      </c>
      <c r="AW55" s="94">
        <f t="shared" si="2"/>
        <v>12492.24</v>
      </c>
      <c r="AX55" s="83">
        <f t="shared" si="3"/>
        <v>1295.4850000000001</v>
      </c>
      <c r="AY55" s="94">
        <f t="shared" si="4"/>
        <v>11196.754999999999</v>
      </c>
      <c r="AZ55" s="83">
        <f t="shared" si="5"/>
        <v>0</v>
      </c>
      <c r="BA55" s="83">
        <f t="shared" si="6"/>
        <v>24.744799999999998</v>
      </c>
      <c r="BB55" s="94">
        <f t="shared" si="7"/>
        <v>12979.594800000001</v>
      </c>
      <c r="BC55" s="153"/>
      <c r="BD55" s="85">
        <f t="shared" si="26"/>
        <v>-11196.754999999999</v>
      </c>
      <c r="BE55" s="153"/>
      <c r="BF55" s="153"/>
      <c r="BG55" s="85">
        <f t="shared" si="27"/>
        <v>0</v>
      </c>
      <c r="BH55" s="86">
        <v>2729733183</v>
      </c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20"/>
      <c r="BT55" s="20"/>
      <c r="BU55" s="20"/>
      <c r="BV55" s="20"/>
      <c r="BY55" s="50">
        <f>+S55-'C&amp;A'!I55-SINDICATO!N55</f>
        <v>0</v>
      </c>
    </row>
    <row r="56" spans="1:77" x14ac:dyDescent="0.25">
      <c r="A56" s="19" t="s">
        <v>118</v>
      </c>
      <c r="B56" s="20" t="s">
        <v>119</v>
      </c>
      <c r="C56" s="21">
        <f t="shared" si="8"/>
        <v>2800</v>
      </c>
      <c r="D56" s="21">
        <v>145.37389713135775</v>
      </c>
      <c r="E56" s="21">
        <f t="shared" si="9"/>
        <v>0</v>
      </c>
      <c r="F56" s="21">
        <f t="shared" si="10"/>
        <v>0</v>
      </c>
      <c r="G56" s="21">
        <f t="shared" si="11"/>
        <v>0</v>
      </c>
      <c r="H56" s="21">
        <v>0</v>
      </c>
      <c r="I56" s="21">
        <v>0</v>
      </c>
      <c r="J56" s="21">
        <f t="shared" si="12"/>
        <v>2945.3738971313578</v>
      </c>
      <c r="K56" s="21">
        <f t="shared" si="13"/>
        <v>0</v>
      </c>
      <c r="L56" s="21">
        <f t="shared" si="14"/>
        <v>45.15</v>
      </c>
      <c r="M56" s="21">
        <f t="shared" si="15"/>
        <v>0</v>
      </c>
      <c r="N56" s="21">
        <v>0</v>
      </c>
      <c r="O56" s="21"/>
      <c r="P56" s="21">
        <f t="shared" si="16"/>
        <v>0</v>
      </c>
      <c r="Q56" s="21">
        <f t="shared" si="17"/>
        <v>0</v>
      </c>
      <c r="R56" s="21">
        <f t="shared" si="18"/>
        <v>45.15</v>
      </c>
      <c r="S56" s="21">
        <f t="shared" si="19"/>
        <v>2900.2238971313577</v>
      </c>
      <c r="T56" s="21">
        <f t="shared" si="20"/>
        <v>2900.2238971313577</v>
      </c>
      <c r="U56" s="21">
        <f t="shared" si="21"/>
        <v>275.48500000000001</v>
      </c>
      <c r="V56" s="21">
        <f>+'C&amp;A'!E56*0.02</f>
        <v>21.911999999999999</v>
      </c>
      <c r="W56" s="21">
        <f t="shared" si="22"/>
        <v>3197.6208971313577</v>
      </c>
      <c r="X56" s="21">
        <f t="shared" si="23"/>
        <v>511.61934354101726</v>
      </c>
      <c r="Y56" s="21">
        <f t="shared" si="24"/>
        <v>3709.240240672375</v>
      </c>
      <c r="Z56" s="171">
        <f t="shared" si="25"/>
        <v>145.37389713135781</v>
      </c>
      <c r="AA56" s="103" t="s">
        <v>229</v>
      </c>
      <c r="AB56" s="103" t="s">
        <v>274</v>
      </c>
      <c r="AC56" s="103" t="s">
        <v>275</v>
      </c>
      <c r="AD56" s="104"/>
      <c r="AE56" s="104"/>
      <c r="AF56" s="103" t="s">
        <v>276</v>
      </c>
      <c r="AG56" s="104" t="s">
        <v>206</v>
      </c>
      <c r="AH56" s="104"/>
      <c r="AI56" s="105">
        <v>1237.2399999999998</v>
      </c>
      <c r="AJ56" s="104">
        <v>1562.7600000000002</v>
      </c>
      <c r="AK56" s="105">
        <f t="shared" si="0"/>
        <v>2800</v>
      </c>
      <c r="AL56" s="105"/>
      <c r="AM56" s="105"/>
      <c r="AN56" s="105"/>
      <c r="AO56" s="106">
        <v>45.15</v>
      </c>
      <c r="AP56" s="94">
        <f t="shared" si="1"/>
        <v>2754.85</v>
      </c>
      <c r="AQ56" s="105"/>
      <c r="AR56" s="83"/>
      <c r="AS56" s="83"/>
      <c r="AT56" s="83"/>
      <c r="AU56" s="107"/>
      <c r="AV56" s="103">
        <v>0</v>
      </c>
      <c r="AW56" s="94">
        <f t="shared" si="2"/>
        <v>2754.85</v>
      </c>
      <c r="AX56" s="83">
        <f t="shared" si="3"/>
        <v>0</v>
      </c>
      <c r="AY56" s="94">
        <f t="shared" si="4"/>
        <v>2754.85</v>
      </c>
      <c r="AZ56" s="83">
        <f t="shared" si="5"/>
        <v>275.48500000000001</v>
      </c>
      <c r="BA56" s="83">
        <f t="shared" si="6"/>
        <v>24.744799999999998</v>
      </c>
      <c r="BB56" s="94">
        <f t="shared" si="7"/>
        <v>3055.0798</v>
      </c>
      <c r="BC56" s="153"/>
      <c r="BD56" s="85">
        <f t="shared" si="26"/>
        <v>-2754.85</v>
      </c>
      <c r="BE56" s="153"/>
      <c r="BF56" s="153"/>
      <c r="BG56" s="85">
        <f t="shared" si="27"/>
        <v>0</v>
      </c>
      <c r="BH56" s="86">
        <v>2929389652</v>
      </c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20"/>
      <c r="BT56" s="20"/>
      <c r="BU56" s="20"/>
      <c r="BV56" s="20"/>
      <c r="BY56" s="50">
        <f>+S56-'C&amp;A'!I56-SINDICATO!N56</f>
        <v>0</v>
      </c>
    </row>
    <row r="57" spans="1:77" x14ac:dyDescent="0.25">
      <c r="A57" s="19" t="s">
        <v>120</v>
      </c>
      <c r="B57" s="20" t="s">
        <v>121</v>
      </c>
      <c r="C57" s="21">
        <f t="shared" si="8"/>
        <v>6500</v>
      </c>
      <c r="D57" s="21">
        <v>0</v>
      </c>
      <c r="E57" s="21">
        <f t="shared" si="9"/>
        <v>1000</v>
      </c>
      <c r="F57" s="21">
        <f t="shared" si="10"/>
        <v>0</v>
      </c>
      <c r="G57" s="21">
        <f t="shared" si="11"/>
        <v>0</v>
      </c>
      <c r="H57" s="21">
        <v>0</v>
      </c>
      <c r="I57" s="21">
        <v>0</v>
      </c>
      <c r="J57" s="21">
        <f t="shared" si="12"/>
        <v>7500</v>
      </c>
      <c r="K57" s="21">
        <f t="shared" si="13"/>
        <v>0</v>
      </c>
      <c r="L57" s="21">
        <f t="shared" si="14"/>
        <v>45.15</v>
      </c>
      <c r="M57" s="21">
        <f t="shared" si="15"/>
        <v>0</v>
      </c>
      <c r="N57" s="21">
        <v>0</v>
      </c>
      <c r="O57" s="21"/>
      <c r="P57" s="21">
        <f t="shared" si="16"/>
        <v>0</v>
      </c>
      <c r="Q57" s="21">
        <f t="shared" si="17"/>
        <v>745.48500000000013</v>
      </c>
      <c r="R57" s="21">
        <f t="shared" si="18"/>
        <v>790.6350000000001</v>
      </c>
      <c r="S57" s="21">
        <f t="shared" si="19"/>
        <v>6709.3649999999998</v>
      </c>
      <c r="T57" s="21">
        <f t="shared" si="20"/>
        <v>7454.85</v>
      </c>
      <c r="U57" s="21">
        <f t="shared" si="21"/>
        <v>0</v>
      </c>
      <c r="V57" s="21">
        <f>+'C&amp;A'!E57*0.02</f>
        <v>21.911999999999999</v>
      </c>
      <c r="W57" s="21">
        <f t="shared" si="22"/>
        <v>7476.7620000000006</v>
      </c>
      <c r="X57" s="21">
        <f t="shared" si="23"/>
        <v>1196.2819200000001</v>
      </c>
      <c r="Y57" s="21">
        <f t="shared" si="24"/>
        <v>8673.0439200000001</v>
      </c>
      <c r="Z57" s="171">
        <f t="shared" si="25"/>
        <v>0</v>
      </c>
      <c r="AA57" s="103" t="s">
        <v>218</v>
      </c>
      <c r="AB57" s="103" t="s">
        <v>120</v>
      </c>
      <c r="AC57" s="103" t="s">
        <v>277</v>
      </c>
      <c r="AD57" s="108"/>
      <c r="AE57" s="108"/>
      <c r="AF57" s="103" t="s">
        <v>147</v>
      </c>
      <c r="AG57" s="104" t="s">
        <v>206</v>
      </c>
      <c r="AH57" s="104"/>
      <c r="AI57" s="105">
        <v>1237.2399999999998</v>
      </c>
      <c r="AJ57" s="104">
        <v>5262.76</v>
      </c>
      <c r="AK57" s="105">
        <f t="shared" si="0"/>
        <v>6500</v>
      </c>
      <c r="AL57" s="105">
        <v>1000</v>
      </c>
      <c r="AM57" s="105"/>
      <c r="AN57" s="105"/>
      <c r="AO57" s="106">
        <v>45.15</v>
      </c>
      <c r="AP57" s="94">
        <f t="shared" si="1"/>
        <v>7454.85</v>
      </c>
      <c r="AQ57" s="105"/>
      <c r="AR57" s="83"/>
      <c r="AS57" s="83"/>
      <c r="AT57" s="83"/>
      <c r="AU57" s="107"/>
      <c r="AV57" s="103">
        <v>0</v>
      </c>
      <c r="AW57" s="94">
        <f t="shared" si="2"/>
        <v>7454.85</v>
      </c>
      <c r="AX57" s="83">
        <f t="shared" si="3"/>
        <v>745.48500000000013</v>
      </c>
      <c r="AY57" s="94">
        <f t="shared" si="4"/>
        <v>6709.3649999999998</v>
      </c>
      <c r="AZ57" s="83">
        <f t="shared" si="5"/>
        <v>0</v>
      </c>
      <c r="BA57" s="83">
        <f t="shared" si="6"/>
        <v>24.744799999999998</v>
      </c>
      <c r="BB57" s="94">
        <f t="shared" si="7"/>
        <v>7479.5948000000008</v>
      </c>
      <c r="BC57" s="153"/>
      <c r="BD57" s="85">
        <f t="shared" si="26"/>
        <v>-6709.3649999999998</v>
      </c>
      <c r="BE57" s="153"/>
      <c r="BF57" s="153"/>
      <c r="BG57" s="85">
        <f t="shared" si="27"/>
        <v>0</v>
      </c>
      <c r="BH57" s="86" t="s">
        <v>278</v>
      </c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20"/>
      <c r="BT57" s="20"/>
      <c r="BU57" s="20"/>
      <c r="BV57" s="20"/>
      <c r="BY57" s="50">
        <f>+S57-'C&amp;A'!I57-SINDICATO!N57</f>
        <v>0</v>
      </c>
    </row>
    <row r="58" spans="1:77" x14ac:dyDescent="0.25">
      <c r="A58" s="19" t="s">
        <v>122</v>
      </c>
      <c r="B58" s="20" t="s">
        <v>123</v>
      </c>
      <c r="C58" s="21">
        <f t="shared" si="8"/>
        <v>3000</v>
      </c>
      <c r="D58" s="21">
        <v>145.37389713135775</v>
      </c>
      <c r="E58" s="21">
        <f t="shared" si="9"/>
        <v>0</v>
      </c>
      <c r="F58" s="21">
        <f t="shared" si="10"/>
        <v>0</v>
      </c>
      <c r="G58" s="21">
        <f t="shared" si="11"/>
        <v>0</v>
      </c>
      <c r="H58" s="21">
        <v>0</v>
      </c>
      <c r="I58" s="21">
        <v>0</v>
      </c>
      <c r="J58" s="21">
        <f t="shared" si="12"/>
        <v>3145.3738971313578</v>
      </c>
      <c r="K58" s="21">
        <f t="shared" si="13"/>
        <v>0</v>
      </c>
      <c r="L58" s="21">
        <f t="shared" si="14"/>
        <v>45.15</v>
      </c>
      <c r="M58" s="21">
        <f t="shared" si="15"/>
        <v>0</v>
      </c>
      <c r="N58" s="21">
        <v>0</v>
      </c>
      <c r="O58" s="21">
        <f>+(413.13+222.48)/2</f>
        <v>317.80500000000001</v>
      </c>
      <c r="P58" s="21">
        <f t="shared" si="16"/>
        <v>0</v>
      </c>
      <c r="Q58" s="21">
        <f t="shared" si="17"/>
        <v>0</v>
      </c>
      <c r="R58" s="21">
        <f t="shared" si="18"/>
        <v>362.95499999999998</v>
      </c>
      <c r="S58" s="21">
        <f t="shared" si="19"/>
        <v>2782.4188971313579</v>
      </c>
      <c r="T58" s="21">
        <f t="shared" si="20"/>
        <v>3100.2238971313577</v>
      </c>
      <c r="U58" s="21">
        <f t="shared" si="21"/>
        <v>295.48500000000001</v>
      </c>
      <c r="V58" s="21">
        <f>+'C&amp;A'!E58*0.02</f>
        <v>21.911999999999999</v>
      </c>
      <c r="W58" s="21">
        <f t="shared" si="22"/>
        <v>3417.6208971313577</v>
      </c>
      <c r="X58" s="21">
        <f t="shared" si="23"/>
        <v>546.81934354101725</v>
      </c>
      <c r="Y58" s="21">
        <f t="shared" si="24"/>
        <v>3964.4402406723748</v>
      </c>
      <c r="Z58" s="171">
        <f t="shared" si="25"/>
        <v>145.37389713135781</v>
      </c>
      <c r="AA58" s="103" t="s">
        <v>203</v>
      </c>
      <c r="AB58" s="103" t="s">
        <v>122</v>
      </c>
      <c r="AC58" s="103" t="s">
        <v>279</v>
      </c>
      <c r="AD58" s="108"/>
      <c r="AE58" s="108"/>
      <c r="AF58" s="103" t="s">
        <v>280</v>
      </c>
      <c r="AG58" s="104"/>
      <c r="AH58" s="104"/>
      <c r="AI58" s="105">
        <v>1237.2399999999998</v>
      </c>
      <c r="AJ58" s="104">
        <v>1762.7600000000002</v>
      </c>
      <c r="AK58" s="105">
        <f t="shared" si="0"/>
        <v>3000</v>
      </c>
      <c r="AL58" s="105"/>
      <c r="AM58" s="105"/>
      <c r="AN58" s="105"/>
      <c r="AO58" s="106">
        <v>45.15</v>
      </c>
      <c r="AP58" s="94">
        <f t="shared" si="1"/>
        <v>2954.85</v>
      </c>
      <c r="AQ58" s="105"/>
      <c r="AR58" s="83"/>
      <c r="AS58" s="21">
        <f>+(413.13+222.48)/2</f>
        <v>317.80500000000001</v>
      </c>
      <c r="AT58" s="83"/>
      <c r="AU58" s="107"/>
      <c r="AV58" s="103">
        <v>0</v>
      </c>
      <c r="AW58" s="94">
        <f t="shared" si="2"/>
        <v>2637.0450000000001</v>
      </c>
      <c r="AX58" s="83">
        <f t="shared" si="3"/>
        <v>0</v>
      </c>
      <c r="AY58" s="94">
        <f t="shared" si="4"/>
        <v>2637.0450000000001</v>
      </c>
      <c r="AZ58" s="83">
        <f t="shared" si="5"/>
        <v>295.48500000000001</v>
      </c>
      <c r="BA58" s="83">
        <f t="shared" si="6"/>
        <v>24.744799999999998</v>
      </c>
      <c r="BB58" s="94">
        <f t="shared" si="7"/>
        <v>3275.0798</v>
      </c>
      <c r="BC58" s="153"/>
      <c r="BD58" s="85">
        <f t="shared" si="26"/>
        <v>-2637.0450000000001</v>
      </c>
      <c r="BE58" s="153"/>
      <c r="BF58" s="153"/>
      <c r="BG58" s="85">
        <f t="shared" si="27"/>
        <v>0</v>
      </c>
      <c r="BH58" s="86">
        <v>1405570565</v>
      </c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20"/>
      <c r="BT58" s="20"/>
      <c r="BU58" s="20"/>
      <c r="BV58" s="20"/>
      <c r="BY58" s="50">
        <f>+S58-'C&amp;A'!I58-SINDICATO!N58</f>
        <v>0</v>
      </c>
    </row>
    <row r="59" spans="1:77" x14ac:dyDescent="0.25">
      <c r="A59" s="19" t="s">
        <v>124</v>
      </c>
      <c r="B59" s="20" t="s">
        <v>125</v>
      </c>
      <c r="C59" s="21">
        <f t="shared" si="8"/>
        <v>4000</v>
      </c>
      <c r="D59" s="21">
        <v>0</v>
      </c>
      <c r="E59" s="21">
        <f t="shared" si="9"/>
        <v>0</v>
      </c>
      <c r="F59" s="21">
        <f t="shared" si="10"/>
        <v>0</v>
      </c>
      <c r="G59" s="21">
        <f t="shared" si="11"/>
        <v>0</v>
      </c>
      <c r="H59" s="21">
        <v>0</v>
      </c>
      <c r="I59" s="21">
        <v>0</v>
      </c>
      <c r="J59" s="21">
        <f t="shared" si="12"/>
        <v>4000</v>
      </c>
      <c r="K59" s="21">
        <f t="shared" si="13"/>
        <v>0</v>
      </c>
      <c r="L59" s="21">
        <f t="shared" si="14"/>
        <v>45.15</v>
      </c>
      <c r="M59" s="21">
        <f t="shared" si="15"/>
        <v>0</v>
      </c>
      <c r="N59" s="21">
        <v>0</v>
      </c>
      <c r="O59" s="21"/>
      <c r="P59" s="21">
        <f t="shared" si="16"/>
        <v>1309.77</v>
      </c>
      <c r="Q59" s="21">
        <f t="shared" si="17"/>
        <v>0</v>
      </c>
      <c r="R59" s="21">
        <f t="shared" si="18"/>
        <v>1354.92</v>
      </c>
      <c r="S59" s="21">
        <f t="shared" si="19"/>
        <v>2645.08</v>
      </c>
      <c r="T59" s="21">
        <f t="shared" si="20"/>
        <v>3954.85</v>
      </c>
      <c r="U59" s="21">
        <f t="shared" si="21"/>
        <v>395.48500000000001</v>
      </c>
      <c r="V59" s="21">
        <f>+'C&amp;A'!E59*0.02</f>
        <v>21.911999999999999</v>
      </c>
      <c r="W59" s="21">
        <f t="shared" si="22"/>
        <v>4372.2470000000003</v>
      </c>
      <c r="X59" s="21">
        <f t="shared" si="23"/>
        <v>699.55952000000002</v>
      </c>
      <c r="Y59" s="21">
        <f t="shared" si="24"/>
        <v>5071.8065200000001</v>
      </c>
      <c r="Z59" s="171">
        <f t="shared" si="25"/>
        <v>0</v>
      </c>
      <c r="AA59" s="103" t="s">
        <v>207</v>
      </c>
      <c r="AB59" s="103" t="s">
        <v>124</v>
      </c>
      <c r="AC59" s="103" t="s">
        <v>281</v>
      </c>
      <c r="AD59" s="108"/>
      <c r="AE59" s="108"/>
      <c r="AF59" s="103" t="s">
        <v>282</v>
      </c>
      <c r="AG59" s="104" t="s">
        <v>206</v>
      </c>
      <c r="AH59" s="104"/>
      <c r="AI59" s="105">
        <v>1237.2399999999998</v>
      </c>
      <c r="AJ59" s="104">
        <v>2762.76</v>
      </c>
      <c r="AK59" s="105">
        <f t="shared" si="0"/>
        <v>4000</v>
      </c>
      <c r="AL59" s="105"/>
      <c r="AM59" s="105"/>
      <c r="AN59" s="105"/>
      <c r="AO59" s="106">
        <v>45.15</v>
      </c>
      <c r="AP59" s="94">
        <f t="shared" si="1"/>
        <v>3954.85</v>
      </c>
      <c r="AQ59" s="105"/>
      <c r="AR59" s="83"/>
      <c r="AS59" s="83"/>
      <c r="AT59" s="83"/>
      <c r="AU59" s="107"/>
      <c r="AV59" s="172">
        <v>1309.77</v>
      </c>
      <c r="AW59" s="94">
        <f t="shared" si="2"/>
        <v>2645.08</v>
      </c>
      <c r="AX59" s="83">
        <f t="shared" si="3"/>
        <v>0</v>
      </c>
      <c r="AY59" s="94">
        <f t="shared" si="4"/>
        <v>2645.08</v>
      </c>
      <c r="AZ59" s="83">
        <f t="shared" si="5"/>
        <v>395.48500000000001</v>
      </c>
      <c r="BA59" s="83">
        <f t="shared" si="6"/>
        <v>24.744799999999998</v>
      </c>
      <c r="BB59" s="94">
        <f t="shared" si="7"/>
        <v>4375.0798000000004</v>
      </c>
      <c r="BC59" s="153"/>
      <c r="BD59" s="85">
        <f t="shared" si="26"/>
        <v>-2645.08</v>
      </c>
      <c r="BE59" s="153"/>
      <c r="BF59" s="153"/>
      <c r="BG59" s="85">
        <f t="shared" si="27"/>
        <v>0</v>
      </c>
      <c r="BH59" s="86">
        <v>2937082010</v>
      </c>
      <c r="BI59" s="72"/>
      <c r="BJ59" s="86"/>
      <c r="BK59" s="86"/>
      <c r="BL59" s="86"/>
      <c r="BM59" s="86"/>
      <c r="BN59" s="86"/>
      <c r="BO59" s="86"/>
      <c r="BP59" s="86"/>
      <c r="BQ59" s="86"/>
      <c r="BR59" s="86"/>
      <c r="BS59" s="20"/>
      <c r="BT59" s="20"/>
      <c r="BU59" s="20"/>
      <c r="BV59" s="20"/>
      <c r="BY59" s="50">
        <f>+S59-'C&amp;A'!I59-SINDICATO!N59</f>
        <v>0</v>
      </c>
    </row>
    <row r="60" spans="1:77" x14ac:dyDescent="0.25">
      <c r="A60" s="52" t="s">
        <v>159</v>
      </c>
      <c r="B60" s="20" t="s">
        <v>14</v>
      </c>
      <c r="C60" s="21">
        <f t="shared" si="8"/>
        <v>5556</v>
      </c>
      <c r="D60" s="21">
        <v>0</v>
      </c>
      <c r="E60" s="21">
        <f t="shared" si="9"/>
        <v>0</v>
      </c>
      <c r="F60" s="21">
        <f t="shared" si="10"/>
        <v>0</v>
      </c>
      <c r="G60" s="21">
        <f t="shared" si="11"/>
        <v>0</v>
      </c>
      <c r="H60" s="21">
        <v>0</v>
      </c>
      <c r="I60" s="21">
        <v>0</v>
      </c>
      <c r="J60" s="21">
        <f t="shared" si="12"/>
        <v>5556</v>
      </c>
      <c r="K60" s="21">
        <f t="shared" si="13"/>
        <v>0</v>
      </c>
      <c r="L60" s="21">
        <f t="shared" si="14"/>
        <v>45.15</v>
      </c>
      <c r="M60" s="21">
        <f t="shared" si="15"/>
        <v>0</v>
      </c>
      <c r="N60" s="21">
        <v>0</v>
      </c>
      <c r="O60" s="21"/>
      <c r="P60" s="21">
        <f t="shared" si="16"/>
        <v>0</v>
      </c>
      <c r="Q60" s="21">
        <f t="shared" si="17"/>
        <v>551.08500000000004</v>
      </c>
      <c r="R60" s="21">
        <f t="shared" si="18"/>
        <v>596.23500000000001</v>
      </c>
      <c r="S60" s="21">
        <f t="shared" si="19"/>
        <v>4959.7650000000003</v>
      </c>
      <c r="T60" s="21">
        <f t="shared" si="20"/>
        <v>5510.85</v>
      </c>
      <c r="U60" s="21">
        <f t="shared" si="21"/>
        <v>0</v>
      </c>
      <c r="V60" s="21">
        <f>+'C&amp;A'!E60*0.02</f>
        <v>21.911999999999999</v>
      </c>
      <c r="W60" s="21">
        <f t="shared" si="22"/>
        <v>5532.7620000000006</v>
      </c>
      <c r="X60" s="21">
        <f t="shared" si="23"/>
        <v>885.24192000000016</v>
      </c>
      <c r="Y60" s="21">
        <f t="shared" si="24"/>
        <v>6418.003920000001</v>
      </c>
      <c r="Z60" s="171">
        <f t="shared" si="25"/>
        <v>0</v>
      </c>
      <c r="AA60" s="103" t="s">
        <v>203</v>
      </c>
      <c r="AB60" s="103" t="s">
        <v>283</v>
      </c>
      <c r="AC60" s="103" t="s">
        <v>284</v>
      </c>
      <c r="AD60" s="108"/>
      <c r="AE60" s="108"/>
      <c r="AF60" s="103" t="s">
        <v>285</v>
      </c>
      <c r="AG60" s="104" t="s">
        <v>206</v>
      </c>
      <c r="AH60" s="104"/>
      <c r="AI60" s="105">
        <v>1237.2399999999998</v>
      </c>
      <c r="AJ60" s="104">
        <f>3762.76+500+56</f>
        <v>4318.76</v>
      </c>
      <c r="AK60" s="105">
        <f t="shared" si="0"/>
        <v>5556</v>
      </c>
      <c r="AL60" s="105"/>
      <c r="AM60" s="105"/>
      <c r="AN60" s="105"/>
      <c r="AO60" s="106">
        <v>45.15</v>
      </c>
      <c r="AP60" s="94">
        <f t="shared" si="1"/>
        <v>5510.85</v>
      </c>
      <c r="AQ60" s="105"/>
      <c r="AR60" s="83"/>
      <c r="AS60" s="83"/>
      <c r="AT60" s="83"/>
      <c r="AU60" s="107"/>
      <c r="AV60" s="103">
        <v>0</v>
      </c>
      <c r="AW60" s="94">
        <f t="shared" si="2"/>
        <v>5510.85</v>
      </c>
      <c r="AX60" s="83">
        <f t="shared" si="3"/>
        <v>551.08500000000004</v>
      </c>
      <c r="AY60" s="94">
        <f t="shared" si="4"/>
        <v>4959.7650000000003</v>
      </c>
      <c r="AZ60" s="83">
        <f t="shared" si="5"/>
        <v>0</v>
      </c>
      <c r="BA60" s="83">
        <f t="shared" si="6"/>
        <v>24.744799999999998</v>
      </c>
      <c r="BB60" s="94">
        <f t="shared" si="7"/>
        <v>5535.5948000000008</v>
      </c>
      <c r="BC60" s="153"/>
      <c r="BD60" s="85">
        <f t="shared" si="26"/>
        <v>-4959.7650000000003</v>
      </c>
      <c r="BE60" s="153"/>
      <c r="BF60" s="153"/>
      <c r="BG60" s="85">
        <f t="shared" si="27"/>
        <v>0</v>
      </c>
      <c r="BH60" s="86">
        <v>2952243423</v>
      </c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20"/>
      <c r="BT60" s="20"/>
      <c r="BU60" s="20"/>
      <c r="BV60" s="20"/>
      <c r="BY60" s="50">
        <f>+S60-'C&amp;A'!I60-SINDICATO!N60</f>
        <v>0</v>
      </c>
    </row>
    <row r="61" spans="1:77" s="22" customFormat="1" x14ac:dyDescent="0.25">
      <c r="A61" s="19" t="s">
        <v>126</v>
      </c>
      <c r="B61" s="20" t="s">
        <v>127</v>
      </c>
      <c r="C61" s="21">
        <f t="shared" si="8"/>
        <v>3125</v>
      </c>
      <c r="D61" s="21">
        <v>0</v>
      </c>
      <c r="E61" s="21">
        <f t="shared" si="9"/>
        <v>4000</v>
      </c>
      <c r="F61" s="21">
        <f t="shared" si="10"/>
        <v>0</v>
      </c>
      <c r="G61" s="21">
        <f t="shared" si="11"/>
        <v>0</v>
      </c>
      <c r="H61" s="21">
        <v>0</v>
      </c>
      <c r="I61" s="21">
        <v>0</v>
      </c>
      <c r="J61" s="21">
        <f t="shared" si="12"/>
        <v>7125</v>
      </c>
      <c r="K61" s="21">
        <f t="shared" si="13"/>
        <v>0</v>
      </c>
      <c r="L61" s="21">
        <f t="shared" si="14"/>
        <v>45.15</v>
      </c>
      <c r="M61" s="21">
        <f t="shared" si="15"/>
        <v>0</v>
      </c>
      <c r="N61" s="21">
        <v>0</v>
      </c>
      <c r="O61" s="21"/>
      <c r="P61" s="21">
        <f t="shared" si="16"/>
        <v>288.38</v>
      </c>
      <c r="Q61" s="21">
        <f t="shared" si="17"/>
        <v>707.98500000000013</v>
      </c>
      <c r="R61" s="21">
        <f t="shared" si="18"/>
        <v>1041.5150000000001</v>
      </c>
      <c r="S61" s="21">
        <f t="shared" si="19"/>
        <v>6083.4849999999997</v>
      </c>
      <c r="T61" s="21">
        <f t="shared" si="20"/>
        <v>7079.85</v>
      </c>
      <c r="U61" s="21">
        <f t="shared" si="21"/>
        <v>0</v>
      </c>
      <c r="V61" s="21">
        <f>+'C&amp;A'!E61*0.02</f>
        <v>21.911999999999999</v>
      </c>
      <c r="W61" s="21">
        <f t="shared" si="22"/>
        <v>7101.7620000000006</v>
      </c>
      <c r="X61" s="21">
        <f t="shared" si="23"/>
        <v>1136.2819200000001</v>
      </c>
      <c r="Y61" s="21">
        <f t="shared" si="24"/>
        <v>8238.0439200000001</v>
      </c>
      <c r="Z61" s="171">
        <f t="shared" si="25"/>
        <v>0</v>
      </c>
      <c r="AA61" s="103" t="s">
        <v>210</v>
      </c>
      <c r="AB61" s="103" t="s">
        <v>126</v>
      </c>
      <c r="AC61" s="103" t="s">
        <v>286</v>
      </c>
      <c r="AD61" s="104"/>
      <c r="AE61" s="104"/>
      <c r="AF61" s="103" t="s">
        <v>150</v>
      </c>
      <c r="AG61" s="104"/>
      <c r="AH61" s="104"/>
      <c r="AI61" s="105">
        <v>1237.2399999999998</v>
      </c>
      <c r="AJ61" s="104">
        <v>1887.7600000000002</v>
      </c>
      <c r="AK61" s="105">
        <f t="shared" si="0"/>
        <v>3125</v>
      </c>
      <c r="AL61" s="105">
        <v>4000</v>
      </c>
      <c r="AM61" s="105"/>
      <c r="AN61" s="105"/>
      <c r="AO61" s="106">
        <v>45.15</v>
      </c>
      <c r="AP61" s="94">
        <f t="shared" si="1"/>
        <v>7079.85</v>
      </c>
      <c r="AQ61" s="105"/>
      <c r="AR61" s="83"/>
      <c r="AS61" s="83"/>
      <c r="AT61" s="83"/>
      <c r="AU61" s="107"/>
      <c r="AV61" s="103">
        <v>288.38</v>
      </c>
      <c r="AW61" s="94">
        <f t="shared" si="2"/>
        <v>6791.47</v>
      </c>
      <c r="AX61" s="83">
        <f t="shared" si="3"/>
        <v>707.98500000000013</v>
      </c>
      <c r="AY61" s="94">
        <f t="shared" si="4"/>
        <v>6083.4850000000006</v>
      </c>
      <c r="AZ61" s="83">
        <f t="shared" si="5"/>
        <v>0</v>
      </c>
      <c r="BA61" s="83">
        <f t="shared" si="6"/>
        <v>24.744799999999998</v>
      </c>
      <c r="BB61" s="94">
        <f t="shared" si="7"/>
        <v>7104.5948000000008</v>
      </c>
      <c r="BC61" s="153"/>
      <c r="BD61" s="85">
        <f t="shared" si="26"/>
        <v>-6083.4850000000006</v>
      </c>
      <c r="BE61" s="153"/>
      <c r="BF61" s="153"/>
      <c r="BG61" s="85">
        <f t="shared" si="27"/>
        <v>0</v>
      </c>
      <c r="BH61" s="86">
        <v>1435597188</v>
      </c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20"/>
      <c r="BT61" s="20"/>
      <c r="BU61" s="20"/>
      <c r="BV61" s="20"/>
      <c r="BY61" s="50">
        <f>+S61-'C&amp;A'!I61-SINDICATO!N61</f>
        <v>0</v>
      </c>
    </row>
    <row r="62" spans="1:77" s="23" customFormat="1" x14ac:dyDescent="0.25">
      <c r="A62" s="19" t="s">
        <v>128</v>
      </c>
      <c r="B62" s="20" t="s">
        <v>129</v>
      </c>
      <c r="C62" s="21">
        <f>+AK62</f>
        <v>20000</v>
      </c>
      <c r="D62" s="21">
        <v>0</v>
      </c>
      <c r="E62" s="21">
        <f>+AL62</f>
        <v>72526.290000000008</v>
      </c>
      <c r="F62" s="21">
        <f t="shared" si="10"/>
        <v>0</v>
      </c>
      <c r="G62" s="21">
        <f t="shared" si="11"/>
        <v>0</v>
      </c>
      <c r="H62" s="21">
        <v>0</v>
      </c>
      <c r="I62" s="21">
        <v>0</v>
      </c>
      <c r="J62" s="21">
        <f t="shared" si="12"/>
        <v>92526.290000000008</v>
      </c>
      <c r="K62" s="21">
        <f t="shared" si="13"/>
        <v>3000</v>
      </c>
      <c r="L62" s="21">
        <f t="shared" si="14"/>
        <v>45.15</v>
      </c>
      <c r="M62" s="21">
        <f t="shared" si="15"/>
        <v>491.57</v>
      </c>
      <c r="N62" s="21">
        <v>0</v>
      </c>
      <c r="O62" s="21"/>
      <c r="P62" s="21">
        <f t="shared" si="16"/>
        <v>92.96</v>
      </c>
      <c r="Q62" s="21">
        <f t="shared" si="17"/>
        <v>9248.1140000000014</v>
      </c>
      <c r="R62" s="21">
        <f t="shared" si="18"/>
        <v>12877.794000000002</v>
      </c>
      <c r="S62" s="21">
        <f t="shared" si="19"/>
        <v>79648.496000000014</v>
      </c>
      <c r="T62" s="21">
        <f t="shared" si="20"/>
        <v>92481.140000000014</v>
      </c>
      <c r="U62" s="21">
        <f t="shared" si="21"/>
        <v>0</v>
      </c>
      <c r="V62" s="21">
        <f>+'C&amp;A'!E62*0.02</f>
        <v>21.911999999999999</v>
      </c>
      <c r="W62" s="21">
        <f t="shared" si="22"/>
        <v>92503.052000000011</v>
      </c>
      <c r="X62" s="21">
        <f t="shared" si="23"/>
        <v>14800.488320000002</v>
      </c>
      <c r="Y62" s="21">
        <f t="shared" si="24"/>
        <v>107303.54032000001</v>
      </c>
      <c r="Z62" s="171">
        <f t="shared" si="25"/>
        <v>0</v>
      </c>
      <c r="AA62" s="103" t="s">
        <v>203</v>
      </c>
      <c r="AB62" s="103" t="s">
        <v>128</v>
      </c>
      <c r="AC62" s="103" t="s">
        <v>287</v>
      </c>
      <c r="AD62" s="108"/>
      <c r="AE62" s="108"/>
      <c r="AF62" s="103" t="s">
        <v>288</v>
      </c>
      <c r="AG62" s="104"/>
      <c r="AH62" s="104"/>
      <c r="AI62" s="105">
        <v>1237.2399999999998</v>
      </c>
      <c r="AJ62" s="104">
        <v>18762.760000000002</v>
      </c>
      <c r="AK62" s="105">
        <f t="shared" si="0"/>
        <v>20000</v>
      </c>
      <c r="AL62" s="105">
        <f>52526.29+20000</f>
        <v>72526.290000000008</v>
      </c>
      <c r="AM62" s="105"/>
      <c r="AN62" s="105"/>
      <c r="AO62" s="106">
        <v>45.15</v>
      </c>
      <c r="AP62" s="94">
        <f t="shared" si="1"/>
        <v>92481.140000000014</v>
      </c>
      <c r="AQ62" s="105"/>
      <c r="AR62" s="83">
        <v>3000</v>
      </c>
      <c r="AS62" s="83"/>
      <c r="AT62" s="83"/>
      <c r="AU62" s="103">
        <v>491.57</v>
      </c>
      <c r="AV62" s="103">
        <v>92.96</v>
      </c>
      <c r="AW62" s="94">
        <f t="shared" si="2"/>
        <v>88896.610000000015</v>
      </c>
      <c r="AX62" s="83">
        <f t="shared" si="3"/>
        <v>9248.1140000000014</v>
      </c>
      <c r="AY62" s="94">
        <f t="shared" si="4"/>
        <v>79648.496000000014</v>
      </c>
      <c r="AZ62" s="83">
        <f t="shared" si="5"/>
        <v>0</v>
      </c>
      <c r="BA62" s="83">
        <f t="shared" si="6"/>
        <v>24.744799999999998</v>
      </c>
      <c r="BB62" s="94">
        <f t="shared" si="7"/>
        <v>92505.884800000014</v>
      </c>
      <c r="BC62" s="153"/>
      <c r="BD62" s="85">
        <f t="shared" si="26"/>
        <v>-79648.496000000014</v>
      </c>
      <c r="BE62" s="153"/>
      <c r="BF62" s="153"/>
      <c r="BG62" s="85">
        <f t="shared" si="27"/>
        <v>0</v>
      </c>
      <c r="BH62" s="86">
        <v>1110345261</v>
      </c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20"/>
      <c r="BT62" s="20"/>
      <c r="BU62" s="20"/>
      <c r="BV62" s="20"/>
      <c r="BY62" s="50">
        <f>+S62-'C&amp;A'!I62-SINDICATO!N62</f>
        <v>0</v>
      </c>
    </row>
    <row r="63" spans="1:77" x14ac:dyDescent="0.25">
      <c r="A63" s="19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6"/>
      <c r="AA63" s="87"/>
      <c r="AB63" s="87"/>
      <c r="AC63" s="87"/>
      <c r="AD63" s="87"/>
      <c r="AE63" s="87"/>
      <c r="AF63" s="87"/>
      <c r="AG63" s="75"/>
      <c r="AH63" s="75"/>
      <c r="AI63" s="76"/>
      <c r="AJ63" s="75"/>
      <c r="AK63" s="76"/>
      <c r="AL63" s="76"/>
      <c r="AM63" s="77"/>
      <c r="AN63" s="77"/>
      <c r="AO63" s="78"/>
      <c r="AP63" s="79">
        <f t="shared" si="1"/>
        <v>0</v>
      </c>
      <c r="AQ63" s="80"/>
      <c r="AR63" s="81"/>
      <c r="AS63" s="81"/>
      <c r="AT63" s="81"/>
      <c r="AU63" s="82"/>
      <c r="AV63" s="82"/>
      <c r="AW63" s="79">
        <f t="shared" si="2"/>
        <v>0</v>
      </c>
      <c r="AX63" s="83">
        <f t="shared" si="3"/>
        <v>0</v>
      </c>
      <c r="AY63" s="79">
        <f t="shared" si="4"/>
        <v>0</v>
      </c>
      <c r="AZ63" s="84">
        <f t="shared" si="5"/>
        <v>0</v>
      </c>
      <c r="BA63" s="83">
        <f t="shared" si="6"/>
        <v>0</v>
      </c>
      <c r="BB63" s="79">
        <f t="shared" si="7"/>
        <v>0</v>
      </c>
      <c r="BC63" s="86"/>
      <c r="BD63" s="85">
        <f t="shared" si="26"/>
        <v>0</v>
      </c>
      <c r="BE63" s="153"/>
      <c r="BF63" s="153"/>
      <c r="BG63" s="85">
        <f t="shared" si="27"/>
        <v>0</v>
      </c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98"/>
      <c r="BT63" s="98"/>
      <c r="BU63" s="98"/>
      <c r="BV63" s="98"/>
    </row>
    <row r="64" spans="1:77" ht="16.5" thickBot="1" x14ac:dyDescent="0.3">
      <c r="A64" s="24" t="s">
        <v>16</v>
      </c>
      <c r="B64" s="23" t="s">
        <v>17</v>
      </c>
      <c r="C64" s="25">
        <f>SUM(C10:C62)</f>
        <v>201036.5</v>
      </c>
      <c r="D64" s="25">
        <f t="shared" ref="D64:Y64" si="28">SUM(D10:D62)</f>
        <v>1838.8522777492799</v>
      </c>
      <c r="E64" s="25">
        <f t="shared" si="28"/>
        <v>297607.40000000002</v>
      </c>
      <c r="F64" s="25">
        <f t="shared" si="28"/>
        <v>0</v>
      </c>
      <c r="G64" s="25">
        <f t="shared" si="28"/>
        <v>0</v>
      </c>
      <c r="H64" s="25">
        <f t="shared" si="28"/>
        <v>0</v>
      </c>
      <c r="I64" s="25">
        <f t="shared" si="28"/>
        <v>0</v>
      </c>
      <c r="J64" s="25">
        <f t="shared" si="28"/>
        <v>500482.75227774924</v>
      </c>
      <c r="K64" s="25">
        <f t="shared" si="28"/>
        <v>3500</v>
      </c>
      <c r="L64" s="25">
        <f t="shared" si="28"/>
        <v>2392.9500000000021</v>
      </c>
      <c r="M64" s="25">
        <f t="shared" si="28"/>
        <v>1720.54</v>
      </c>
      <c r="N64" s="25">
        <f t="shared" si="28"/>
        <v>0</v>
      </c>
      <c r="O64" s="25">
        <f t="shared" si="28"/>
        <v>317.80500000000001</v>
      </c>
      <c r="P64" s="25">
        <f t="shared" si="28"/>
        <v>14628.199999999999</v>
      </c>
      <c r="Q64" s="25">
        <f t="shared" si="28"/>
        <v>41807.990000000005</v>
      </c>
      <c r="R64" s="25">
        <f t="shared" si="28"/>
        <v>64367.48500000003</v>
      </c>
      <c r="S64" s="25">
        <f t="shared" si="28"/>
        <v>436115.26727774926</v>
      </c>
      <c r="T64" s="25">
        <f t="shared" si="28"/>
        <v>498089.80227774906</v>
      </c>
      <c r="U64" s="25">
        <f t="shared" si="28"/>
        <v>7817.1049999999968</v>
      </c>
      <c r="V64" s="25">
        <f t="shared" si="28"/>
        <v>1161.3360000000007</v>
      </c>
      <c r="W64" s="25">
        <f t="shared" si="28"/>
        <v>507068.24327774893</v>
      </c>
      <c r="X64" s="25">
        <f t="shared" si="28"/>
        <v>81130.918924439902</v>
      </c>
      <c r="Y64" s="25">
        <f t="shared" si="28"/>
        <v>588199.16220218944</v>
      </c>
      <c r="Z64" s="26"/>
      <c r="AA64" s="87"/>
      <c r="AB64" s="87"/>
      <c r="AC64" s="87"/>
      <c r="AD64" s="87"/>
      <c r="AE64" s="87"/>
      <c r="AF64" s="87"/>
      <c r="AG64" s="75"/>
      <c r="AH64" s="75"/>
      <c r="AI64" s="76"/>
      <c r="AJ64" s="75"/>
      <c r="AK64" s="76"/>
      <c r="AL64" s="76"/>
      <c r="AM64" s="77"/>
      <c r="AN64" s="77"/>
      <c r="AO64" s="78"/>
      <c r="AP64" s="79"/>
      <c r="AQ64" s="80"/>
      <c r="AR64" s="81"/>
      <c r="AS64" s="81"/>
      <c r="AT64" s="81"/>
      <c r="AU64" s="82"/>
      <c r="AV64" s="82"/>
      <c r="AW64" s="79"/>
      <c r="AX64" s="83"/>
      <c r="AY64" s="79"/>
      <c r="AZ64" s="84"/>
      <c r="BA64" s="83"/>
      <c r="BB64" s="79"/>
      <c r="BC64" s="86"/>
      <c r="BD64" s="86"/>
      <c r="BE64" s="153"/>
      <c r="BF64" s="153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99"/>
      <c r="BT64" s="99"/>
      <c r="BU64" s="99"/>
      <c r="BV64" s="99"/>
    </row>
    <row r="65" spans="1:74" ht="16.5" thickTop="1" x14ac:dyDescent="0.25">
      <c r="A65" s="19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101">
        <f>+'C&amp;A'!I66+SINDICATO!N66</f>
        <v>872230.53455549839</v>
      </c>
      <c r="T65" s="101">
        <f>+'C&amp;A'!I66+SINDICATO!E66</f>
        <v>1000965.504555498</v>
      </c>
      <c r="U65" s="20"/>
      <c r="V65" s="20"/>
      <c r="W65" s="20"/>
      <c r="X65" s="20"/>
      <c r="Y65" s="20"/>
      <c r="Z65" s="26"/>
      <c r="AA65" s="90"/>
      <c r="AB65" s="90"/>
      <c r="AC65" s="87"/>
      <c r="AD65" s="75"/>
      <c r="AE65" s="75"/>
      <c r="AF65" s="87"/>
      <c r="AG65" s="87"/>
      <c r="AH65" s="87"/>
      <c r="AI65" s="87"/>
      <c r="AJ65" s="87"/>
      <c r="AK65" s="76"/>
      <c r="AL65" s="76"/>
      <c r="AM65" s="76"/>
      <c r="AN65" s="76"/>
      <c r="AO65" s="78"/>
      <c r="AP65" s="79">
        <f>SUM(AK65:AN65)-AO65</f>
        <v>0</v>
      </c>
      <c r="AQ65" s="80"/>
      <c r="AR65" s="81"/>
      <c r="AS65" s="81"/>
      <c r="AT65" s="81"/>
      <c r="AU65" s="83"/>
      <c r="AV65" s="83"/>
      <c r="AW65" s="79">
        <f>+AP65-SUM(AQ65:AV65)</f>
        <v>0</v>
      </c>
      <c r="AX65" s="83">
        <f>IF(AP65&gt;4500,AP65*0.1,0)</f>
        <v>0</v>
      </c>
      <c r="AY65" s="79">
        <f>+AW65-AX65</f>
        <v>0</v>
      </c>
      <c r="AZ65" s="84">
        <f>IF(AP65&lt;4500,AP65*0.1,0)</f>
        <v>0</v>
      </c>
      <c r="BA65" s="83"/>
      <c r="BB65" s="79">
        <f>+AP65+AZ65+BA65</f>
        <v>0</v>
      </c>
      <c r="BC65" s="86"/>
      <c r="BD65" s="86"/>
      <c r="BE65" s="153"/>
      <c r="BF65" s="153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23"/>
      <c r="BT65" s="23"/>
      <c r="BU65" s="23"/>
      <c r="BV65" s="23"/>
    </row>
    <row r="66" spans="1:74" ht="16.5" thickBot="1" x14ac:dyDescent="0.3">
      <c r="A66" s="19"/>
      <c r="B66" s="20" t="s">
        <v>298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100"/>
      <c r="R66" s="100"/>
      <c r="S66" s="102">
        <f>+S64-S65</f>
        <v>-436115.26727774914</v>
      </c>
      <c r="T66" s="102">
        <f>+T64-T65</f>
        <v>-502875.70227774896</v>
      </c>
      <c r="U66" s="26"/>
      <c r="V66" s="26"/>
      <c r="W66" s="26"/>
      <c r="X66" s="26"/>
      <c r="Y66" s="26"/>
      <c r="Z66" s="26"/>
      <c r="AA66" s="90"/>
      <c r="AB66" s="91"/>
      <c r="AC66" s="92"/>
      <c r="AD66" s="92"/>
      <c r="AE66" s="92"/>
      <c r="AF66" s="92"/>
      <c r="AG66" s="92"/>
      <c r="AH66" s="92"/>
      <c r="AI66" s="92"/>
      <c r="AJ66" s="92"/>
      <c r="AK66" s="93"/>
      <c r="AL66" s="93"/>
      <c r="AM66" s="93"/>
      <c r="AN66" s="93"/>
      <c r="AO66" s="93"/>
      <c r="AP66" s="94"/>
      <c r="AQ66" s="93"/>
      <c r="AR66" s="93"/>
      <c r="AS66" s="83"/>
      <c r="AT66" s="83"/>
      <c r="AU66" s="83"/>
      <c r="AV66" s="83"/>
      <c r="AW66" s="95"/>
      <c r="AX66" s="83"/>
      <c r="AY66" s="94"/>
      <c r="AZ66" s="83"/>
      <c r="BA66" s="83"/>
      <c r="BB66" s="94"/>
      <c r="BC66" s="86"/>
      <c r="BD66" s="86"/>
      <c r="BE66" s="153"/>
      <c r="BF66" s="153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25">
        <f>SUM(BS13:BS64)</f>
        <v>0</v>
      </c>
      <c r="BT66" s="25">
        <f>SUM(BT13:BT64)</f>
        <v>0</v>
      </c>
      <c r="BU66" s="25">
        <f>SUM(BU13:BU64)</f>
        <v>0</v>
      </c>
      <c r="BV66" s="25">
        <f>SUM(BV13:BV64)</f>
        <v>0</v>
      </c>
    </row>
    <row r="67" spans="1:74" ht="16.5" thickTop="1" x14ac:dyDescent="0.25">
      <c r="AA67" s="155" t="s">
        <v>218</v>
      </c>
      <c r="AB67" s="155" t="s">
        <v>43</v>
      </c>
      <c r="AC67" s="155" t="s">
        <v>130</v>
      </c>
      <c r="AD67" s="156"/>
      <c r="AE67" s="156" t="s">
        <v>358</v>
      </c>
      <c r="AF67" s="155" t="s">
        <v>141</v>
      </c>
      <c r="AG67" s="157"/>
      <c r="AH67" s="157"/>
      <c r="AI67" s="158">
        <v>0</v>
      </c>
      <c r="AJ67" s="157">
        <v>0</v>
      </c>
      <c r="AK67" s="158">
        <f>+AI67+AJ67</f>
        <v>0</v>
      </c>
      <c r="AL67" s="158"/>
      <c r="AM67" s="158"/>
      <c r="AN67" s="158"/>
      <c r="AO67" s="158"/>
      <c r="AP67" s="159">
        <f>SUM(AK67:AN67)-AO67</f>
        <v>0</v>
      </c>
      <c r="AQ67" s="158"/>
      <c r="AR67" s="160"/>
      <c r="AS67" s="160"/>
      <c r="AT67" s="160"/>
      <c r="AU67" s="161"/>
      <c r="AV67" s="155"/>
      <c r="AW67" s="159">
        <f>+AP67-SUM(AQ67:AV67)</f>
        <v>0</v>
      </c>
      <c r="AX67" s="160">
        <f>IF(AP67&gt;4500,AP67*0.1,0)</f>
        <v>0</v>
      </c>
      <c r="AY67" s="159">
        <f>+AW67-AX67</f>
        <v>0</v>
      </c>
      <c r="AZ67" s="160">
        <f>IF(AP67&lt;4500,AP67*0.1,0)</f>
        <v>0</v>
      </c>
      <c r="BA67" s="160">
        <f>AI67*0.02</f>
        <v>0</v>
      </c>
      <c r="BB67" s="159">
        <f>+AP67+AZ67+BA67</f>
        <v>0</v>
      </c>
      <c r="BC67" s="162"/>
      <c r="BD67" s="163">
        <f>+BC67-AY67</f>
        <v>0</v>
      </c>
      <c r="BE67" s="162"/>
      <c r="BF67" s="162"/>
      <c r="BG67" s="163">
        <f>+BE67+BF67-BC67</f>
        <v>0</v>
      </c>
      <c r="BH67" s="164">
        <v>2985423643</v>
      </c>
      <c r="BI67" s="164"/>
      <c r="BJ67" s="86"/>
      <c r="BK67" s="86"/>
      <c r="BM67" s="86"/>
      <c r="BN67" s="86"/>
      <c r="BO67" s="86"/>
      <c r="BP67" s="86"/>
      <c r="BQ67" s="86"/>
      <c r="BR67" s="86"/>
      <c r="BS67" s="20"/>
      <c r="BT67" s="20"/>
      <c r="BU67" s="20"/>
      <c r="BV67" s="20"/>
    </row>
    <row r="68" spans="1:74" x14ac:dyDescent="0.25">
      <c r="A68" s="19" t="s">
        <v>43</v>
      </c>
      <c r="B68" s="20" t="s">
        <v>44</v>
      </c>
      <c r="C68" s="21">
        <v>2500</v>
      </c>
      <c r="D68" s="21">
        <v>160.37636329558455</v>
      </c>
      <c r="E68" s="21" t="e">
        <f>+#REF!</f>
        <v>#REF!</v>
      </c>
      <c r="F68" s="21">
        <v>0</v>
      </c>
      <c r="G68" s="21">
        <v>0</v>
      </c>
      <c r="H68" s="21">
        <v>0</v>
      </c>
      <c r="I68" s="21">
        <v>0</v>
      </c>
      <c r="J68" s="21"/>
      <c r="K68" s="21">
        <v>0</v>
      </c>
      <c r="L68" s="21" t="e">
        <f>+#REF!</f>
        <v>#REF!</v>
      </c>
      <c r="M68" s="21" t="e">
        <f>+#REF!</f>
        <v>#REF!</v>
      </c>
      <c r="N68" s="21" t="e">
        <f>+#REF!</f>
        <v>#REF!</v>
      </c>
      <c r="O68" s="21"/>
      <c r="P68" s="21" t="e">
        <f>+#REF!</f>
        <v>#REF!</v>
      </c>
      <c r="Q68" s="21" t="e">
        <f>+#REF!</f>
        <v>#REF!</v>
      </c>
      <c r="R68" s="21"/>
      <c r="S68" s="21" t="e">
        <f>+C68+D68+E68+F68+G68+H68+I68-#REF!-K68-L68-M68-N68-O68-P68-Q68</f>
        <v>#REF!</v>
      </c>
      <c r="T68" s="21" t="e">
        <f>+C68+D68+E68+F68+G68+H68+I68-#REF!-K68-L68-M68-N68</f>
        <v>#REF!</v>
      </c>
      <c r="U68" s="21">
        <v>250</v>
      </c>
      <c r="V68" s="21" t="e">
        <f>+'C&amp;A'!#REF!*0.02</f>
        <v>#REF!</v>
      </c>
      <c r="W68" s="21" t="e">
        <f>SUM(T68:V68)</f>
        <v>#REF!</v>
      </c>
      <c r="X68" s="21" t="e">
        <f>+W68*0.16</f>
        <v>#REF!</v>
      </c>
      <c r="Y68" s="21" t="e">
        <f>+W68+X68</f>
        <v>#REF!</v>
      </c>
      <c r="Z68" s="26"/>
      <c r="AA68" s="155" t="s">
        <v>229</v>
      </c>
      <c r="AB68" s="155" t="s">
        <v>13</v>
      </c>
      <c r="AC68" s="155" t="s">
        <v>230</v>
      </c>
      <c r="AD68" s="157"/>
      <c r="AE68" s="157" t="s">
        <v>358</v>
      </c>
      <c r="AF68" s="155" t="s">
        <v>231</v>
      </c>
      <c r="AG68" s="157" t="s">
        <v>206</v>
      </c>
      <c r="AH68" s="157"/>
      <c r="AI68" s="158"/>
      <c r="AJ68" s="157"/>
      <c r="AK68" s="158"/>
      <c r="AL68" s="158"/>
      <c r="AM68" s="158"/>
      <c r="AN68" s="158"/>
      <c r="AO68" s="158"/>
      <c r="AP68" s="159">
        <f>SUM(AK68:AN68)-AO68</f>
        <v>0</v>
      </c>
      <c r="AQ68" s="158"/>
      <c r="AR68" s="160"/>
      <c r="AS68" s="160"/>
      <c r="AT68" s="160"/>
      <c r="AU68" s="161"/>
      <c r="AV68" s="165"/>
      <c r="AW68" s="159">
        <f>+AP68-SUM(AQ68:AV68)</f>
        <v>0</v>
      </c>
      <c r="AX68" s="160">
        <f>IF(AP68&gt;4500,AP68*0.1,0)</f>
        <v>0</v>
      </c>
      <c r="AY68" s="159">
        <f>+AW68-AX68</f>
        <v>0</v>
      </c>
      <c r="AZ68" s="160">
        <f>IF(AP68&lt;4500,AP68*0.1,0)</f>
        <v>0</v>
      </c>
      <c r="BA68" s="160">
        <f>AI68*0.02</f>
        <v>0</v>
      </c>
      <c r="BB68" s="159">
        <f>+AP68+AZ68+BA68</f>
        <v>0</v>
      </c>
      <c r="BC68" s="162"/>
      <c r="BD68" s="163">
        <f>+BC68-AY68</f>
        <v>0</v>
      </c>
      <c r="BE68" s="162"/>
      <c r="BF68" s="162"/>
      <c r="BG68" s="163">
        <f>+BE68+BF68-BC68</f>
        <v>0</v>
      </c>
      <c r="BH68" s="164">
        <v>2994929888</v>
      </c>
      <c r="BI68" s="166"/>
      <c r="BJ68" s="86"/>
      <c r="BK68" s="86"/>
      <c r="BL68" s="86"/>
      <c r="BM68" s="86"/>
      <c r="BN68" s="86"/>
      <c r="BO68" s="86"/>
      <c r="BP68" s="86"/>
      <c r="BQ68" s="86"/>
      <c r="BR68" s="86"/>
      <c r="BS68" s="20"/>
      <c r="BT68" s="20"/>
      <c r="BU68" s="20"/>
      <c r="BV68" s="20"/>
    </row>
    <row r="69" spans="1:74" x14ac:dyDescent="0.25">
      <c r="A69" s="19" t="s">
        <v>13</v>
      </c>
      <c r="B69" s="20" t="s">
        <v>57</v>
      </c>
      <c r="C69" s="21">
        <v>3000</v>
      </c>
      <c r="D69" s="21">
        <v>145.37389713135775</v>
      </c>
      <c r="E69" s="21" t="e">
        <f>+#REF!</f>
        <v>#REF!</v>
      </c>
      <c r="F69" s="21">
        <v>0</v>
      </c>
      <c r="G69" s="21">
        <v>0</v>
      </c>
      <c r="H69" s="21">
        <v>0</v>
      </c>
      <c r="I69" s="21">
        <v>0</v>
      </c>
      <c r="J69" s="21"/>
      <c r="K69" s="21">
        <v>0</v>
      </c>
      <c r="L69" s="21" t="e">
        <f>+#REF!</f>
        <v>#REF!</v>
      </c>
      <c r="M69" s="21" t="e">
        <f>+#REF!</f>
        <v>#REF!</v>
      </c>
      <c r="N69" s="21" t="e">
        <f>+#REF!</f>
        <v>#REF!</v>
      </c>
      <c r="O69" s="21"/>
      <c r="P69" s="21" t="e">
        <f>+#REF!</f>
        <v>#REF!</v>
      </c>
      <c r="Q69" s="21" t="e">
        <f>+#REF!</f>
        <v>#REF!</v>
      </c>
      <c r="R69" s="21"/>
      <c r="S69" s="21" t="e">
        <f>+C69+D69+E69+F69+G69+H69+I69-#REF!-K69-L69-M69-N69-O69-P69-Q69</f>
        <v>#REF!</v>
      </c>
      <c r="T69" s="21" t="e">
        <f>+C69+D69+E69+F69+G69+H69+I69-#REF!-K69-L69-M69-N69</f>
        <v>#REF!</v>
      </c>
      <c r="U69" s="21">
        <v>300</v>
      </c>
      <c r="V69" s="21" t="e">
        <f>+'C&amp;A'!#REF!*0.02</f>
        <v>#REF!</v>
      </c>
      <c r="W69" s="21" t="e">
        <f>SUM(T69:V69)</f>
        <v>#REF!</v>
      </c>
      <c r="X69" s="21" t="e">
        <f>+W69*0.16</f>
        <v>#REF!</v>
      </c>
      <c r="Y69" s="21" t="e">
        <f>+W69+X69</f>
        <v>#REF!</v>
      </c>
      <c r="Z69" s="26"/>
      <c r="AA69" s="155" t="s">
        <v>229</v>
      </c>
      <c r="AB69" s="155" t="s">
        <v>92</v>
      </c>
      <c r="AC69" s="155" t="s">
        <v>253</v>
      </c>
      <c r="AD69" s="157"/>
      <c r="AE69" s="157"/>
      <c r="AF69" s="155" t="s">
        <v>151</v>
      </c>
      <c r="AG69" s="157" t="s">
        <v>206</v>
      </c>
      <c r="AH69" s="157"/>
      <c r="AI69" s="158"/>
      <c r="AJ69" s="157"/>
      <c r="AK69" s="158">
        <f>+AI69+AJ69</f>
        <v>0</v>
      </c>
      <c r="AL69" s="158"/>
      <c r="AM69" s="158"/>
      <c r="AN69" s="158"/>
      <c r="AO69" s="158"/>
      <c r="AP69" s="159">
        <f>SUM(AK69:AN69)-AO69</f>
        <v>0</v>
      </c>
      <c r="AQ69" s="158"/>
      <c r="AR69" s="160"/>
      <c r="AS69" s="160"/>
      <c r="AT69" s="160"/>
      <c r="AU69" s="161"/>
      <c r="AV69" s="155">
        <v>0</v>
      </c>
      <c r="AW69" s="159">
        <f>+AP69-SUM(AQ69:AV69)</f>
        <v>0</v>
      </c>
      <c r="AX69" s="160">
        <f>IF(AP69&gt;4500,AP69*0.1,0)</f>
        <v>0</v>
      </c>
      <c r="AY69" s="159">
        <f>+AW69-AX69</f>
        <v>0</v>
      </c>
      <c r="AZ69" s="160">
        <f>IF(AP69&lt;4500,AP69*0.1,0)</f>
        <v>0</v>
      </c>
      <c r="BA69" s="160">
        <f>AI69*0.02</f>
        <v>0</v>
      </c>
      <c r="BB69" s="159">
        <f>+AP69+AZ69+BA69</f>
        <v>0</v>
      </c>
      <c r="BC69" s="162"/>
      <c r="BD69" s="163">
        <f>+BC69-AY69</f>
        <v>0</v>
      </c>
      <c r="BE69" s="162"/>
      <c r="BF69" s="162"/>
      <c r="BG69" s="163">
        <f>+BE69+BF69-BC69</f>
        <v>0</v>
      </c>
      <c r="BH69" s="164">
        <v>2903180794</v>
      </c>
      <c r="BI69" s="164"/>
      <c r="BJ69" s="86"/>
      <c r="BK69" s="86"/>
      <c r="BL69" s="86"/>
      <c r="BM69" s="86"/>
      <c r="BN69" s="86"/>
      <c r="BO69" s="86"/>
      <c r="BP69" s="86"/>
      <c r="BQ69" s="86"/>
      <c r="BR69" s="86"/>
      <c r="BS69" s="20"/>
      <c r="BT69" s="20"/>
      <c r="BU69" s="20"/>
      <c r="BV69" s="20"/>
    </row>
    <row r="70" spans="1:74" x14ac:dyDescent="0.25">
      <c r="A70" s="19" t="s">
        <v>92</v>
      </c>
      <c r="B70" s="20" t="s">
        <v>93</v>
      </c>
      <c r="C70" s="21">
        <v>2800</v>
      </c>
      <c r="D70" s="21">
        <v>145.37389713135775</v>
      </c>
      <c r="E70" s="21" t="e">
        <f>+#REF!</f>
        <v>#REF!</v>
      </c>
      <c r="F70" s="21">
        <v>0</v>
      </c>
      <c r="G70" s="21">
        <v>0</v>
      </c>
      <c r="H70" s="21">
        <v>0</v>
      </c>
      <c r="I70" s="21">
        <v>0</v>
      </c>
      <c r="J70" s="21"/>
      <c r="K70" s="21">
        <v>0</v>
      </c>
      <c r="L70" s="21" t="e">
        <f>+#REF!</f>
        <v>#REF!</v>
      </c>
      <c r="M70" s="21" t="e">
        <f>+#REF!</f>
        <v>#REF!</v>
      </c>
      <c r="N70" s="21" t="e">
        <f>+#REF!</f>
        <v>#REF!</v>
      </c>
      <c r="O70" s="21"/>
      <c r="P70" s="21" t="e">
        <f>+#REF!</f>
        <v>#REF!</v>
      </c>
      <c r="Q70" s="21" t="e">
        <f>+#REF!</f>
        <v>#REF!</v>
      </c>
      <c r="R70" s="21"/>
      <c r="S70" s="21" t="e">
        <f>+C70+D70+E70+F70+G70+H70+I70-#REF!-K70-L70-M70-N70-O70-P70-Q70</f>
        <v>#REF!</v>
      </c>
      <c r="T70" s="21" t="e">
        <f>+C70+D70+E70+F70+G70+H70+I70-#REF!-K70-L70-M70-N70</f>
        <v>#REF!</v>
      </c>
      <c r="U70" s="21">
        <v>280</v>
      </c>
      <c r="V70" s="21" t="e">
        <f>+'C&amp;A'!#REF!*0.02</f>
        <v>#REF!</v>
      </c>
      <c r="W70" s="21" t="e">
        <f>SUM(T70:V70)</f>
        <v>#REF!</v>
      </c>
      <c r="X70" s="21" t="e">
        <f>+W70*0.16</f>
        <v>#REF!</v>
      </c>
      <c r="Y70" s="21" t="e">
        <f>+W70+X70</f>
        <v>#REF!</v>
      </c>
      <c r="Z70" s="26"/>
      <c r="AA70" s="96" t="s">
        <v>380</v>
      </c>
      <c r="AC70" s="70"/>
    </row>
    <row r="71" spans="1:74" x14ac:dyDescent="0.25">
      <c r="AA71" s="96" t="s">
        <v>381</v>
      </c>
      <c r="AC71" s="70"/>
    </row>
    <row r="72" spans="1:74" x14ac:dyDescent="0.25">
      <c r="AA72" s="96" t="s">
        <v>382</v>
      </c>
      <c r="AC72" s="70"/>
    </row>
  </sheetData>
  <sortState ref="A10:M65">
    <sortCondition ref="B10:B65"/>
  </sortState>
  <mergeCells count="36">
    <mergeCell ref="BE8:BF8"/>
    <mergeCell ref="BG8:BG9"/>
    <mergeCell ref="BH8:BH9"/>
    <mergeCell ref="BI8:BI9"/>
    <mergeCell ref="AZ8:AZ9"/>
    <mergeCell ref="BA8:BA9"/>
    <mergeCell ref="BB8:BB9"/>
    <mergeCell ref="BC8:BC9"/>
    <mergeCell ref="BD8:BD9"/>
    <mergeCell ref="AU8:AU9"/>
    <mergeCell ref="AV8:AV9"/>
    <mergeCell ref="AW8:AW9"/>
    <mergeCell ref="AX8:AX9"/>
    <mergeCell ref="AY8:AY9"/>
    <mergeCell ref="AO8:AO9"/>
    <mergeCell ref="AP8:AP9"/>
    <mergeCell ref="AQ8:AQ9"/>
    <mergeCell ref="AS8:AS9"/>
    <mergeCell ref="AT8:AT9"/>
    <mergeCell ref="AJ8:AJ9"/>
    <mergeCell ref="AK8:AK9"/>
    <mergeCell ref="AL8:AL9"/>
    <mergeCell ref="AM8:AM9"/>
    <mergeCell ref="AN8:AN9"/>
    <mergeCell ref="T7:Y7"/>
    <mergeCell ref="B1:C1"/>
    <mergeCell ref="B3:C3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</mergeCells>
  <pageMargins left="0.70866141732283472" right="0.70866141732283472" top="0.74803149606299213" bottom="0.74803149606299213" header="0.31496062992125984" footer="0.31496062992125984"/>
  <pageSetup scale="3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69"/>
  <sheetViews>
    <sheetView workbookViewId="0">
      <pane xSplit="2" ySplit="9" topLeftCell="C10" activePane="bottomRight" state="frozen"/>
      <selection activeCell="Q66" sqref="Q66"/>
      <selection pane="topRight" activeCell="Q66" sqref="Q66"/>
      <selection pane="bottomLeft" activeCell="Q66" sqref="Q66"/>
      <selection pane="bottomRight" activeCell="Q66" sqref="Q66"/>
    </sheetView>
  </sheetViews>
  <sheetFormatPr baseColWidth="10" defaultRowHeight="11.25" x14ac:dyDescent="0.2"/>
  <cols>
    <col min="1" max="1" width="11.42578125" style="11"/>
    <col min="2" max="2" width="26.5703125" style="11" customWidth="1"/>
    <col min="3" max="3" width="13" style="11" customWidth="1"/>
    <col min="4" max="5" width="16.140625" style="11" customWidth="1"/>
    <col min="6" max="8" width="11.42578125" style="11" customWidth="1"/>
    <col min="9" max="9" width="11.42578125" style="11"/>
    <col min="10" max="16384" width="11.42578125" style="2"/>
  </cols>
  <sheetData>
    <row r="1" spans="1:11" ht="18" customHeight="1" x14ac:dyDescent="0.25">
      <c r="A1" s="35" t="s">
        <v>0</v>
      </c>
      <c r="B1" s="145" t="s">
        <v>17</v>
      </c>
      <c r="C1" s="146"/>
      <c r="D1" s="32"/>
      <c r="E1" s="32"/>
      <c r="F1" s="32"/>
      <c r="G1" s="32"/>
      <c r="H1" s="32"/>
      <c r="I1" s="32"/>
    </row>
    <row r="2" spans="1:11" ht="24.95" customHeight="1" x14ac:dyDescent="0.25">
      <c r="A2" s="36" t="s">
        <v>1</v>
      </c>
      <c r="B2" s="4" t="s">
        <v>156</v>
      </c>
      <c r="C2" s="5"/>
      <c r="D2" s="32"/>
      <c r="E2" s="32"/>
      <c r="F2" s="32"/>
      <c r="G2" s="32"/>
      <c r="H2" s="32"/>
      <c r="I2" s="32"/>
    </row>
    <row r="3" spans="1:11" ht="15.75" x14ac:dyDescent="0.25">
      <c r="A3" s="32"/>
      <c r="B3" s="147" t="s">
        <v>2</v>
      </c>
      <c r="C3" s="139"/>
      <c r="D3" s="32"/>
      <c r="E3" s="32"/>
      <c r="F3" s="32"/>
      <c r="G3" s="32"/>
      <c r="H3" s="32"/>
      <c r="I3" s="32"/>
    </row>
    <row r="4" spans="1:11" ht="15" x14ac:dyDescent="0.25">
      <c r="A4" s="32"/>
      <c r="B4" s="6" t="str">
        <f>+FACTURACIÓN!B4</f>
        <v>Periodo 5 al 5 Quincenal del 01/03/2016 al 15/03/2016</v>
      </c>
      <c r="C4" s="112"/>
      <c r="D4" s="32"/>
      <c r="E4" s="32"/>
      <c r="F4" s="32"/>
      <c r="G4" s="32"/>
      <c r="H4" s="32"/>
      <c r="I4" s="175"/>
    </row>
    <row r="5" spans="1:11" ht="15" x14ac:dyDescent="0.25">
      <c r="A5" s="32"/>
      <c r="B5" s="38" t="s">
        <v>157</v>
      </c>
      <c r="C5" s="32"/>
      <c r="D5" s="32"/>
      <c r="E5" s="32"/>
      <c r="F5" s="32"/>
      <c r="G5" s="32"/>
      <c r="H5" s="32"/>
      <c r="I5" s="32"/>
    </row>
    <row r="6" spans="1:11" ht="15" x14ac:dyDescent="0.25">
      <c r="A6" s="32"/>
      <c r="B6" s="38" t="s">
        <v>3</v>
      </c>
      <c r="C6" s="32"/>
      <c r="D6" s="32"/>
      <c r="E6" s="32"/>
      <c r="F6" s="32"/>
      <c r="G6" s="32"/>
      <c r="H6" s="32"/>
      <c r="I6" s="32"/>
    </row>
    <row r="8" spans="1:11" s="48" customFormat="1" ht="34.5" thickBot="1" x14ac:dyDescent="0.3">
      <c r="A8" s="46" t="s">
        <v>4</v>
      </c>
      <c r="B8" s="8" t="s">
        <v>5</v>
      </c>
      <c r="C8" s="8" t="s">
        <v>6</v>
      </c>
      <c r="D8" s="7" t="s">
        <v>158</v>
      </c>
      <c r="E8" s="7" t="s">
        <v>7</v>
      </c>
      <c r="F8" s="8" t="s">
        <v>8</v>
      </c>
      <c r="G8" s="8" t="s">
        <v>9</v>
      </c>
      <c r="H8" s="7" t="s">
        <v>10</v>
      </c>
      <c r="I8" s="47" t="s">
        <v>11</v>
      </c>
    </row>
    <row r="9" spans="1:11" ht="15.75" thickTop="1" x14ac:dyDescent="0.25">
      <c r="A9" s="32"/>
      <c r="B9" s="32"/>
      <c r="C9" s="32"/>
      <c r="D9" s="32"/>
      <c r="E9" s="32"/>
      <c r="F9" s="32"/>
      <c r="G9" s="32"/>
      <c r="H9" s="32"/>
      <c r="I9" s="32"/>
    </row>
    <row r="10" spans="1:11" x14ac:dyDescent="0.2">
      <c r="A10" s="34" t="s">
        <v>28</v>
      </c>
      <c r="B10" s="33" t="s">
        <v>29</v>
      </c>
      <c r="C10" s="40">
        <v>1095.5999999999999</v>
      </c>
      <c r="D10" s="40">
        <v>0</v>
      </c>
      <c r="E10" s="40">
        <f>SUM(C10:D10)</f>
        <v>1095.5999999999999</v>
      </c>
      <c r="F10" s="41">
        <v>-141.59</v>
      </c>
      <c r="G10" s="114">
        <v>-0.01</v>
      </c>
      <c r="H10" s="40">
        <f>SUM(F10:G10)</f>
        <v>-141.6</v>
      </c>
      <c r="I10" s="40">
        <f>+E10-H10</f>
        <v>1237.1999999999998</v>
      </c>
      <c r="J10" s="2" t="str">
        <f>IF(B10=K10,"SI","NO")</f>
        <v>SI</v>
      </c>
      <c r="K10" s="20" t="s">
        <v>29</v>
      </c>
    </row>
    <row r="11" spans="1:11" x14ac:dyDescent="0.2">
      <c r="A11" s="34" t="s">
        <v>12</v>
      </c>
      <c r="B11" s="33" t="s">
        <v>30</v>
      </c>
      <c r="C11" s="132">
        <v>1095.5999999999999</v>
      </c>
      <c r="D11" s="132">
        <v>0</v>
      </c>
      <c r="E11" s="132">
        <f t="shared" ref="E11:E62" si="0">SUM(C11:D11)</f>
        <v>1095.5999999999999</v>
      </c>
      <c r="F11" s="114">
        <v>-141.59</v>
      </c>
      <c r="G11" s="114">
        <v>-0.01</v>
      </c>
      <c r="H11" s="113">
        <f t="shared" ref="H11:H62" si="1">SUM(F11:G11)</f>
        <v>-141.6</v>
      </c>
      <c r="I11" s="113">
        <f t="shared" ref="I11:I62" si="2">+E11-H11</f>
        <v>1237.1999999999998</v>
      </c>
      <c r="J11" s="130" t="str">
        <f t="shared" ref="J11:J62" si="3">IF(B11=K11,"SI","NO")</f>
        <v>SI</v>
      </c>
      <c r="K11" s="20" t="s">
        <v>30</v>
      </c>
    </row>
    <row r="12" spans="1:11" x14ac:dyDescent="0.2">
      <c r="A12" s="34" t="s">
        <v>31</v>
      </c>
      <c r="B12" s="33" t="s">
        <v>32</v>
      </c>
      <c r="C12" s="132">
        <v>1095.5999999999999</v>
      </c>
      <c r="D12" s="132">
        <v>0</v>
      </c>
      <c r="E12" s="132">
        <f t="shared" si="0"/>
        <v>1095.5999999999999</v>
      </c>
      <c r="F12" s="114">
        <v>-141.59</v>
      </c>
      <c r="G12" s="114">
        <v>-0.01</v>
      </c>
      <c r="H12" s="113">
        <f t="shared" si="1"/>
        <v>-141.6</v>
      </c>
      <c r="I12" s="113">
        <f t="shared" si="2"/>
        <v>1237.1999999999998</v>
      </c>
      <c r="J12" s="130" t="str">
        <f t="shared" si="3"/>
        <v>SI</v>
      </c>
      <c r="K12" s="20" t="s">
        <v>32</v>
      </c>
    </row>
    <row r="13" spans="1:11" x14ac:dyDescent="0.2">
      <c r="A13" s="34" t="s">
        <v>33</v>
      </c>
      <c r="B13" s="33" t="s">
        <v>34</v>
      </c>
      <c r="C13" s="132">
        <v>1095.5999999999999</v>
      </c>
      <c r="D13" s="132">
        <v>0</v>
      </c>
      <c r="E13" s="132">
        <f t="shared" si="0"/>
        <v>1095.5999999999999</v>
      </c>
      <c r="F13" s="114">
        <v>-141.59</v>
      </c>
      <c r="G13" s="114">
        <v>-0.01</v>
      </c>
      <c r="H13" s="113">
        <f t="shared" si="1"/>
        <v>-141.6</v>
      </c>
      <c r="I13" s="113">
        <f t="shared" si="2"/>
        <v>1237.1999999999998</v>
      </c>
      <c r="J13" s="130" t="str">
        <f t="shared" si="3"/>
        <v>SI</v>
      </c>
      <c r="K13" s="20" t="s">
        <v>34</v>
      </c>
    </row>
    <row r="14" spans="1:11" x14ac:dyDescent="0.2">
      <c r="A14" s="34" t="s">
        <v>35</v>
      </c>
      <c r="B14" s="33" t="s">
        <v>36</v>
      </c>
      <c r="C14" s="132">
        <v>1095.5999999999999</v>
      </c>
      <c r="D14" s="132">
        <v>0</v>
      </c>
      <c r="E14" s="132">
        <f t="shared" si="0"/>
        <v>1095.5999999999999</v>
      </c>
      <c r="F14" s="114">
        <v>-141.59</v>
      </c>
      <c r="G14" s="114">
        <v>-0.01</v>
      </c>
      <c r="H14" s="113">
        <f t="shared" si="1"/>
        <v>-141.6</v>
      </c>
      <c r="I14" s="113">
        <f t="shared" si="2"/>
        <v>1237.1999999999998</v>
      </c>
      <c r="J14" s="130" t="str">
        <f t="shared" si="3"/>
        <v>SI</v>
      </c>
      <c r="K14" s="20" t="s">
        <v>36</v>
      </c>
    </row>
    <row r="15" spans="1:11" x14ac:dyDescent="0.2">
      <c r="A15" s="34" t="s">
        <v>37</v>
      </c>
      <c r="B15" s="33" t="s">
        <v>38</v>
      </c>
      <c r="C15" s="132">
        <v>1095.5999999999999</v>
      </c>
      <c r="D15" s="132">
        <v>0</v>
      </c>
      <c r="E15" s="132">
        <f t="shared" si="0"/>
        <v>1095.5999999999999</v>
      </c>
      <c r="F15" s="114">
        <v>-141.59</v>
      </c>
      <c r="G15" s="114">
        <v>-0.01</v>
      </c>
      <c r="H15" s="113">
        <f t="shared" si="1"/>
        <v>-141.6</v>
      </c>
      <c r="I15" s="113">
        <f t="shared" si="2"/>
        <v>1237.1999999999998</v>
      </c>
      <c r="J15" s="130" t="str">
        <f t="shared" si="3"/>
        <v>SI</v>
      </c>
      <c r="K15" s="20" t="s">
        <v>38</v>
      </c>
    </row>
    <row r="16" spans="1:11" x14ac:dyDescent="0.2">
      <c r="A16" s="34" t="s">
        <v>137</v>
      </c>
      <c r="B16" s="33" t="s">
        <v>153</v>
      </c>
      <c r="C16" s="132">
        <v>1095.5999999999999</v>
      </c>
      <c r="D16" s="132">
        <v>0</v>
      </c>
      <c r="E16" s="132">
        <f t="shared" si="0"/>
        <v>1095.5999999999999</v>
      </c>
      <c r="F16" s="114">
        <v>-141.59</v>
      </c>
      <c r="G16" s="114">
        <v>-0.01</v>
      </c>
      <c r="H16" s="113">
        <f t="shared" si="1"/>
        <v>-141.6</v>
      </c>
      <c r="I16" s="113">
        <f t="shared" si="2"/>
        <v>1237.1999999999998</v>
      </c>
      <c r="J16" s="130" t="str">
        <f t="shared" si="3"/>
        <v>SI</v>
      </c>
      <c r="K16" s="20" t="s">
        <v>297</v>
      </c>
    </row>
    <row r="17" spans="1:11" x14ac:dyDescent="0.2">
      <c r="A17" s="34" t="s">
        <v>39</v>
      </c>
      <c r="B17" s="33" t="s">
        <v>40</v>
      </c>
      <c r="C17" s="132">
        <v>1095.5999999999999</v>
      </c>
      <c r="D17" s="132">
        <v>0</v>
      </c>
      <c r="E17" s="132">
        <f t="shared" si="0"/>
        <v>1095.5999999999999</v>
      </c>
      <c r="F17" s="114">
        <v>-141.59</v>
      </c>
      <c r="G17" s="114">
        <v>-0.01</v>
      </c>
      <c r="H17" s="113">
        <f t="shared" si="1"/>
        <v>-141.6</v>
      </c>
      <c r="I17" s="113">
        <f t="shared" si="2"/>
        <v>1237.1999999999998</v>
      </c>
      <c r="J17" s="130" t="str">
        <f t="shared" si="3"/>
        <v>SI</v>
      </c>
      <c r="K17" s="20" t="s">
        <v>40</v>
      </c>
    </row>
    <row r="18" spans="1:11" x14ac:dyDescent="0.2">
      <c r="A18" s="34" t="s">
        <v>41</v>
      </c>
      <c r="B18" s="33" t="s">
        <v>42</v>
      </c>
      <c r="C18" s="132">
        <v>1095.5999999999999</v>
      </c>
      <c r="D18" s="132">
        <v>0</v>
      </c>
      <c r="E18" s="132">
        <f t="shared" si="0"/>
        <v>1095.5999999999999</v>
      </c>
      <c r="F18" s="114">
        <v>-141.59</v>
      </c>
      <c r="G18" s="114">
        <v>-0.01</v>
      </c>
      <c r="H18" s="113">
        <f t="shared" si="1"/>
        <v>-141.6</v>
      </c>
      <c r="I18" s="113">
        <f t="shared" si="2"/>
        <v>1237.1999999999998</v>
      </c>
      <c r="J18" s="130" t="str">
        <f t="shared" si="3"/>
        <v>SI</v>
      </c>
      <c r="K18" s="20" t="s">
        <v>42</v>
      </c>
    </row>
    <row r="19" spans="1:11" x14ac:dyDescent="0.2">
      <c r="A19" s="34" t="s">
        <v>45</v>
      </c>
      <c r="B19" s="33" t="s">
        <v>46</v>
      </c>
      <c r="C19" s="132">
        <v>1095.5999999999999</v>
      </c>
      <c r="D19" s="132">
        <v>0</v>
      </c>
      <c r="E19" s="132">
        <f t="shared" si="0"/>
        <v>1095.5999999999999</v>
      </c>
      <c r="F19" s="114">
        <v>-141.59</v>
      </c>
      <c r="G19" s="114">
        <v>-0.01</v>
      </c>
      <c r="H19" s="113">
        <f t="shared" si="1"/>
        <v>-141.6</v>
      </c>
      <c r="I19" s="113">
        <f t="shared" si="2"/>
        <v>1237.1999999999998</v>
      </c>
      <c r="J19" s="130" t="str">
        <f t="shared" si="3"/>
        <v>SI</v>
      </c>
      <c r="K19" s="20" t="s">
        <v>46</v>
      </c>
    </row>
    <row r="20" spans="1:11" x14ac:dyDescent="0.2">
      <c r="A20" s="34" t="s">
        <v>47</v>
      </c>
      <c r="B20" s="33" t="s">
        <v>48</v>
      </c>
      <c r="C20" s="132">
        <v>1095.5999999999999</v>
      </c>
      <c r="D20" s="132">
        <v>0</v>
      </c>
      <c r="E20" s="132">
        <f t="shared" si="0"/>
        <v>1095.5999999999999</v>
      </c>
      <c r="F20" s="114">
        <v>-141.59</v>
      </c>
      <c r="G20" s="114">
        <v>-0.01</v>
      </c>
      <c r="H20" s="113">
        <f t="shared" si="1"/>
        <v>-141.6</v>
      </c>
      <c r="I20" s="113">
        <f t="shared" si="2"/>
        <v>1237.1999999999998</v>
      </c>
      <c r="J20" s="130" t="str">
        <f t="shared" si="3"/>
        <v>SI</v>
      </c>
      <c r="K20" s="20" t="s">
        <v>48</v>
      </c>
    </row>
    <row r="21" spans="1:11" x14ac:dyDescent="0.2">
      <c r="A21" s="34" t="s">
        <v>49</v>
      </c>
      <c r="B21" s="33" t="s">
        <v>50</v>
      </c>
      <c r="C21" s="132">
        <v>1095.5999999999999</v>
      </c>
      <c r="D21" s="132">
        <v>0</v>
      </c>
      <c r="E21" s="132">
        <f t="shared" si="0"/>
        <v>1095.5999999999999</v>
      </c>
      <c r="F21" s="114">
        <v>-141.59</v>
      </c>
      <c r="G21" s="114">
        <v>-0.01</v>
      </c>
      <c r="H21" s="113">
        <f t="shared" si="1"/>
        <v>-141.6</v>
      </c>
      <c r="I21" s="113">
        <f t="shared" si="2"/>
        <v>1237.1999999999998</v>
      </c>
      <c r="J21" s="130" t="str">
        <f t="shared" si="3"/>
        <v>SI</v>
      </c>
      <c r="K21" s="20" t="s">
        <v>50</v>
      </c>
    </row>
    <row r="22" spans="1:11" x14ac:dyDescent="0.2">
      <c r="A22" s="34" t="s">
        <v>51</v>
      </c>
      <c r="B22" s="33" t="s">
        <v>52</v>
      </c>
      <c r="C22" s="132">
        <v>1095.5999999999999</v>
      </c>
      <c r="D22" s="132">
        <v>0</v>
      </c>
      <c r="E22" s="132">
        <f t="shared" si="0"/>
        <v>1095.5999999999999</v>
      </c>
      <c r="F22" s="114">
        <v>-141.59</v>
      </c>
      <c r="G22" s="114">
        <v>-0.01</v>
      </c>
      <c r="H22" s="113">
        <f t="shared" si="1"/>
        <v>-141.6</v>
      </c>
      <c r="I22" s="113">
        <f t="shared" si="2"/>
        <v>1237.1999999999998</v>
      </c>
      <c r="J22" s="130" t="str">
        <f t="shared" si="3"/>
        <v>SI</v>
      </c>
      <c r="K22" s="20" t="s">
        <v>52</v>
      </c>
    </row>
    <row r="23" spans="1:11" x14ac:dyDescent="0.2">
      <c r="A23" s="34" t="s">
        <v>53</v>
      </c>
      <c r="B23" s="33" t="s">
        <v>54</v>
      </c>
      <c r="C23" s="132">
        <v>1095.5999999999999</v>
      </c>
      <c r="D23" s="132">
        <v>0</v>
      </c>
      <c r="E23" s="132">
        <f t="shared" si="0"/>
        <v>1095.5999999999999</v>
      </c>
      <c r="F23" s="114">
        <v>-141.59</v>
      </c>
      <c r="G23" s="114">
        <v>-0.01</v>
      </c>
      <c r="H23" s="113">
        <f t="shared" si="1"/>
        <v>-141.6</v>
      </c>
      <c r="I23" s="113">
        <f t="shared" si="2"/>
        <v>1237.1999999999998</v>
      </c>
      <c r="J23" s="130" t="str">
        <f t="shared" si="3"/>
        <v>SI</v>
      </c>
      <c r="K23" s="20" t="s">
        <v>54</v>
      </c>
    </row>
    <row r="24" spans="1:11" x14ac:dyDescent="0.2">
      <c r="A24" s="34" t="s">
        <v>55</v>
      </c>
      <c r="B24" s="33" t="s">
        <v>56</v>
      </c>
      <c r="C24" s="132">
        <v>1095.5999999999999</v>
      </c>
      <c r="D24" s="132">
        <v>0</v>
      </c>
      <c r="E24" s="132">
        <f t="shared" si="0"/>
        <v>1095.5999999999999</v>
      </c>
      <c r="F24" s="114">
        <v>-141.59</v>
      </c>
      <c r="G24" s="114">
        <v>-0.01</v>
      </c>
      <c r="H24" s="113">
        <f t="shared" si="1"/>
        <v>-141.6</v>
      </c>
      <c r="I24" s="113">
        <f t="shared" si="2"/>
        <v>1237.1999999999998</v>
      </c>
      <c r="J24" s="130" t="str">
        <f t="shared" si="3"/>
        <v>SI</v>
      </c>
      <c r="K24" s="20" t="s">
        <v>56</v>
      </c>
    </row>
    <row r="25" spans="1:11" x14ac:dyDescent="0.2">
      <c r="A25" s="34" t="s">
        <v>58</v>
      </c>
      <c r="B25" s="33" t="s">
        <v>59</v>
      </c>
      <c r="C25" s="132">
        <v>1095.5999999999999</v>
      </c>
      <c r="D25" s="132">
        <v>0</v>
      </c>
      <c r="E25" s="132">
        <f t="shared" si="0"/>
        <v>1095.5999999999999</v>
      </c>
      <c r="F25" s="114">
        <v>-141.59</v>
      </c>
      <c r="G25" s="114">
        <v>-0.01</v>
      </c>
      <c r="H25" s="113">
        <f t="shared" si="1"/>
        <v>-141.6</v>
      </c>
      <c r="I25" s="113">
        <f t="shared" si="2"/>
        <v>1237.1999999999998</v>
      </c>
      <c r="J25" s="130" t="str">
        <f t="shared" si="3"/>
        <v>SI</v>
      </c>
      <c r="K25" s="20" t="s">
        <v>59</v>
      </c>
    </row>
    <row r="26" spans="1:11" x14ac:dyDescent="0.2">
      <c r="A26" s="34" t="s">
        <v>60</v>
      </c>
      <c r="B26" s="33" t="s">
        <v>61</v>
      </c>
      <c r="C26" s="132">
        <v>1095.5999999999999</v>
      </c>
      <c r="D26" s="132">
        <v>0</v>
      </c>
      <c r="E26" s="132">
        <f t="shared" si="0"/>
        <v>1095.5999999999999</v>
      </c>
      <c r="F26" s="114">
        <v>-141.59</v>
      </c>
      <c r="G26" s="114">
        <v>-0.01</v>
      </c>
      <c r="H26" s="113">
        <f t="shared" si="1"/>
        <v>-141.6</v>
      </c>
      <c r="I26" s="113">
        <f t="shared" si="2"/>
        <v>1237.1999999999998</v>
      </c>
      <c r="J26" s="130" t="str">
        <f t="shared" si="3"/>
        <v>SI</v>
      </c>
      <c r="K26" s="20" t="s">
        <v>61</v>
      </c>
    </row>
    <row r="27" spans="1:11" x14ac:dyDescent="0.2">
      <c r="A27" s="34" t="s">
        <v>62</v>
      </c>
      <c r="B27" s="33" t="s">
        <v>63</v>
      </c>
      <c r="C27" s="132">
        <v>1095.5999999999999</v>
      </c>
      <c r="D27" s="132">
        <v>0</v>
      </c>
      <c r="E27" s="132">
        <f t="shared" si="0"/>
        <v>1095.5999999999999</v>
      </c>
      <c r="F27" s="114">
        <v>-141.59</v>
      </c>
      <c r="G27" s="114">
        <v>-0.01</v>
      </c>
      <c r="H27" s="113">
        <f t="shared" si="1"/>
        <v>-141.6</v>
      </c>
      <c r="I27" s="113">
        <f t="shared" si="2"/>
        <v>1237.1999999999998</v>
      </c>
      <c r="J27" s="130" t="str">
        <f t="shared" si="3"/>
        <v>SI</v>
      </c>
      <c r="K27" s="20" t="s">
        <v>63</v>
      </c>
    </row>
    <row r="28" spans="1:11" x14ac:dyDescent="0.2">
      <c r="A28" s="34" t="s">
        <v>64</v>
      </c>
      <c r="B28" s="33" t="s">
        <v>65</v>
      </c>
      <c r="C28" s="132">
        <v>1095.5999999999999</v>
      </c>
      <c r="D28" s="132">
        <v>0</v>
      </c>
      <c r="E28" s="132">
        <f t="shared" si="0"/>
        <v>1095.5999999999999</v>
      </c>
      <c r="F28" s="114">
        <v>-141.59</v>
      </c>
      <c r="G28" s="114">
        <v>-0.01</v>
      </c>
      <c r="H28" s="113">
        <f t="shared" si="1"/>
        <v>-141.6</v>
      </c>
      <c r="I28" s="113">
        <f t="shared" si="2"/>
        <v>1237.1999999999998</v>
      </c>
      <c r="J28" s="130" t="str">
        <f t="shared" si="3"/>
        <v>SI</v>
      </c>
      <c r="K28" s="170" t="s">
        <v>65</v>
      </c>
    </row>
    <row r="29" spans="1:11" x14ac:dyDescent="0.2">
      <c r="A29" s="34" t="s">
        <v>66</v>
      </c>
      <c r="B29" s="33" t="s">
        <v>67</v>
      </c>
      <c r="C29" s="132">
        <v>1095.5999999999999</v>
      </c>
      <c r="D29" s="132">
        <v>0</v>
      </c>
      <c r="E29" s="132">
        <f t="shared" si="0"/>
        <v>1095.5999999999999</v>
      </c>
      <c r="F29" s="114">
        <v>-141.59</v>
      </c>
      <c r="G29" s="114">
        <v>-0.01</v>
      </c>
      <c r="H29" s="113">
        <f t="shared" si="1"/>
        <v>-141.6</v>
      </c>
      <c r="I29" s="113">
        <f t="shared" si="2"/>
        <v>1237.1999999999998</v>
      </c>
      <c r="J29" s="130" t="str">
        <f t="shared" si="3"/>
        <v>SI</v>
      </c>
      <c r="K29" s="170" t="s">
        <v>67</v>
      </c>
    </row>
    <row r="30" spans="1:11" x14ac:dyDescent="0.2">
      <c r="A30" s="34" t="s">
        <v>68</v>
      </c>
      <c r="B30" s="33" t="s">
        <v>69</v>
      </c>
      <c r="C30" s="132">
        <v>1095.5999999999999</v>
      </c>
      <c r="D30" s="132">
        <v>0</v>
      </c>
      <c r="E30" s="132">
        <f t="shared" si="0"/>
        <v>1095.5999999999999</v>
      </c>
      <c r="F30" s="114">
        <v>-141.59</v>
      </c>
      <c r="G30" s="114">
        <v>-0.01</v>
      </c>
      <c r="H30" s="113">
        <f t="shared" si="1"/>
        <v>-141.6</v>
      </c>
      <c r="I30" s="113">
        <f t="shared" si="2"/>
        <v>1237.1999999999998</v>
      </c>
      <c r="J30" s="130" t="str">
        <f t="shared" si="3"/>
        <v>SI</v>
      </c>
      <c r="K30" s="170" t="s">
        <v>69</v>
      </c>
    </row>
    <row r="31" spans="1:11" x14ac:dyDescent="0.2">
      <c r="A31" s="34" t="s">
        <v>74</v>
      </c>
      <c r="B31" s="33" t="s">
        <v>75</v>
      </c>
      <c r="C31" s="132">
        <v>1095.5999999999999</v>
      </c>
      <c r="D31" s="132">
        <v>0</v>
      </c>
      <c r="E31" s="132">
        <f t="shared" si="0"/>
        <v>1095.5999999999999</v>
      </c>
      <c r="F31" s="114">
        <v>-141.59</v>
      </c>
      <c r="G31" s="114">
        <v>-0.01</v>
      </c>
      <c r="H31" s="113">
        <f t="shared" si="1"/>
        <v>-141.6</v>
      </c>
      <c r="I31" s="113">
        <f t="shared" si="2"/>
        <v>1237.1999999999998</v>
      </c>
      <c r="J31" s="130" t="str">
        <f t="shared" si="3"/>
        <v>SI</v>
      </c>
      <c r="K31" s="20" t="s">
        <v>75</v>
      </c>
    </row>
    <row r="32" spans="1:11" x14ac:dyDescent="0.2">
      <c r="A32" s="34" t="s">
        <v>70</v>
      </c>
      <c r="B32" s="33" t="s">
        <v>71</v>
      </c>
      <c r="C32" s="132">
        <v>1095.5999999999999</v>
      </c>
      <c r="D32" s="132">
        <v>0</v>
      </c>
      <c r="E32" s="132">
        <f t="shared" si="0"/>
        <v>1095.5999999999999</v>
      </c>
      <c r="F32" s="114">
        <v>-141.59</v>
      </c>
      <c r="G32" s="114">
        <v>-0.01</v>
      </c>
      <c r="H32" s="113">
        <f t="shared" si="1"/>
        <v>-141.6</v>
      </c>
      <c r="I32" s="113">
        <f t="shared" si="2"/>
        <v>1237.1999999999998</v>
      </c>
      <c r="J32" s="130" t="str">
        <f t="shared" si="3"/>
        <v>SI</v>
      </c>
      <c r="K32" s="20" t="s">
        <v>71</v>
      </c>
    </row>
    <row r="33" spans="1:11" x14ac:dyDescent="0.2">
      <c r="A33" s="34" t="s">
        <v>72</v>
      </c>
      <c r="B33" s="33" t="s">
        <v>73</v>
      </c>
      <c r="C33" s="132">
        <v>1095.5999999999999</v>
      </c>
      <c r="D33" s="132">
        <v>0</v>
      </c>
      <c r="E33" s="132">
        <f t="shared" si="0"/>
        <v>1095.5999999999999</v>
      </c>
      <c r="F33" s="114">
        <v>-141.59</v>
      </c>
      <c r="G33" s="114">
        <v>-0.01</v>
      </c>
      <c r="H33" s="113">
        <f t="shared" si="1"/>
        <v>-141.6</v>
      </c>
      <c r="I33" s="113">
        <f t="shared" si="2"/>
        <v>1237.1999999999998</v>
      </c>
      <c r="J33" s="130" t="str">
        <f t="shared" si="3"/>
        <v>SI</v>
      </c>
      <c r="K33" s="20" t="s">
        <v>73</v>
      </c>
    </row>
    <row r="34" spans="1:11" x14ac:dyDescent="0.2">
      <c r="A34" s="34" t="s">
        <v>76</v>
      </c>
      <c r="B34" s="33" t="s">
        <v>77</v>
      </c>
      <c r="C34" s="132">
        <v>1095.5999999999999</v>
      </c>
      <c r="D34" s="132">
        <v>0</v>
      </c>
      <c r="E34" s="132">
        <f t="shared" si="0"/>
        <v>1095.5999999999999</v>
      </c>
      <c r="F34" s="114">
        <v>-141.59</v>
      </c>
      <c r="G34" s="113">
        <v>0.19</v>
      </c>
      <c r="H34" s="113">
        <f t="shared" si="1"/>
        <v>-141.4</v>
      </c>
      <c r="I34" s="113">
        <f t="shared" si="2"/>
        <v>1237</v>
      </c>
      <c r="J34" s="130" t="str">
        <f t="shared" si="3"/>
        <v>SI</v>
      </c>
      <c r="K34" s="20" t="s">
        <v>77</v>
      </c>
    </row>
    <row r="35" spans="1:11" x14ac:dyDescent="0.2">
      <c r="A35" s="34" t="s">
        <v>78</v>
      </c>
      <c r="B35" s="33" t="s">
        <v>79</v>
      </c>
      <c r="C35" s="132">
        <v>1095.5999999999999</v>
      </c>
      <c r="D35" s="132">
        <v>0</v>
      </c>
      <c r="E35" s="132">
        <f t="shared" si="0"/>
        <v>1095.5999999999999</v>
      </c>
      <c r="F35" s="114">
        <v>-141.59</v>
      </c>
      <c r="G35" s="114">
        <v>-0.01</v>
      </c>
      <c r="H35" s="113">
        <f t="shared" si="1"/>
        <v>-141.6</v>
      </c>
      <c r="I35" s="113">
        <f t="shared" si="2"/>
        <v>1237.1999999999998</v>
      </c>
      <c r="J35" s="130" t="str">
        <f t="shared" si="3"/>
        <v>SI</v>
      </c>
      <c r="K35" s="20" t="s">
        <v>79</v>
      </c>
    </row>
    <row r="36" spans="1:11" x14ac:dyDescent="0.2">
      <c r="A36" s="34" t="s">
        <v>80</v>
      </c>
      <c r="B36" s="33" t="s">
        <v>81</v>
      </c>
      <c r="C36" s="132">
        <v>1095.5999999999999</v>
      </c>
      <c r="D36" s="132">
        <v>0</v>
      </c>
      <c r="E36" s="132">
        <f t="shared" si="0"/>
        <v>1095.5999999999999</v>
      </c>
      <c r="F36" s="114">
        <v>-141.59</v>
      </c>
      <c r="G36" s="113">
        <v>0.19</v>
      </c>
      <c r="H36" s="113">
        <f t="shared" si="1"/>
        <v>-141.4</v>
      </c>
      <c r="I36" s="113">
        <f t="shared" si="2"/>
        <v>1237</v>
      </c>
      <c r="J36" s="130" t="str">
        <f t="shared" si="3"/>
        <v>SI</v>
      </c>
      <c r="K36" s="20" t="s">
        <v>81</v>
      </c>
    </row>
    <row r="37" spans="1:11" x14ac:dyDescent="0.2">
      <c r="A37" s="34" t="s">
        <v>82</v>
      </c>
      <c r="B37" s="33" t="s">
        <v>83</v>
      </c>
      <c r="C37" s="132">
        <v>1095.5999999999999</v>
      </c>
      <c r="D37" s="132">
        <v>0</v>
      </c>
      <c r="E37" s="132">
        <f t="shared" si="0"/>
        <v>1095.5999999999999</v>
      </c>
      <c r="F37" s="114">
        <v>-141.59</v>
      </c>
      <c r="G37" s="114">
        <v>-0.01</v>
      </c>
      <c r="H37" s="113">
        <f t="shared" si="1"/>
        <v>-141.6</v>
      </c>
      <c r="I37" s="113">
        <f t="shared" si="2"/>
        <v>1237.1999999999998</v>
      </c>
      <c r="J37" s="130" t="str">
        <f t="shared" si="3"/>
        <v>SI</v>
      </c>
      <c r="K37" s="20" t="s">
        <v>83</v>
      </c>
    </row>
    <row r="38" spans="1:11" x14ac:dyDescent="0.2">
      <c r="A38" s="34" t="s">
        <v>84</v>
      </c>
      <c r="B38" s="33" t="s">
        <v>85</v>
      </c>
      <c r="C38" s="132">
        <v>1095.5999999999999</v>
      </c>
      <c r="D38" s="132">
        <v>0</v>
      </c>
      <c r="E38" s="132">
        <f t="shared" si="0"/>
        <v>1095.5999999999999</v>
      </c>
      <c r="F38" s="114">
        <v>-141.59</v>
      </c>
      <c r="G38" s="114">
        <v>-0.01</v>
      </c>
      <c r="H38" s="113">
        <f t="shared" si="1"/>
        <v>-141.6</v>
      </c>
      <c r="I38" s="113">
        <f t="shared" si="2"/>
        <v>1237.1999999999998</v>
      </c>
      <c r="J38" s="130" t="str">
        <f t="shared" si="3"/>
        <v>SI</v>
      </c>
      <c r="K38" s="20" t="s">
        <v>85</v>
      </c>
    </row>
    <row r="39" spans="1:11" x14ac:dyDescent="0.2">
      <c r="A39" s="34" t="s">
        <v>86</v>
      </c>
      <c r="B39" s="33" t="s">
        <v>87</v>
      </c>
      <c r="C39" s="132">
        <v>1095.5999999999999</v>
      </c>
      <c r="D39" s="132">
        <v>0</v>
      </c>
      <c r="E39" s="132">
        <f t="shared" si="0"/>
        <v>1095.5999999999999</v>
      </c>
      <c r="F39" s="114">
        <v>-141.59</v>
      </c>
      <c r="G39" s="114">
        <v>-0.01</v>
      </c>
      <c r="H39" s="113">
        <f t="shared" si="1"/>
        <v>-141.6</v>
      </c>
      <c r="I39" s="113">
        <f t="shared" si="2"/>
        <v>1237.1999999999998</v>
      </c>
      <c r="J39" s="130" t="str">
        <f t="shared" si="3"/>
        <v>SI</v>
      </c>
      <c r="K39" s="20" t="s">
        <v>87</v>
      </c>
    </row>
    <row r="40" spans="1:11" x14ac:dyDescent="0.2">
      <c r="A40" s="34" t="s">
        <v>88</v>
      </c>
      <c r="B40" s="33" t="s">
        <v>89</v>
      </c>
      <c r="C40" s="132">
        <v>1095.5999999999999</v>
      </c>
      <c r="D40" s="132">
        <v>0</v>
      </c>
      <c r="E40" s="132">
        <f t="shared" si="0"/>
        <v>1095.5999999999999</v>
      </c>
      <c r="F40" s="114">
        <v>-141.59</v>
      </c>
      <c r="G40" s="114">
        <v>-0.01</v>
      </c>
      <c r="H40" s="113">
        <f t="shared" si="1"/>
        <v>-141.6</v>
      </c>
      <c r="I40" s="113">
        <f t="shared" si="2"/>
        <v>1237.1999999999998</v>
      </c>
      <c r="J40" s="130" t="str">
        <f t="shared" si="3"/>
        <v>SI</v>
      </c>
      <c r="K40" s="20" t="s">
        <v>89</v>
      </c>
    </row>
    <row r="41" spans="1:11" x14ac:dyDescent="0.2">
      <c r="A41" s="34" t="s">
        <v>90</v>
      </c>
      <c r="B41" s="33" t="s">
        <v>91</v>
      </c>
      <c r="C41" s="132">
        <v>1095.5999999999999</v>
      </c>
      <c r="D41" s="132">
        <v>0</v>
      </c>
      <c r="E41" s="132">
        <f t="shared" si="0"/>
        <v>1095.5999999999999</v>
      </c>
      <c r="F41" s="114">
        <v>-141.59</v>
      </c>
      <c r="G41" s="114">
        <v>-0.01</v>
      </c>
      <c r="H41" s="113">
        <f t="shared" si="1"/>
        <v>-141.6</v>
      </c>
      <c r="I41" s="113">
        <f t="shared" si="2"/>
        <v>1237.1999999999998</v>
      </c>
      <c r="J41" s="130" t="str">
        <f t="shared" si="3"/>
        <v>SI</v>
      </c>
      <c r="K41" s="20" t="s">
        <v>91</v>
      </c>
    </row>
    <row r="42" spans="1:11" x14ac:dyDescent="0.2">
      <c r="A42" s="34" t="s">
        <v>154</v>
      </c>
      <c r="B42" s="33" t="s">
        <v>155</v>
      </c>
      <c r="C42" s="132">
        <v>1095.5999999999999</v>
      </c>
      <c r="D42" s="132">
        <v>0</v>
      </c>
      <c r="E42" s="132">
        <f t="shared" si="0"/>
        <v>1095.5999999999999</v>
      </c>
      <c r="F42" s="114">
        <v>-141.59</v>
      </c>
      <c r="G42" s="114">
        <v>-0.01</v>
      </c>
      <c r="H42" s="113">
        <f t="shared" si="1"/>
        <v>-141.6</v>
      </c>
      <c r="I42" s="113">
        <f t="shared" si="2"/>
        <v>1237.1999999999998</v>
      </c>
      <c r="J42" s="130" t="str">
        <f t="shared" si="3"/>
        <v>SI</v>
      </c>
      <c r="K42" s="170" t="s">
        <v>155</v>
      </c>
    </row>
    <row r="43" spans="1:11" x14ac:dyDescent="0.2">
      <c r="A43" s="34" t="s">
        <v>94</v>
      </c>
      <c r="B43" s="33" t="s">
        <v>95</v>
      </c>
      <c r="C43" s="132">
        <v>1095.5999999999999</v>
      </c>
      <c r="D43" s="132">
        <v>0</v>
      </c>
      <c r="E43" s="132">
        <f t="shared" si="0"/>
        <v>1095.5999999999999</v>
      </c>
      <c r="F43" s="114">
        <v>-141.59</v>
      </c>
      <c r="G43" s="114">
        <v>-0.01</v>
      </c>
      <c r="H43" s="113">
        <f t="shared" si="1"/>
        <v>-141.6</v>
      </c>
      <c r="I43" s="113">
        <f t="shared" si="2"/>
        <v>1237.1999999999998</v>
      </c>
      <c r="J43" s="130" t="str">
        <f t="shared" si="3"/>
        <v>SI</v>
      </c>
      <c r="K43" s="20" t="s">
        <v>95</v>
      </c>
    </row>
    <row r="44" spans="1:11" x14ac:dyDescent="0.2">
      <c r="A44" s="34" t="s">
        <v>96</v>
      </c>
      <c r="B44" s="33" t="s">
        <v>97</v>
      </c>
      <c r="C44" s="132">
        <v>1095.5999999999999</v>
      </c>
      <c r="D44" s="132">
        <v>0</v>
      </c>
      <c r="E44" s="132">
        <f t="shared" si="0"/>
        <v>1095.5999999999999</v>
      </c>
      <c r="F44" s="114">
        <v>-141.59</v>
      </c>
      <c r="G44" s="114">
        <v>-0.01</v>
      </c>
      <c r="H44" s="113">
        <f t="shared" si="1"/>
        <v>-141.6</v>
      </c>
      <c r="I44" s="113">
        <f t="shared" si="2"/>
        <v>1237.1999999999998</v>
      </c>
      <c r="J44" s="130" t="str">
        <f t="shared" si="3"/>
        <v>SI</v>
      </c>
      <c r="K44" s="20" t="s">
        <v>97</v>
      </c>
    </row>
    <row r="45" spans="1:11" x14ac:dyDescent="0.2">
      <c r="A45" s="34" t="s">
        <v>100</v>
      </c>
      <c r="B45" s="33" t="s">
        <v>101</v>
      </c>
      <c r="C45" s="132">
        <v>1095.5999999999999</v>
      </c>
      <c r="D45" s="132">
        <v>0</v>
      </c>
      <c r="E45" s="132">
        <f t="shared" si="0"/>
        <v>1095.5999999999999</v>
      </c>
      <c r="F45" s="114">
        <v>-141.59</v>
      </c>
      <c r="G45" s="114">
        <v>-0.01</v>
      </c>
      <c r="H45" s="113">
        <f t="shared" si="1"/>
        <v>-141.6</v>
      </c>
      <c r="I45" s="113">
        <f t="shared" si="2"/>
        <v>1237.1999999999998</v>
      </c>
      <c r="J45" s="130" t="str">
        <f t="shared" si="3"/>
        <v>SI</v>
      </c>
      <c r="K45" s="20" t="s">
        <v>101</v>
      </c>
    </row>
    <row r="46" spans="1:11" x14ac:dyDescent="0.2">
      <c r="A46" s="34" t="s">
        <v>98</v>
      </c>
      <c r="B46" s="33" t="s">
        <v>99</v>
      </c>
      <c r="C46" s="132">
        <v>1095.5999999999999</v>
      </c>
      <c r="D46" s="132">
        <v>0</v>
      </c>
      <c r="E46" s="132">
        <f t="shared" si="0"/>
        <v>1095.5999999999999</v>
      </c>
      <c r="F46" s="114">
        <v>-141.59</v>
      </c>
      <c r="G46" s="113">
        <v>0.19</v>
      </c>
      <c r="H46" s="113">
        <f t="shared" si="1"/>
        <v>-141.4</v>
      </c>
      <c r="I46" s="113">
        <f t="shared" si="2"/>
        <v>1237</v>
      </c>
      <c r="J46" s="130" t="str">
        <f t="shared" si="3"/>
        <v>SI</v>
      </c>
      <c r="K46" s="20" t="s">
        <v>99</v>
      </c>
    </row>
    <row r="47" spans="1:11" x14ac:dyDescent="0.2">
      <c r="A47" s="34" t="s">
        <v>102</v>
      </c>
      <c r="B47" s="33" t="s">
        <v>103</v>
      </c>
      <c r="C47" s="132">
        <v>1095.5999999999999</v>
      </c>
      <c r="D47" s="132">
        <v>0</v>
      </c>
      <c r="E47" s="132">
        <f t="shared" si="0"/>
        <v>1095.5999999999999</v>
      </c>
      <c r="F47" s="114">
        <v>-141.59</v>
      </c>
      <c r="G47" s="114">
        <v>-0.01</v>
      </c>
      <c r="H47" s="113">
        <f t="shared" si="1"/>
        <v>-141.6</v>
      </c>
      <c r="I47" s="113">
        <f t="shared" si="2"/>
        <v>1237.1999999999998</v>
      </c>
      <c r="J47" s="130" t="str">
        <f t="shared" si="3"/>
        <v>SI</v>
      </c>
      <c r="K47" s="20" t="s">
        <v>103</v>
      </c>
    </row>
    <row r="48" spans="1:11" x14ac:dyDescent="0.2">
      <c r="A48" s="34" t="s">
        <v>104</v>
      </c>
      <c r="B48" s="33" t="s">
        <v>105</v>
      </c>
      <c r="C48" s="132">
        <v>1095.5999999999999</v>
      </c>
      <c r="D48" s="132">
        <v>0</v>
      </c>
      <c r="E48" s="132">
        <f t="shared" si="0"/>
        <v>1095.5999999999999</v>
      </c>
      <c r="F48" s="114">
        <v>-141.59</v>
      </c>
      <c r="G48" s="114">
        <v>-0.01</v>
      </c>
      <c r="H48" s="113">
        <f t="shared" si="1"/>
        <v>-141.6</v>
      </c>
      <c r="I48" s="113">
        <f t="shared" si="2"/>
        <v>1237.1999999999998</v>
      </c>
      <c r="J48" s="130" t="str">
        <f t="shared" si="3"/>
        <v>SI</v>
      </c>
      <c r="K48" s="20" t="s">
        <v>105</v>
      </c>
    </row>
    <row r="49" spans="1:25" x14ac:dyDescent="0.2">
      <c r="A49" s="34" t="s">
        <v>106</v>
      </c>
      <c r="B49" s="33" t="s">
        <v>107</v>
      </c>
      <c r="C49" s="132">
        <v>1095.5999999999999</v>
      </c>
      <c r="D49" s="132">
        <v>0</v>
      </c>
      <c r="E49" s="132">
        <f t="shared" si="0"/>
        <v>1095.5999999999999</v>
      </c>
      <c r="F49" s="114">
        <v>-141.59</v>
      </c>
      <c r="G49" s="114">
        <v>-0.01</v>
      </c>
      <c r="H49" s="113">
        <f t="shared" si="1"/>
        <v>-141.6</v>
      </c>
      <c r="I49" s="113">
        <f t="shared" si="2"/>
        <v>1237.1999999999998</v>
      </c>
      <c r="J49" s="130" t="str">
        <f t="shared" si="3"/>
        <v>SI</v>
      </c>
      <c r="K49" s="20" t="s">
        <v>107</v>
      </c>
    </row>
    <row r="50" spans="1:25" x14ac:dyDescent="0.2">
      <c r="A50" s="34" t="s">
        <v>108</v>
      </c>
      <c r="B50" s="33" t="s">
        <v>109</v>
      </c>
      <c r="C50" s="132">
        <v>1095.5999999999999</v>
      </c>
      <c r="D50" s="132">
        <v>0</v>
      </c>
      <c r="E50" s="132">
        <f t="shared" si="0"/>
        <v>1095.5999999999999</v>
      </c>
      <c r="F50" s="114">
        <v>-141.59</v>
      </c>
      <c r="G50" s="114">
        <v>-0.01</v>
      </c>
      <c r="H50" s="113">
        <f t="shared" si="1"/>
        <v>-141.6</v>
      </c>
      <c r="I50" s="113">
        <f t="shared" si="2"/>
        <v>1237.1999999999998</v>
      </c>
      <c r="J50" s="130" t="str">
        <f t="shared" si="3"/>
        <v>SI</v>
      </c>
      <c r="K50" s="170" t="s">
        <v>109</v>
      </c>
    </row>
    <row r="51" spans="1:25" ht="15" x14ac:dyDescent="0.25">
      <c r="A51" s="131"/>
      <c r="B51" s="73" t="s">
        <v>366</v>
      </c>
      <c r="C51" s="132">
        <v>1095.5999999999999</v>
      </c>
      <c r="D51" s="132">
        <v>0</v>
      </c>
      <c r="E51" s="132">
        <f t="shared" ref="E51" si="4">SUM(C51:D51)</f>
        <v>1095.5999999999999</v>
      </c>
      <c r="F51" s="114">
        <v>-141.59</v>
      </c>
      <c r="G51" s="114">
        <v>-0.01</v>
      </c>
      <c r="H51" s="132">
        <f t="shared" ref="H51" si="5">SUM(F51:G51)</f>
        <v>-141.6</v>
      </c>
      <c r="I51" s="132">
        <f t="shared" ref="I51" si="6">+E51-H51</f>
        <v>1237.1999999999998</v>
      </c>
      <c r="J51" s="130" t="str">
        <f t="shared" si="3"/>
        <v>SI</v>
      </c>
      <c r="K51" s="73" t="s">
        <v>366</v>
      </c>
    </row>
    <row r="52" spans="1:25" x14ac:dyDescent="0.2">
      <c r="A52" s="34" t="s">
        <v>110</v>
      </c>
      <c r="B52" s="33" t="s">
        <v>111</v>
      </c>
      <c r="C52" s="132">
        <v>1095.5999999999999</v>
      </c>
      <c r="D52" s="132">
        <v>0</v>
      </c>
      <c r="E52" s="132">
        <f t="shared" si="0"/>
        <v>1095.5999999999999</v>
      </c>
      <c r="F52" s="114">
        <v>-141.59</v>
      </c>
      <c r="G52" s="114">
        <v>-0.01</v>
      </c>
      <c r="H52" s="113">
        <f t="shared" si="1"/>
        <v>-141.6</v>
      </c>
      <c r="I52" s="113">
        <f t="shared" si="2"/>
        <v>1237.1999999999998</v>
      </c>
      <c r="J52" s="130" t="str">
        <f t="shared" si="3"/>
        <v>SI</v>
      </c>
      <c r="K52" s="170" t="s">
        <v>111</v>
      </c>
    </row>
    <row r="53" spans="1:25" x14ac:dyDescent="0.2">
      <c r="A53" s="34" t="s">
        <v>112</v>
      </c>
      <c r="B53" s="33" t="s">
        <v>113</v>
      </c>
      <c r="C53" s="132">
        <v>1095.5999999999999</v>
      </c>
      <c r="D53" s="132">
        <v>0</v>
      </c>
      <c r="E53" s="132">
        <f t="shared" si="0"/>
        <v>1095.5999999999999</v>
      </c>
      <c r="F53" s="114">
        <v>-141.59</v>
      </c>
      <c r="G53" s="114">
        <v>-0.01</v>
      </c>
      <c r="H53" s="113">
        <f t="shared" si="1"/>
        <v>-141.6</v>
      </c>
      <c r="I53" s="113">
        <f t="shared" si="2"/>
        <v>1237.1999999999998</v>
      </c>
      <c r="J53" s="130" t="str">
        <f t="shared" si="3"/>
        <v>SI</v>
      </c>
      <c r="K53" s="170" t="s">
        <v>113</v>
      </c>
    </row>
    <row r="54" spans="1:25" x14ac:dyDescent="0.2">
      <c r="A54" s="34" t="s">
        <v>114</v>
      </c>
      <c r="B54" s="33" t="s">
        <v>115</v>
      </c>
      <c r="C54" s="132">
        <v>1095.5999999999999</v>
      </c>
      <c r="D54" s="132">
        <v>0</v>
      </c>
      <c r="E54" s="132">
        <f t="shared" si="0"/>
        <v>1095.5999999999999</v>
      </c>
      <c r="F54" s="114">
        <v>-141.59</v>
      </c>
      <c r="G54" s="114">
        <v>-0.01</v>
      </c>
      <c r="H54" s="113">
        <f t="shared" si="1"/>
        <v>-141.6</v>
      </c>
      <c r="I54" s="113">
        <f t="shared" si="2"/>
        <v>1237.1999999999998</v>
      </c>
      <c r="J54" s="130" t="str">
        <f t="shared" si="3"/>
        <v>SI</v>
      </c>
      <c r="K54" s="170" t="s">
        <v>115</v>
      </c>
    </row>
    <row r="55" spans="1:25" x14ac:dyDescent="0.2">
      <c r="A55" s="34" t="s">
        <v>116</v>
      </c>
      <c r="B55" s="33" t="s">
        <v>117</v>
      </c>
      <c r="C55" s="132">
        <v>1095.5999999999999</v>
      </c>
      <c r="D55" s="132">
        <v>0</v>
      </c>
      <c r="E55" s="132">
        <f t="shared" si="0"/>
        <v>1095.5999999999999</v>
      </c>
      <c r="F55" s="114">
        <v>-141.59</v>
      </c>
      <c r="G55" s="114">
        <v>-0.01</v>
      </c>
      <c r="H55" s="113">
        <f t="shared" si="1"/>
        <v>-141.6</v>
      </c>
      <c r="I55" s="113">
        <f t="shared" si="2"/>
        <v>1237.1999999999998</v>
      </c>
      <c r="J55" s="130" t="str">
        <f t="shared" si="3"/>
        <v>SI</v>
      </c>
      <c r="K55" s="170" t="s">
        <v>117</v>
      </c>
    </row>
    <row r="56" spans="1:25" x14ac:dyDescent="0.2">
      <c r="A56" s="34" t="s">
        <v>118</v>
      </c>
      <c r="B56" s="33" t="s">
        <v>119</v>
      </c>
      <c r="C56" s="132">
        <v>1095.5999999999999</v>
      </c>
      <c r="D56" s="132">
        <v>0</v>
      </c>
      <c r="E56" s="132">
        <f t="shared" si="0"/>
        <v>1095.5999999999999</v>
      </c>
      <c r="F56" s="114">
        <v>-141.59</v>
      </c>
      <c r="G56" s="114">
        <v>-0.01</v>
      </c>
      <c r="H56" s="113">
        <f t="shared" si="1"/>
        <v>-141.6</v>
      </c>
      <c r="I56" s="113">
        <f t="shared" si="2"/>
        <v>1237.1999999999998</v>
      </c>
      <c r="J56" s="130" t="str">
        <f t="shared" si="3"/>
        <v>SI</v>
      </c>
      <c r="K56" s="170" t="s">
        <v>119</v>
      </c>
    </row>
    <row r="57" spans="1:25" x14ac:dyDescent="0.2">
      <c r="A57" s="34" t="s">
        <v>120</v>
      </c>
      <c r="B57" s="33" t="s">
        <v>121</v>
      </c>
      <c r="C57" s="132">
        <v>1095.5999999999999</v>
      </c>
      <c r="D57" s="132">
        <v>0</v>
      </c>
      <c r="E57" s="132">
        <f t="shared" si="0"/>
        <v>1095.5999999999999</v>
      </c>
      <c r="F57" s="114">
        <v>-141.59</v>
      </c>
      <c r="G57" s="114">
        <v>-0.01</v>
      </c>
      <c r="H57" s="113">
        <f t="shared" si="1"/>
        <v>-141.6</v>
      </c>
      <c r="I57" s="113">
        <f t="shared" si="2"/>
        <v>1237.1999999999998</v>
      </c>
      <c r="J57" s="130" t="str">
        <f t="shared" si="3"/>
        <v>SI</v>
      </c>
      <c r="K57" s="170" t="s">
        <v>121</v>
      </c>
    </row>
    <row r="58" spans="1:25" x14ac:dyDescent="0.2">
      <c r="A58" s="34" t="s">
        <v>122</v>
      </c>
      <c r="B58" s="33" t="s">
        <v>123</v>
      </c>
      <c r="C58" s="132">
        <v>1095.5999999999999</v>
      </c>
      <c r="D58" s="132">
        <v>0</v>
      </c>
      <c r="E58" s="132">
        <f t="shared" si="0"/>
        <v>1095.5999999999999</v>
      </c>
      <c r="F58" s="114">
        <v>-141.59</v>
      </c>
      <c r="G58" s="114">
        <v>-0.01</v>
      </c>
      <c r="H58" s="113">
        <f t="shared" si="1"/>
        <v>-141.6</v>
      </c>
      <c r="I58" s="113">
        <f t="shared" si="2"/>
        <v>1237.1999999999998</v>
      </c>
      <c r="J58" s="130" t="str">
        <f t="shared" si="3"/>
        <v>SI</v>
      </c>
      <c r="K58" s="170" t="s">
        <v>123</v>
      </c>
    </row>
    <row r="59" spans="1:25" x14ac:dyDescent="0.2">
      <c r="A59" s="34" t="s">
        <v>124</v>
      </c>
      <c r="B59" s="33" t="s">
        <v>125</v>
      </c>
      <c r="C59" s="132">
        <v>1095.5999999999999</v>
      </c>
      <c r="D59" s="132">
        <v>0</v>
      </c>
      <c r="E59" s="132">
        <f t="shared" si="0"/>
        <v>1095.5999999999999</v>
      </c>
      <c r="F59" s="114">
        <v>-141.59</v>
      </c>
      <c r="G59" s="114">
        <v>-0.01</v>
      </c>
      <c r="H59" s="113">
        <f t="shared" si="1"/>
        <v>-141.6</v>
      </c>
      <c r="I59" s="113">
        <f t="shared" si="2"/>
        <v>1237.1999999999998</v>
      </c>
      <c r="J59" s="130" t="str">
        <f t="shared" si="3"/>
        <v>SI</v>
      </c>
      <c r="K59" s="170" t="s">
        <v>125</v>
      </c>
    </row>
    <row r="60" spans="1:25" x14ac:dyDescent="0.2">
      <c r="A60" s="34" t="s">
        <v>159</v>
      </c>
      <c r="B60" s="33" t="s">
        <v>14</v>
      </c>
      <c r="C60" s="132">
        <v>1095.5999999999999</v>
      </c>
      <c r="D60" s="132">
        <v>0</v>
      </c>
      <c r="E60" s="132">
        <f t="shared" si="0"/>
        <v>1095.5999999999999</v>
      </c>
      <c r="F60" s="114">
        <v>-141.59</v>
      </c>
      <c r="G60" s="114">
        <v>-0.01</v>
      </c>
      <c r="H60" s="113">
        <f t="shared" si="1"/>
        <v>-141.6</v>
      </c>
      <c r="I60" s="113">
        <f t="shared" si="2"/>
        <v>1237.1999999999998</v>
      </c>
      <c r="J60" s="130" t="str">
        <f t="shared" si="3"/>
        <v>SI</v>
      </c>
      <c r="K60" s="170" t="s">
        <v>14</v>
      </c>
    </row>
    <row r="61" spans="1:25" x14ac:dyDescent="0.2">
      <c r="A61" s="34" t="s">
        <v>126</v>
      </c>
      <c r="B61" s="33" t="s">
        <v>127</v>
      </c>
      <c r="C61" s="132">
        <v>1095.5999999999999</v>
      </c>
      <c r="D61" s="132">
        <v>0</v>
      </c>
      <c r="E61" s="132">
        <f t="shared" si="0"/>
        <v>1095.5999999999999</v>
      </c>
      <c r="F61" s="114">
        <v>-141.59</v>
      </c>
      <c r="G61" s="114">
        <v>-0.01</v>
      </c>
      <c r="H61" s="113">
        <f t="shared" si="1"/>
        <v>-141.6</v>
      </c>
      <c r="I61" s="113">
        <f t="shared" si="2"/>
        <v>1237.1999999999998</v>
      </c>
      <c r="J61" s="130" t="str">
        <f t="shared" si="3"/>
        <v>SI</v>
      </c>
      <c r="K61" s="170" t="s">
        <v>127</v>
      </c>
    </row>
    <row r="62" spans="1:25" x14ac:dyDescent="0.2">
      <c r="A62" s="34" t="s">
        <v>128</v>
      </c>
      <c r="B62" s="33" t="s">
        <v>129</v>
      </c>
      <c r="C62" s="132">
        <v>1095.5999999999999</v>
      </c>
      <c r="D62" s="132">
        <v>0</v>
      </c>
      <c r="E62" s="132">
        <f t="shared" si="0"/>
        <v>1095.5999999999999</v>
      </c>
      <c r="F62" s="114">
        <v>-141.59</v>
      </c>
      <c r="G62" s="114">
        <v>-0.01</v>
      </c>
      <c r="H62" s="113">
        <f t="shared" si="1"/>
        <v>-141.6</v>
      </c>
      <c r="I62" s="113">
        <f t="shared" si="2"/>
        <v>1237.1999999999998</v>
      </c>
      <c r="J62" s="130" t="str">
        <f t="shared" si="3"/>
        <v>SI</v>
      </c>
      <c r="K62" s="170" t="s">
        <v>129</v>
      </c>
    </row>
    <row r="63" spans="1:25" x14ac:dyDescent="0.2">
      <c r="A63" s="45"/>
      <c r="B63" s="33"/>
      <c r="C63" s="44"/>
      <c r="D63" s="44"/>
      <c r="E63" s="44"/>
      <c r="K63" s="118"/>
    </row>
    <row r="64" spans="1:25" x14ac:dyDescent="0.2">
      <c r="C64" s="18">
        <f>SUM(C10:C62)</f>
        <v>58066.799999999952</v>
      </c>
      <c r="D64" s="18">
        <f t="shared" ref="D64:Y64" si="7">SUM(D10:D62)</f>
        <v>0</v>
      </c>
      <c r="E64" s="18">
        <f t="shared" si="7"/>
        <v>58066.799999999952</v>
      </c>
      <c r="F64" s="18">
        <f t="shared" si="7"/>
        <v>-7504.270000000005</v>
      </c>
      <c r="G64" s="18">
        <f t="shared" si="7"/>
        <v>6.9999999999999896E-2</v>
      </c>
      <c r="H64" s="18">
        <f t="shared" si="7"/>
        <v>-7504.2000000000071</v>
      </c>
      <c r="I64" s="18">
        <f t="shared" si="7"/>
        <v>65570.999999999942</v>
      </c>
      <c r="J64" s="18">
        <f t="shared" si="7"/>
        <v>0</v>
      </c>
      <c r="K64" s="18">
        <f t="shared" si="7"/>
        <v>0</v>
      </c>
      <c r="L64" s="18">
        <f t="shared" si="7"/>
        <v>0</v>
      </c>
      <c r="M64" s="18">
        <f t="shared" si="7"/>
        <v>0</v>
      </c>
      <c r="N64" s="18">
        <f t="shared" si="7"/>
        <v>0</v>
      </c>
      <c r="O64" s="18">
        <f t="shared" si="7"/>
        <v>0</v>
      </c>
      <c r="P64" s="18">
        <f t="shared" si="7"/>
        <v>0</v>
      </c>
      <c r="Q64" s="18">
        <f t="shared" si="7"/>
        <v>0</v>
      </c>
      <c r="R64" s="18">
        <f t="shared" si="7"/>
        <v>0</v>
      </c>
      <c r="S64" s="18">
        <f t="shared" si="7"/>
        <v>0</v>
      </c>
      <c r="T64" s="18">
        <f t="shared" si="7"/>
        <v>0</v>
      </c>
      <c r="U64" s="18">
        <f t="shared" si="7"/>
        <v>0</v>
      </c>
      <c r="V64" s="18">
        <f t="shared" si="7"/>
        <v>0</v>
      </c>
      <c r="W64" s="18">
        <f t="shared" si="7"/>
        <v>0</v>
      </c>
      <c r="X64" s="18">
        <f t="shared" si="7"/>
        <v>0</v>
      </c>
      <c r="Y64" s="18">
        <f t="shared" si="7"/>
        <v>0</v>
      </c>
    </row>
    <row r="65" spans="1:11" x14ac:dyDescent="0.2">
      <c r="A65" s="42"/>
      <c r="B65" s="39"/>
      <c r="C65" s="39" t="s">
        <v>15</v>
      </c>
      <c r="D65" s="39" t="s">
        <v>15</v>
      </c>
      <c r="E65" s="39" t="s">
        <v>15</v>
      </c>
      <c r="F65" s="39" t="s">
        <v>15</v>
      </c>
      <c r="G65" s="39" t="s">
        <v>15</v>
      </c>
      <c r="H65" s="39" t="s">
        <v>15</v>
      </c>
      <c r="I65" s="39" t="s">
        <v>15</v>
      </c>
      <c r="K65" s="118"/>
    </row>
    <row r="66" spans="1:11" s="3" customFormat="1" x14ac:dyDescent="0.2">
      <c r="A66" s="45" t="s">
        <v>16</v>
      </c>
      <c r="B66" s="33" t="s">
        <v>17</v>
      </c>
      <c r="C66" s="44">
        <f>SUM(C10:C65)</f>
        <v>116133.5999999999</v>
      </c>
      <c r="D66" s="44">
        <f>SUM(D10:D65)</f>
        <v>0</v>
      </c>
      <c r="E66" s="44">
        <f>SUM(E10:E65)</f>
        <v>116133.5999999999</v>
      </c>
      <c r="F66" s="44">
        <f>SUM(F10:F65)</f>
        <v>-15008.54000000001</v>
      </c>
      <c r="G66" s="44">
        <f>SUM(G10:G65)</f>
        <v>0.13999999999999979</v>
      </c>
      <c r="H66" s="44">
        <f>SUM(H10:H65)</f>
        <v>-15008.400000000014</v>
      </c>
      <c r="I66" s="44">
        <f>SUM(I10:I65)</f>
        <v>131141.99999999988</v>
      </c>
      <c r="K66" s="118"/>
    </row>
    <row r="67" spans="1:11" s="1" customFormat="1" ht="14.25" x14ac:dyDescent="0.2">
      <c r="A67" s="11"/>
      <c r="B67" s="11"/>
      <c r="C67" s="11"/>
      <c r="D67" s="11"/>
      <c r="E67" s="11"/>
      <c r="F67" s="11"/>
      <c r="G67" s="11"/>
      <c r="H67" s="11"/>
      <c r="I67" s="11"/>
      <c r="K67" s="118"/>
    </row>
    <row r="68" spans="1:11" ht="15" x14ac:dyDescent="0.25">
      <c r="A68" s="32"/>
      <c r="B68" s="32"/>
      <c r="C68" s="33" t="s">
        <v>17</v>
      </c>
      <c r="D68" s="33" t="s">
        <v>17</v>
      </c>
      <c r="E68" s="33" t="s">
        <v>17</v>
      </c>
      <c r="F68" s="33" t="s">
        <v>17</v>
      </c>
      <c r="G68" s="33" t="s">
        <v>17</v>
      </c>
      <c r="H68" s="33" t="s">
        <v>17</v>
      </c>
      <c r="I68" s="113"/>
      <c r="K68" s="119"/>
    </row>
    <row r="69" spans="1:11" x14ac:dyDescent="0.2">
      <c r="A69" s="34" t="s">
        <v>17</v>
      </c>
      <c r="B69" s="33" t="s">
        <v>17</v>
      </c>
      <c r="C69" s="43"/>
      <c r="D69" s="43"/>
      <c r="E69" s="43"/>
      <c r="F69" s="43"/>
      <c r="G69" s="43"/>
      <c r="H69" s="43"/>
      <c r="I69" s="43"/>
    </row>
  </sheetData>
  <mergeCells count="2">
    <mergeCell ref="B1:C1"/>
    <mergeCell ref="B3:C3"/>
  </mergeCells>
  <pageMargins left="0.70866141732283472" right="0.70866141732283472" top="0.43" bottom="0.41" header="0.31496062992125984" footer="0.2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66"/>
  <sheetViews>
    <sheetView workbookViewId="0">
      <pane xSplit="2" ySplit="9" topLeftCell="C49" activePane="bottomRight" state="frozen"/>
      <selection activeCell="Q66" sqref="Q66"/>
      <selection pane="topRight" activeCell="Q66" sqref="Q66"/>
      <selection pane="bottomLeft" activeCell="Q66" sqref="Q66"/>
      <selection pane="bottomRight" activeCell="Q66" sqref="Q66"/>
    </sheetView>
  </sheetViews>
  <sheetFormatPr baseColWidth="10" defaultRowHeight="11.25" x14ac:dyDescent="0.2"/>
  <cols>
    <col min="1" max="1" width="11.42578125" style="11"/>
    <col min="2" max="2" width="26.5703125" style="11" bestFit="1" customWidth="1"/>
    <col min="3" max="3" width="11.42578125" style="11"/>
    <col min="4" max="4" width="13" style="11" customWidth="1"/>
    <col min="5" max="6" width="14.85546875" style="11" customWidth="1"/>
    <col min="7" max="7" width="11.42578125" style="11"/>
    <col min="8" max="8" width="13" style="11" bestFit="1" customWidth="1"/>
    <col min="9" max="9" width="13" style="11" hidden="1" customWidth="1"/>
    <col min="10" max="10" width="13" style="11" bestFit="1" customWidth="1"/>
    <col min="11" max="11" width="9.28515625" style="11" customWidth="1"/>
    <col min="12" max="12" width="9.28515625" style="33" customWidth="1"/>
    <col min="13" max="16384" width="11.42578125" style="33"/>
  </cols>
  <sheetData>
    <row r="1" spans="1:16" ht="18" customHeight="1" x14ac:dyDescent="0.25">
      <c r="A1" s="35" t="s">
        <v>0</v>
      </c>
      <c r="B1" s="145" t="s">
        <v>17</v>
      </c>
      <c r="C1" s="146"/>
      <c r="D1" s="32"/>
      <c r="E1" s="32"/>
      <c r="F1" s="54"/>
      <c r="G1" s="32"/>
      <c r="H1" s="32"/>
      <c r="I1" s="32"/>
      <c r="J1" s="32"/>
      <c r="K1" s="32"/>
    </row>
    <row r="2" spans="1:16" ht="24.95" customHeight="1" x14ac:dyDescent="0.25">
      <c r="A2" s="36" t="s">
        <v>1</v>
      </c>
      <c r="B2" s="4" t="s">
        <v>385</v>
      </c>
      <c r="C2" s="5"/>
      <c r="D2" s="32"/>
      <c r="E2" s="32"/>
      <c r="F2" s="54"/>
      <c r="G2" s="32"/>
      <c r="H2" s="32"/>
      <c r="I2" s="32"/>
      <c r="J2" s="32"/>
      <c r="K2" s="32"/>
    </row>
    <row r="3" spans="1:16" ht="15.75" x14ac:dyDescent="0.25">
      <c r="A3" s="32"/>
      <c r="B3" s="53" t="s">
        <v>2</v>
      </c>
      <c r="C3" s="37"/>
      <c r="D3" s="32"/>
      <c r="E3" s="32"/>
      <c r="F3" s="54"/>
      <c r="G3" s="32"/>
      <c r="H3" s="32"/>
      <c r="I3" s="32"/>
      <c r="J3" s="32"/>
      <c r="K3" s="32"/>
    </row>
    <row r="4" spans="1:16" ht="15" x14ac:dyDescent="0.25">
      <c r="A4" s="32"/>
      <c r="B4" s="6" t="str">
        <f>+FACTURACIÓN!B4</f>
        <v>Periodo 5 al 5 Quincenal del 01/03/2016 al 15/03/2016</v>
      </c>
      <c r="C4" s="37"/>
      <c r="D4" s="32"/>
      <c r="E4" s="32"/>
      <c r="F4" s="54"/>
      <c r="G4" s="32"/>
      <c r="H4" s="32"/>
      <c r="I4" s="175"/>
      <c r="J4" s="32"/>
      <c r="K4" s="32"/>
    </row>
    <row r="5" spans="1:16" ht="15" x14ac:dyDescent="0.25">
      <c r="A5" s="32"/>
      <c r="B5" s="38" t="s">
        <v>157</v>
      </c>
      <c r="C5" s="32"/>
      <c r="D5" s="32"/>
      <c r="E5" s="32"/>
      <c r="F5" s="54"/>
      <c r="G5" s="32"/>
      <c r="H5" s="32"/>
      <c r="I5" s="56"/>
      <c r="J5" s="32"/>
      <c r="K5" s="32"/>
    </row>
    <row r="6" spans="1:16" ht="15" x14ac:dyDescent="0.25">
      <c r="A6" s="32"/>
      <c r="B6" s="38" t="s">
        <v>3</v>
      </c>
      <c r="C6" s="32"/>
      <c r="D6" s="32"/>
      <c r="E6" s="32"/>
      <c r="F6" s="54"/>
      <c r="G6" s="54"/>
      <c r="H6" s="54"/>
      <c r="I6" s="56"/>
      <c r="J6" s="54"/>
      <c r="K6" s="54"/>
      <c r="L6" s="55"/>
    </row>
    <row r="8" spans="1:16" s="48" customFormat="1" ht="34.5" thickBot="1" x14ac:dyDescent="0.3">
      <c r="A8" s="46" t="s">
        <v>4</v>
      </c>
      <c r="B8" s="8" t="s">
        <v>5</v>
      </c>
      <c r="C8" s="8" t="s">
        <v>162</v>
      </c>
      <c r="D8" s="7" t="s">
        <v>158</v>
      </c>
      <c r="E8" s="7" t="s">
        <v>7</v>
      </c>
      <c r="F8" s="7" t="str">
        <f>+FACTURACIÓN!K8</f>
        <v>AHORRO CTM</v>
      </c>
      <c r="G8" s="17" t="s">
        <v>27</v>
      </c>
      <c r="H8" s="17" t="s">
        <v>187</v>
      </c>
      <c r="I8" s="17" t="s">
        <v>290</v>
      </c>
      <c r="J8" s="17" t="s">
        <v>289</v>
      </c>
      <c r="K8" s="17" t="s">
        <v>152</v>
      </c>
      <c r="L8" s="17" t="s">
        <v>163</v>
      </c>
      <c r="M8" s="7" t="s">
        <v>10</v>
      </c>
      <c r="N8" s="47" t="s">
        <v>11</v>
      </c>
    </row>
    <row r="9" spans="1:16" ht="15.75" thickTop="1" x14ac:dyDescent="0.25">
      <c r="A9" s="32"/>
      <c r="B9" s="32"/>
      <c r="C9" s="32"/>
      <c r="D9" s="32"/>
      <c r="E9" s="32"/>
      <c r="F9" s="54"/>
      <c r="G9" s="54"/>
      <c r="H9" s="54"/>
      <c r="I9" s="32"/>
      <c r="J9" s="54"/>
      <c r="K9" s="54"/>
      <c r="L9" s="54"/>
      <c r="M9" s="32"/>
      <c r="N9" s="32"/>
    </row>
    <row r="10" spans="1:16" x14ac:dyDescent="0.2">
      <c r="A10" s="34" t="s">
        <v>28</v>
      </c>
      <c r="B10" s="55" t="s">
        <v>166</v>
      </c>
      <c r="C10" s="40">
        <f>+FACTURACIÓN!J10-'C&amp;A'!I10</f>
        <v>4766.7</v>
      </c>
      <c r="D10" s="40">
        <v>0</v>
      </c>
      <c r="E10" s="18">
        <f>SUM(C10:D10)</f>
        <v>4766.7</v>
      </c>
      <c r="F10" s="18">
        <f>+FACTURACIÓN!K10</f>
        <v>0</v>
      </c>
      <c r="G10" s="18">
        <f>+FACTURACIÓN!L10</f>
        <v>45.15</v>
      </c>
      <c r="H10" s="18">
        <f>+FACTURACIÓN!M10</f>
        <v>0</v>
      </c>
      <c r="I10" s="18">
        <f>+FACTURACIÓN!N10</f>
        <v>0</v>
      </c>
      <c r="J10" s="18">
        <f>+FACTURACIÓN!O10</f>
        <v>0</v>
      </c>
      <c r="K10" s="18">
        <f>+FACTURACIÓN!P10</f>
        <v>957.82</v>
      </c>
      <c r="L10" s="18">
        <f>+FACTURACIÓN!Q10</f>
        <v>595.875</v>
      </c>
      <c r="M10" s="18">
        <f>SUM(F10:L10)</f>
        <v>1598.845</v>
      </c>
      <c r="N10" s="18">
        <f>+E10-M10</f>
        <v>3167.8549999999996</v>
      </c>
      <c r="O10" s="110" t="str">
        <f>IF(B10=P10,"SI","NO")</f>
        <v>SI</v>
      </c>
      <c r="P10" s="20" t="s">
        <v>166</v>
      </c>
    </row>
    <row r="11" spans="1:16" x14ac:dyDescent="0.2">
      <c r="A11" s="34" t="s">
        <v>12</v>
      </c>
      <c r="B11" s="33" t="s">
        <v>30</v>
      </c>
      <c r="C11" s="132">
        <f>+FACTURACIÓN!J11-'C&amp;A'!I11</f>
        <v>1658.173897131358</v>
      </c>
      <c r="D11" s="40">
        <v>0</v>
      </c>
      <c r="E11" s="18">
        <f t="shared" ref="E11:E62" si="0">SUM(C11:D11)</f>
        <v>1658.173897131358</v>
      </c>
      <c r="F11" s="18">
        <f>+FACTURACIÓN!K11</f>
        <v>0</v>
      </c>
      <c r="G11" s="18">
        <f>+FACTURACIÓN!L11</f>
        <v>45.15</v>
      </c>
      <c r="H11" s="18">
        <f>+FACTURACIÓN!M11</f>
        <v>0</v>
      </c>
      <c r="I11" s="18">
        <f>+FACTURACIÓN!N11</f>
        <v>0</v>
      </c>
      <c r="J11" s="18">
        <f>+FACTURACIÓN!O11</f>
        <v>0</v>
      </c>
      <c r="K11" s="18">
        <f>+FACTURACIÓN!P11</f>
        <v>0</v>
      </c>
      <c r="L11" s="18">
        <f>+FACTURACIÓN!Q11</f>
        <v>0</v>
      </c>
      <c r="M11" s="18">
        <f t="shared" ref="M11:M62" si="1">SUM(F11:L11)</f>
        <v>45.15</v>
      </c>
      <c r="N11" s="18">
        <f>+E11-M11</f>
        <v>1613.0238971313579</v>
      </c>
      <c r="O11" s="130" t="str">
        <f>IF(B11=P11,"SI","NO")</f>
        <v>SI</v>
      </c>
      <c r="P11" s="20" t="s">
        <v>30</v>
      </c>
    </row>
    <row r="12" spans="1:16" x14ac:dyDescent="0.2">
      <c r="A12" s="34" t="s">
        <v>31</v>
      </c>
      <c r="B12" s="33" t="s">
        <v>32</v>
      </c>
      <c r="C12" s="132">
        <f>+FACTURACIÓN!J12-'C&amp;A'!I12</f>
        <v>3762.8</v>
      </c>
      <c r="D12" s="40">
        <v>0</v>
      </c>
      <c r="E12" s="18">
        <f t="shared" si="0"/>
        <v>3762.8</v>
      </c>
      <c r="F12" s="18">
        <f>+FACTURACIÓN!K12</f>
        <v>0</v>
      </c>
      <c r="G12" s="18">
        <f>+FACTURACIÓN!L12</f>
        <v>45.15</v>
      </c>
      <c r="H12" s="18">
        <f>+FACTURACIÓN!M12</f>
        <v>0</v>
      </c>
      <c r="I12" s="18">
        <f>+FACTURACIÓN!N12</f>
        <v>0</v>
      </c>
      <c r="J12" s="18">
        <f>+FACTURACIÓN!O12</f>
        <v>0</v>
      </c>
      <c r="K12" s="18">
        <f>+FACTURACIÓN!P12</f>
        <v>0</v>
      </c>
      <c r="L12" s="18">
        <f>+FACTURACIÓN!Q12</f>
        <v>495.48500000000007</v>
      </c>
      <c r="M12" s="18">
        <f t="shared" si="1"/>
        <v>540.6350000000001</v>
      </c>
      <c r="N12" s="18">
        <f>+E12-M12</f>
        <v>3222.165</v>
      </c>
      <c r="O12" s="130" t="str">
        <f>IF(B12=P12,"SI","NO")</f>
        <v>SI</v>
      </c>
      <c r="P12" s="20" t="s">
        <v>32</v>
      </c>
    </row>
    <row r="13" spans="1:16" x14ac:dyDescent="0.2">
      <c r="A13" s="34" t="s">
        <v>33</v>
      </c>
      <c r="B13" s="33" t="s">
        <v>34</v>
      </c>
      <c r="C13" s="132">
        <f>+FACTURACIÓN!J13-'C&amp;A'!I13</f>
        <v>5433.8</v>
      </c>
      <c r="D13" s="40">
        <v>0</v>
      </c>
      <c r="E13" s="18">
        <f t="shared" si="0"/>
        <v>5433.8</v>
      </c>
      <c r="F13" s="18">
        <f>+FACTURACIÓN!K13</f>
        <v>0</v>
      </c>
      <c r="G13" s="18">
        <f>+FACTURACIÓN!L13</f>
        <v>45.15</v>
      </c>
      <c r="H13" s="18">
        <f>+FACTURACIÓN!M13</f>
        <v>0</v>
      </c>
      <c r="I13" s="18">
        <f>+FACTURACIÓN!N13</f>
        <v>0</v>
      </c>
      <c r="J13" s="18">
        <f>+FACTURACIÓN!O13</f>
        <v>0</v>
      </c>
      <c r="K13" s="18">
        <f>+FACTURACIÓN!P13</f>
        <v>0</v>
      </c>
      <c r="L13" s="18">
        <f>+FACTURACIÓN!Q13</f>
        <v>662.58500000000004</v>
      </c>
      <c r="M13" s="18">
        <f t="shared" si="1"/>
        <v>707.73500000000001</v>
      </c>
      <c r="N13" s="18">
        <f>+E13-M13</f>
        <v>4726.0650000000005</v>
      </c>
      <c r="O13" s="130" t="str">
        <f>IF(B13=P13,"SI","NO")</f>
        <v>SI</v>
      </c>
      <c r="P13" s="20" t="s">
        <v>34</v>
      </c>
    </row>
    <row r="14" spans="1:16" x14ac:dyDescent="0.2">
      <c r="A14" s="34" t="s">
        <v>35</v>
      </c>
      <c r="B14" s="33" t="s">
        <v>36</v>
      </c>
      <c r="C14" s="132">
        <f>+FACTURACIÓN!J14-'C&amp;A'!I14</f>
        <v>2082.4205678096519</v>
      </c>
      <c r="D14" s="40">
        <v>0</v>
      </c>
      <c r="E14" s="18">
        <f t="shared" si="0"/>
        <v>2082.4205678096519</v>
      </c>
      <c r="F14" s="18">
        <f>+FACTURACIÓN!K14</f>
        <v>0</v>
      </c>
      <c r="G14" s="18">
        <f>+FACTURACIÓN!L14</f>
        <v>45.15</v>
      </c>
      <c r="H14" s="18">
        <f>+FACTURACIÓN!M14</f>
        <v>0</v>
      </c>
      <c r="I14" s="18">
        <f>+FACTURACIÓN!N14</f>
        <v>0</v>
      </c>
      <c r="J14" s="18">
        <f>+FACTURACIÓN!O14</f>
        <v>0</v>
      </c>
      <c r="K14" s="18">
        <f>+FACTURACIÓN!P14</f>
        <v>0</v>
      </c>
      <c r="L14" s="18">
        <f>+FACTURACIÓN!Q14</f>
        <v>0</v>
      </c>
      <c r="M14" s="18">
        <f t="shared" si="1"/>
        <v>45.15</v>
      </c>
      <c r="N14" s="18">
        <f>+E14-M14</f>
        <v>2037.2705678096518</v>
      </c>
      <c r="O14" s="130" t="str">
        <f>IF(B14=P14,"SI","NO")</f>
        <v>SI</v>
      </c>
      <c r="P14" s="20" t="s">
        <v>36</v>
      </c>
    </row>
    <row r="15" spans="1:16" s="110" customFormat="1" x14ac:dyDescent="0.2">
      <c r="A15" s="111" t="s">
        <v>37</v>
      </c>
      <c r="B15" s="110" t="s">
        <v>38</v>
      </c>
      <c r="C15" s="132">
        <f>+FACTURACIÓN!J15-'C&amp;A'!I15</f>
        <v>25762.799999999999</v>
      </c>
      <c r="D15" s="113">
        <v>0</v>
      </c>
      <c r="E15" s="18">
        <f t="shared" si="0"/>
        <v>25762.799999999999</v>
      </c>
      <c r="F15" s="18">
        <f>+FACTURACIÓN!K15</f>
        <v>0</v>
      </c>
      <c r="G15" s="18">
        <f>+FACTURACIÓN!L15</f>
        <v>45.15</v>
      </c>
      <c r="H15" s="18">
        <f>+FACTURACIÓN!M15</f>
        <v>504.77</v>
      </c>
      <c r="I15" s="18">
        <f>+FACTURACIÓN!N15</f>
        <v>0</v>
      </c>
      <c r="J15" s="18">
        <f>+FACTURACIÓN!O15</f>
        <v>0</v>
      </c>
      <c r="K15" s="18">
        <f>+FACTURACIÓN!P15</f>
        <v>0</v>
      </c>
      <c r="L15" s="18">
        <f>+FACTURACIÓN!Q15</f>
        <v>2695.4850000000001</v>
      </c>
      <c r="M15" s="18">
        <f t="shared" si="1"/>
        <v>3245.4050000000002</v>
      </c>
      <c r="N15" s="18">
        <f>+E15-M15</f>
        <v>22517.395</v>
      </c>
      <c r="O15" s="130" t="str">
        <f>IF(B15=P15,"SI","NO")</f>
        <v>SI</v>
      </c>
      <c r="P15" s="20" t="s">
        <v>38</v>
      </c>
    </row>
    <row r="16" spans="1:16" s="110" customFormat="1" x14ac:dyDescent="0.2">
      <c r="A16" s="111" t="s">
        <v>137</v>
      </c>
      <c r="B16" s="110" t="s">
        <v>153</v>
      </c>
      <c r="C16" s="132">
        <f>+FACTURACIÓN!J16-'C&amp;A'!I16</f>
        <v>1908.173897131358</v>
      </c>
      <c r="D16" s="113">
        <v>0</v>
      </c>
      <c r="E16" s="18">
        <f t="shared" si="0"/>
        <v>1908.173897131358</v>
      </c>
      <c r="F16" s="18">
        <f>+FACTURACIÓN!K16</f>
        <v>0</v>
      </c>
      <c r="G16" s="18">
        <f>+FACTURACIÓN!L16</f>
        <v>45.15</v>
      </c>
      <c r="H16" s="18">
        <f>+FACTURACIÓN!M16</f>
        <v>0</v>
      </c>
      <c r="I16" s="18">
        <f>+FACTURACIÓN!N16</f>
        <v>0</v>
      </c>
      <c r="J16" s="18">
        <f>+FACTURACIÓN!O16</f>
        <v>0</v>
      </c>
      <c r="K16" s="18">
        <f>+FACTURACIÓN!P16</f>
        <v>0</v>
      </c>
      <c r="L16" s="18">
        <f>+FACTURACIÓN!Q16</f>
        <v>0</v>
      </c>
      <c r="M16" s="18">
        <f t="shared" si="1"/>
        <v>45.15</v>
      </c>
      <c r="N16" s="18">
        <f>+E16-M16</f>
        <v>1863.0238971313579</v>
      </c>
      <c r="O16" s="130" t="str">
        <f>IF(B16=P16,"SI","NO")</f>
        <v>SI</v>
      </c>
      <c r="P16" s="20" t="s">
        <v>297</v>
      </c>
    </row>
    <row r="17" spans="1:16" s="110" customFormat="1" x14ac:dyDescent="0.2">
      <c r="A17" s="111" t="s">
        <v>39</v>
      </c>
      <c r="B17" s="110" t="s">
        <v>40</v>
      </c>
      <c r="C17" s="132">
        <f>+FACTURACIÓN!J17-'C&amp;A'!I17</f>
        <v>1453.1763632955849</v>
      </c>
      <c r="D17" s="113">
        <v>0</v>
      </c>
      <c r="E17" s="18">
        <f t="shared" si="0"/>
        <v>1453.1763632955849</v>
      </c>
      <c r="F17" s="18">
        <f>+FACTURACIÓN!K17</f>
        <v>0</v>
      </c>
      <c r="G17" s="18">
        <f>+FACTURACIÓN!L17</f>
        <v>45.15</v>
      </c>
      <c r="H17" s="18">
        <f>+FACTURACIÓN!M17</f>
        <v>0</v>
      </c>
      <c r="I17" s="18">
        <f>+FACTURACIÓN!N17</f>
        <v>0</v>
      </c>
      <c r="J17" s="18">
        <f>+FACTURACIÓN!O17</f>
        <v>0</v>
      </c>
      <c r="K17" s="18">
        <f>+FACTURACIÓN!P17</f>
        <v>316.81</v>
      </c>
      <c r="L17" s="18">
        <f>+FACTURACIÓN!Q17</f>
        <v>0</v>
      </c>
      <c r="M17" s="18">
        <f t="shared" si="1"/>
        <v>361.96</v>
      </c>
      <c r="N17" s="18">
        <f>+E17-M17</f>
        <v>1091.2163632955849</v>
      </c>
      <c r="O17" s="130" t="str">
        <f>IF(B17=P17,"SI","NO")</f>
        <v>SI</v>
      </c>
      <c r="P17" s="20" t="s">
        <v>40</v>
      </c>
    </row>
    <row r="18" spans="1:16" s="110" customFormat="1" x14ac:dyDescent="0.2">
      <c r="A18" s="111" t="s">
        <v>41</v>
      </c>
      <c r="B18" s="110" t="s">
        <v>42</v>
      </c>
      <c r="C18" s="132">
        <f>+FACTURACIÓN!J18-'C&amp;A'!I18</f>
        <v>4318.8</v>
      </c>
      <c r="D18" s="113">
        <v>0</v>
      </c>
      <c r="E18" s="18">
        <f t="shared" si="0"/>
        <v>4318.8</v>
      </c>
      <c r="F18" s="18">
        <f>+FACTURACIÓN!K18</f>
        <v>0</v>
      </c>
      <c r="G18" s="18">
        <f>+FACTURACIÓN!L18</f>
        <v>45.15</v>
      </c>
      <c r="H18" s="18">
        <f>+FACTURACIÓN!M18</f>
        <v>0</v>
      </c>
      <c r="I18" s="18">
        <f>+FACTURACIÓN!N18</f>
        <v>0</v>
      </c>
      <c r="J18" s="18">
        <f>+FACTURACIÓN!O18</f>
        <v>0</v>
      </c>
      <c r="K18" s="18">
        <f>+FACTURACIÓN!P18</f>
        <v>0</v>
      </c>
      <c r="L18" s="18">
        <f>+FACTURACIÓN!Q18</f>
        <v>551.08500000000004</v>
      </c>
      <c r="M18" s="18">
        <f t="shared" si="1"/>
        <v>596.23500000000001</v>
      </c>
      <c r="N18" s="18">
        <f>+E18-M18</f>
        <v>3722.5650000000001</v>
      </c>
      <c r="O18" s="130" t="str">
        <f>IF(B18=P18,"SI","NO")</f>
        <v>SI</v>
      </c>
      <c r="P18" s="20" t="s">
        <v>42</v>
      </c>
    </row>
    <row r="19" spans="1:16" s="110" customFormat="1" x14ac:dyDescent="0.2">
      <c r="A19" s="111" t="s">
        <v>45</v>
      </c>
      <c r="B19" s="110" t="s">
        <v>46</v>
      </c>
      <c r="C19" s="132">
        <f>+FACTURACIÓN!J19-'C&amp;A'!I19</f>
        <v>2762.8</v>
      </c>
      <c r="D19" s="113">
        <v>0</v>
      </c>
      <c r="E19" s="18">
        <f t="shared" si="0"/>
        <v>2762.8</v>
      </c>
      <c r="F19" s="18">
        <f>+FACTURACIÓN!K19</f>
        <v>0</v>
      </c>
      <c r="G19" s="18">
        <f>+FACTURACIÓN!L19</f>
        <v>45.15</v>
      </c>
      <c r="H19" s="18">
        <f>+FACTURACIÓN!M19</f>
        <v>0</v>
      </c>
      <c r="I19" s="18">
        <f>+FACTURACIÓN!N19</f>
        <v>0</v>
      </c>
      <c r="J19" s="18">
        <f>+FACTURACIÓN!O19</f>
        <v>0</v>
      </c>
      <c r="K19" s="18">
        <f>+FACTURACIÓN!P19</f>
        <v>906.77</v>
      </c>
      <c r="L19" s="18">
        <f>+FACTURACIÓN!Q19</f>
        <v>0</v>
      </c>
      <c r="M19" s="18">
        <f t="shared" si="1"/>
        <v>951.92</v>
      </c>
      <c r="N19" s="18">
        <f>+E19-M19</f>
        <v>1810.88</v>
      </c>
      <c r="O19" s="130" t="str">
        <f>IF(B19=P19,"SI","NO")</f>
        <v>SI</v>
      </c>
      <c r="P19" s="20" t="s">
        <v>46</v>
      </c>
    </row>
    <row r="20" spans="1:16" s="110" customFormat="1" x14ac:dyDescent="0.2">
      <c r="A20" s="111" t="s">
        <v>47</v>
      </c>
      <c r="B20" s="110" t="s">
        <v>48</v>
      </c>
      <c r="C20" s="132">
        <f>+FACTURACIÓN!J20-'C&amp;A'!I20</f>
        <v>5344.6500000000005</v>
      </c>
      <c r="D20" s="113">
        <v>0</v>
      </c>
      <c r="E20" s="18">
        <f t="shared" si="0"/>
        <v>5344.6500000000005</v>
      </c>
      <c r="F20" s="18">
        <f>+FACTURACIÓN!K20</f>
        <v>0</v>
      </c>
      <c r="G20" s="18">
        <f>+FACTURACIÓN!L20</f>
        <v>45.15</v>
      </c>
      <c r="H20" s="18">
        <f>+FACTURACIÓN!M20</f>
        <v>0</v>
      </c>
      <c r="I20" s="18">
        <f>+FACTURACIÓN!N20</f>
        <v>0</v>
      </c>
      <c r="J20" s="18">
        <f>+FACTURACIÓN!O20</f>
        <v>0</v>
      </c>
      <c r="K20" s="18">
        <f>+FACTURACIÓN!P20</f>
        <v>0</v>
      </c>
      <c r="L20" s="18">
        <f>+FACTURACIÓN!Q20</f>
        <v>653.67000000000007</v>
      </c>
      <c r="M20" s="18">
        <f t="shared" si="1"/>
        <v>698.82</v>
      </c>
      <c r="N20" s="18">
        <f>+E20-M20</f>
        <v>4645.8300000000008</v>
      </c>
      <c r="O20" s="130" t="str">
        <f>IF(B20=P20,"SI","NO")</f>
        <v>SI</v>
      </c>
      <c r="P20" s="20" t="s">
        <v>48</v>
      </c>
    </row>
    <row r="21" spans="1:16" s="110" customFormat="1" x14ac:dyDescent="0.2">
      <c r="A21" s="111" t="s">
        <v>49</v>
      </c>
      <c r="B21" s="110" t="s">
        <v>50</v>
      </c>
      <c r="C21" s="132">
        <f>+FACTURACIÓN!J21-'C&amp;A'!I21</f>
        <v>14123.64</v>
      </c>
      <c r="D21" s="113">
        <v>0</v>
      </c>
      <c r="E21" s="18">
        <f t="shared" si="0"/>
        <v>14123.64</v>
      </c>
      <c r="F21" s="18">
        <f>+FACTURACIÓN!K21</f>
        <v>0</v>
      </c>
      <c r="G21" s="18">
        <f>+FACTURACIÓN!L21</f>
        <v>45.15</v>
      </c>
      <c r="H21" s="18">
        <f>+FACTURACIÓN!M21</f>
        <v>0</v>
      </c>
      <c r="I21" s="18">
        <f>+FACTURACIÓN!N21</f>
        <v>0</v>
      </c>
      <c r="J21" s="18">
        <f>+FACTURACIÓN!O21</f>
        <v>0</v>
      </c>
      <c r="K21" s="18">
        <f>+FACTURACIÓN!P21</f>
        <v>0</v>
      </c>
      <c r="L21" s="18">
        <f>+FACTURACIÓN!Q21</f>
        <v>1531.5690000000002</v>
      </c>
      <c r="M21" s="18">
        <f t="shared" si="1"/>
        <v>1576.7190000000003</v>
      </c>
      <c r="N21" s="18">
        <f>+E21-M21</f>
        <v>12546.920999999998</v>
      </c>
      <c r="O21" s="130" t="str">
        <f>IF(B21=P21,"SI","NO")</f>
        <v>SI</v>
      </c>
      <c r="P21" s="20" t="s">
        <v>50</v>
      </c>
    </row>
    <row r="22" spans="1:16" s="110" customFormat="1" x14ac:dyDescent="0.2">
      <c r="A22" s="111" t="s">
        <v>51</v>
      </c>
      <c r="B22" s="110" t="s">
        <v>52</v>
      </c>
      <c r="C22" s="132">
        <f>+FACTURACIÓN!J22-'C&amp;A'!I22</f>
        <v>37954.39</v>
      </c>
      <c r="D22" s="113">
        <v>0</v>
      </c>
      <c r="E22" s="18">
        <f t="shared" si="0"/>
        <v>37954.39</v>
      </c>
      <c r="F22" s="18">
        <f>+FACTURACIÓN!K22</f>
        <v>500</v>
      </c>
      <c r="G22" s="18">
        <f>+FACTURACIÓN!L22</f>
        <v>45.15</v>
      </c>
      <c r="H22" s="18">
        <f>+FACTURACIÓN!M22</f>
        <v>0</v>
      </c>
      <c r="I22" s="18">
        <f>+FACTURACIÓN!N22</f>
        <v>0</v>
      </c>
      <c r="J22" s="18">
        <f>+FACTURACIÓN!O22</f>
        <v>0</v>
      </c>
      <c r="K22" s="18">
        <f>+FACTURACIÓN!P22</f>
        <v>345.44</v>
      </c>
      <c r="L22" s="18">
        <f>+FACTURACIÓN!Q22</f>
        <v>3914.6439999999998</v>
      </c>
      <c r="M22" s="18">
        <f t="shared" si="1"/>
        <v>4805.2339999999995</v>
      </c>
      <c r="N22" s="18">
        <f>+E22-M22</f>
        <v>33149.156000000003</v>
      </c>
      <c r="O22" s="130" t="str">
        <f>IF(B22=P22,"SI","NO")</f>
        <v>SI</v>
      </c>
      <c r="P22" s="20" t="s">
        <v>52</v>
      </c>
    </row>
    <row r="23" spans="1:16" s="110" customFormat="1" x14ac:dyDescent="0.2">
      <c r="A23" s="111" t="s">
        <v>53</v>
      </c>
      <c r="B23" s="110" t="s">
        <v>54</v>
      </c>
      <c r="C23" s="132">
        <f>+FACTURACIÓN!J23-'C&amp;A'!I23</f>
        <v>3262.8</v>
      </c>
      <c r="D23" s="113">
        <v>0</v>
      </c>
      <c r="E23" s="18">
        <f t="shared" si="0"/>
        <v>3262.8</v>
      </c>
      <c r="F23" s="18">
        <f>+FACTURACIÓN!K23</f>
        <v>0</v>
      </c>
      <c r="G23" s="18">
        <f>+FACTURACIÓN!L23</f>
        <v>45.15</v>
      </c>
      <c r="H23" s="18">
        <f>+FACTURACIÓN!M23</f>
        <v>0</v>
      </c>
      <c r="I23" s="18">
        <f>+FACTURACIÓN!N23</f>
        <v>0</v>
      </c>
      <c r="J23" s="18">
        <f>+FACTURACIÓN!O23</f>
        <v>0</v>
      </c>
      <c r="K23" s="18">
        <f>+FACTURACIÓN!P23</f>
        <v>0</v>
      </c>
      <c r="L23" s="18">
        <f>+FACTURACIÓN!Q23</f>
        <v>0</v>
      </c>
      <c r="M23" s="18">
        <f t="shared" si="1"/>
        <v>45.15</v>
      </c>
      <c r="N23" s="18">
        <f>+E23-M23</f>
        <v>3217.65</v>
      </c>
      <c r="O23" s="130" t="str">
        <f>IF(B23=P23,"SI","NO")</f>
        <v>SI</v>
      </c>
      <c r="P23" s="20" t="s">
        <v>54</v>
      </c>
    </row>
    <row r="24" spans="1:16" s="110" customFormat="1" x14ac:dyDescent="0.2">
      <c r="A24" s="111" t="s">
        <v>55</v>
      </c>
      <c r="B24" s="110" t="s">
        <v>56</v>
      </c>
      <c r="C24" s="132">
        <f>+FACTURACIÓN!J24-'C&amp;A'!I24</f>
        <v>12762.8</v>
      </c>
      <c r="D24" s="113">
        <v>0</v>
      </c>
      <c r="E24" s="18">
        <f t="shared" si="0"/>
        <v>12762.8</v>
      </c>
      <c r="F24" s="18">
        <f>+FACTURACIÓN!K24</f>
        <v>0</v>
      </c>
      <c r="G24" s="18">
        <f>+FACTURACIÓN!L24</f>
        <v>45.15</v>
      </c>
      <c r="H24" s="18">
        <f>+FACTURACIÓN!M24</f>
        <v>355.82</v>
      </c>
      <c r="I24" s="18">
        <f>+FACTURACIÓN!N24</f>
        <v>0</v>
      </c>
      <c r="J24" s="18">
        <f>+FACTURACIÓN!O24</f>
        <v>0</v>
      </c>
      <c r="K24" s="18">
        <f>+FACTURACIÓN!P24</f>
        <v>0</v>
      </c>
      <c r="L24" s="18">
        <f>+FACTURACIÓN!Q24</f>
        <v>1395.4850000000001</v>
      </c>
      <c r="M24" s="18">
        <f t="shared" si="1"/>
        <v>1796.4550000000002</v>
      </c>
      <c r="N24" s="18">
        <f>+E24-M24</f>
        <v>10966.344999999999</v>
      </c>
      <c r="O24" s="130" t="str">
        <f>IF(B24=P24,"SI","NO")</f>
        <v>SI</v>
      </c>
      <c r="P24" s="20" t="s">
        <v>56</v>
      </c>
    </row>
    <row r="25" spans="1:16" x14ac:dyDescent="0.2">
      <c r="A25" s="34" t="s">
        <v>58</v>
      </c>
      <c r="B25" s="33" t="s">
        <v>59</v>
      </c>
      <c r="C25" s="132">
        <f>+FACTURACIÓN!J25-'C&amp;A'!I25</f>
        <v>17312.8</v>
      </c>
      <c r="D25" s="40">
        <v>0</v>
      </c>
      <c r="E25" s="18">
        <f t="shared" si="0"/>
        <v>17312.8</v>
      </c>
      <c r="F25" s="18">
        <f>+FACTURACIÓN!K25</f>
        <v>0</v>
      </c>
      <c r="G25" s="18">
        <f>+FACTURACIÓN!L25</f>
        <v>45.15</v>
      </c>
      <c r="H25" s="18">
        <f>+FACTURACIÓN!M25</f>
        <v>310.19</v>
      </c>
      <c r="I25" s="18">
        <f>+FACTURACIÓN!N25</f>
        <v>0</v>
      </c>
      <c r="J25" s="18">
        <f>+FACTURACIÓN!O25</f>
        <v>0</v>
      </c>
      <c r="K25" s="18">
        <f>+FACTURACIÓN!P25</f>
        <v>0</v>
      </c>
      <c r="L25" s="18">
        <f>+FACTURACIÓN!Q25</f>
        <v>1850.4849999999999</v>
      </c>
      <c r="M25" s="18">
        <f t="shared" si="1"/>
        <v>2205.8249999999998</v>
      </c>
      <c r="N25" s="18">
        <f>+E25-M25</f>
        <v>15106.974999999999</v>
      </c>
      <c r="O25" s="130" t="str">
        <f>IF(B25=P25,"SI","NO")</f>
        <v>SI</v>
      </c>
      <c r="P25" s="20" t="s">
        <v>59</v>
      </c>
    </row>
    <row r="26" spans="1:16" x14ac:dyDescent="0.2">
      <c r="A26" s="34" t="s">
        <v>60</v>
      </c>
      <c r="B26" s="33" t="s">
        <v>61</v>
      </c>
      <c r="C26" s="132">
        <f>+FACTURACIÓN!J26-'C&amp;A'!I26</f>
        <v>3012.8</v>
      </c>
      <c r="D26" s="40">
        <v>0</v>
      </c>
      <c r="E26" s="18">
        <f t="shared" si="0"/>
        <v>3012.8</v>
      </c>
      <c r="F26" s="18">
        <f>+FACTURACIÓN!K26</f>
        <v>0</v>
      </c>
      <c r="G26" s="18">
        <f>+FACTURACIÓN!L26</f>
        <v>45.15</v>
      </c>
      <c r="H26" s="18">
        <f>+FACTURACIÓN!M26</f>
        <v>0</v>
      </c>
      <c r="I26" s="18">
        <f>+FACTURACIÓN!N26</f>
        <v>0</v>
      </c>
      <c r="J26" s="18">
        <f>+FACTURACIÓN!O26</f>
        <v>0</v>
      </c>
      <c r="K26" s="18">
        <f>+FACTURACIÓN!P26</f>
        <v>837.96</v>
      </c>
      <c r="L26" s="18">
        <f>+FACTURACIÓN!Q26</f>
        <v>0</v>
      </c>
      <c r="M26" s="18">
        <f t="shared" si="1"/>
        <v>883.11</v>
      </c>
      <c r="N26" s="18">
        <f>+E26-M26</f>
        <v>2129.69</v>
      </c>
      <c r="O26" s="130" t="str">
        <f>IF(B26=P26,"SI","NO")</f>
        <v>SI</v>
      </c>
      <c r="P26" s="20" t="s">
        <v>61</v>
      </c>
    </row>
    <row r="27" spans="1:16" x14ac:dyDescent="0.2">
      <c r="A27" s="34" t="s">
        <v>62</v>
      </c>
      <c r="B27" s="33" t="s">
        <v>63</v>
      </c>
      <c r="C27" s="132">
        <f>+FACTURACIÓN!J27-'C&amp;A'!I27</f>
        <v>9426.5</v>
      </c>
      <c r="D27" s="40">
        <v>0</v>
      </c>
      <c r="E27" s="18">
        <f t="shared" si="0"/>
        <v>9426.5</v>
      </c>
      <c r="F27" s="18">
        <f>+FACTURACIÓN!K27</f>
        <v>0</v>
      </c>
      <c r="G27" s="18">
        <f>+FACTURACIÓN!L27</f>
        <v>45.15</v>
      </c>
      <c r="H27" s="18">
        <f>+FACTURACIÓN!M27</f>
        <v>0</v>
      </c>
      <c r="I27" s="18">
        <f>+FACTURACIÓN!N27</f>
        <v>0</v>
      </c>
      <c r="J27" s="18">
        <f>+FACTURACIÓN!O27</f>
        <v>0</v>
      </c>
      <c r="K27" s="18">
        <f>+FACTURACIÓN!P27</f>
        <v>0</v>
      </c>
      <c r="L27" s="18">
        <f>+FACTURACIÓN!Q27</f>
        <v>1061.8550000000002</v>
      </c>
      <c r="M27" s="18">
        <f t="shared" si="1"/>
        <v>1107.0050000000003</v>
      </c>
      <c r="N27" s="18">
        <f>+E27-M27</f>
        <v>8319.494999999999</v>
      </c>
      <c r="O27" s="130" t="str">
        <f>IF(B27=P27,"SI","NO")</f>
        <v>SI</v>
      </c>
      <c r="P27" s="20" t="s">
        <v>63</v>
      </c>
    </row>
    <row r="28" spans="1:16" x14ac:dyDescent="0.2">
      <c r="A28" s="34" t="s">
        <v>64</v>
      </c>
      <c r="B28" s="33" t="s">
        <v>65</v>
      </c>
      <c r="C28" s="132">
        <f>+FACTURACIÓN!J28-'C&amp;A'!I28</f>
        <v>5262.8</v>
      </c>
      <c r="D28" s="40">
        <v>0</v>
      </c>
      <c r="E28" s="18">
        <f t="shared" si="0"/>
        <v>5262.8</v>
      </c>
      <c r="F28" s="18">
        <f>+FACTURACIÓN!K28</f>
        <v>0</v>
      </c>
      <c r="G28" s="18">
        <f>+FACTURACIÓN!L28</f>
        <v>45.15</v>
      </c>
      <c r="H28" s="18">
        <f>+FACTURACIÓN!M28</f>
        <v>0</v>
      </c>
      <c r="I28" s="18">
        <f>+FACTURACIÓN!N28</f>
        <v>0</v>
      </c>
      <c r="J28" s="18">
        <f>+FACTURACIÓN!O28</f>
        <v>0</v>
      </c>
      <c r="K28" s="18">
        <f>+FACTURACIÓN!P28</f>
        <v>0</v>
      </c>
      <c r="L28" s="18">
        <f>+FACTURACIÓN!Q28</f>
        <v>645.48500000000013</v>
      </c>
      <c r="M28" s="18">
        <f t="shared" si="1"/>
        <v>690.6350000000001</v>
      </c>
      <c r="N28" s="18">
        <f>+E28-M28</f>
        <v>4572.165</v>
      </c>
      <c r="O28" s="130" t="str">
        <f>IF(B28=P28,"SI","NO")</f>
        <v>SI</v>
      </c>
      <c r="P28" s="170" t="s">
        <v>65</v>
      </c>
    </row>
    <row r="29" spans="1:16" x14ac:dyDescent="0.2">
      <c r="A29" s="34" t="s">
        <v>66</v>
      </c>
      <c r="B29" s="33" t="s">
        <v>67</v>
      </c>
      <c r="C29" s="132">
        <f>+FACTURACIÓN!J29-'C&amp;A'!I29</f>
        <v>5433.8</v>
      </c>
      <c r="D29" s="40">
        <v>0</v>
      </c>
      <c r="E29" s="18">
        <f t="shared" si="0"/>
        <v>5433.8</v>
      </c>
      <c r="F29" s="18">
        <f>+FACTURACIÓN!K29</f>
        <v>0</v>
      </c>
      <c r="G29" s="18">
        <f>+FACTURACIÓN!L29</f>
        <v>45.15</v>
      </c>
      <c r="H29" s="18">
        <f>+FACTURACIÓN!M29</f>
        <v>0</v>
      </c>
      <c r="I29" s="18">
        <f>+FACTURACIÓN!N29</f>
        <v>0</v>
      </c>
      <c r="J29" s="18">
        <f>+FACTURACIÓN!O29</f>
        <v>0</v>
      </c>
      <c r="K29" s="18">
        <f>+FACTURACIÓN!P29</f>
        <v>0</v>
      </c>
      <c r="L29" s="18">
        <f>+FACTURACIÓN!Q29</f>
        <v>662.58500000000004</v>
      </c>
      <c r="M29" s="18">
        <f t="shared" si="1"/>
        <v>707.73500000000001</v>
      </c>
      <c r="N29" s="18">
        <f>+E29-M29</f>
        <v>4726.0650000000005</v>
      </c>
      <c r="O29" s="130" t="str">
        <f>IF(B29=P29,"SI","NO")</f>
        <v>SI</v>
      </c>
      <c r="P29" s="170" t="s">
        <v>67</v>
      </c>
    </row>
    <row r="30" spans="1:16" x14ac:dyDescent="0.2">
      <c r="A30" s="128" t="s">
        <v>68</v>
      </c>
      <c r="B30" s="127" t="s">
        <v>69</v>
      </c>
      <c r="C30" s="132">
        <f>+FACTURACIÓN!J30-'C&amp;A'!I30</f>
        <v>2602.8000000000002</v>
      </c>
      <c r="D30" s="40">
        <v>0</v>
      </c>
      <c r="E30" s="18">
        <f t="shared" si="0"/>
        <v>2602.8000000000002</v>
      </c>
      <c r="F30" s="18">
        <f>+FACTURACIÓN!K30</f>
        <v>0</v>
      </c>
      <c r="G30" s="18">
        <f>+FACTURACIÓN!L30</f>
        <v>45.15</v>
      </c>
      <c r="H30" s="18">
        <f>+FACTURACIÓN!M30</f>
        <v>0</v>
      </c>
      <c r="I30" s="18">
        <f>+FACTURACIÓN!N30</f>
        <v>0</v>
      </c>
      <c r="J30" s="18">
        <f>+FACTURACIÓN!O30</f>
        <v>0</v>
      </c>
      <c r="K30" s="18">
        <f>+FACTURACIÓN!P30</f>
        <v>1075.52</v>
      </c>
      <c r="L30" s="18">
        <f>+FACTURACIÓN!Q30</f>
        <v>0</v>
      </c>
      <c r="M30" s="18">
        <f t="shared" si="1"/>
        <v>1120.67</v>
      </c>
      <c r="N30" s="18">
        <f>+E30-M30</f>
        <v>1482.13</v>
      </c>
      <c r="O30" s="130" t="str">
        <f>IF(B30=P30,"SI","NO")</f>
        <v>SI</v>
      </c>
      <c r="P30" s="170" t="s">
        <v>69</v>
      </c>
    </row>
    <row r="31" spans="1:16" x14ac:dyDescent="0.2">
      <c r="A31" s="34" t="s">
        <v>74</v>
      </c>
      <c r="B31" s="33" t="s">
        <v>75</v>
      </c>
      <c r="C31" s="132">
        <f>+FACTURACIÓN!J31-'C&amp;A'!I31</f>
        <v>2762.8</v>
      </c>
      <c r="D31" s="40">
        <v>0</v>
      </c>
      <c r="E31" s="18">
        <f t="shared" si="0"/>
        <v>2762.8</v>
      </c>
      <c r="F31" s="18">
        <f>+FACTURACIÓN!K31</f>
        <v>0</v>
      </c>
      <c r="G31" s="18">
        <f>+FACTURACIÓN!L31</f>
        <v>45.15</v>
      </c>
      <c r="H31" s="18">
        <f>+FACTURACIÓN!M31</f>
        <v>0</v>
      </c>
      <c r="I31" s="18">
        <f>+FACTURACIÓN!N31</f>
        <v>0</v>
      </c>
      <c r="J31" s="18">
        <f>+FACTURACIÓN!O31</f>
        <v>0</v>
      </c>
      <c r="K31" s="18">
        <f>+FACTURACIÓN!P31</f>
        <v>1146.5999999999999</v>
      </c>
      <c r="L31" s="18">
        <f>+FACTURACIÓN!Q31</f>
        <v>0</v>
      </c>
      <c r="M31" s="18">
        <f t="shared" si="1"/>
        <v>1191.75</v>
      </c>
      <c r="N31" s="18">
        <f>+E31-M31</f>
        <v>1571.0500000000002</v>
      </c>
      <c r="O31" s="130" t="str">
        <f>IF(B31=P31,"SI","NO")</f>
        <v>SI</v>
      </c>
      <c r="P31" s="20" t="s">
        <v>75</v>
      </c>
    </row>
    <row r="32" spans="1:16" x14ac:dyDescent="0.2">
      <c r="A32" s="34" t="s">
        <v>70</v>
      </c>
      <c r="B32" s="33" t="s">
        <v>71</v>
      </c>
      <c r="C32" s="132">
        <f>+FACTURACIÓN!J32-'C&amp;A'!I32</f>
        <v>2512.8000000000002</v>
      </c>
      <c r="D32" s="40">
        <v>0</v>
      </c>
      <c r="E32" s="18">
        <f t="shared" si="0"/>
        <v>2512.8000000000002</v>
      </c>
      <c r="F32" s="18">
        <f>+FACTURACIÓN!K32</f>
        <v>0</v>
      </c>
      <c r="G32" s="18">
        <f>+FACTURACIÓN!L32</f>
        <v>45.15</v>
      </c>
      <c r="H32" s="18">
        <f>+FACTURACIÓN!M32</f>
        <v>0</v>
      </c>
      <c r="I32" s="18">
        <f>+FACTURACIÓN!N32</f>
        <v>0</v>
      </c>
      <c r="J32" s="18">
        <f>+FACTURACIÓN!O32</f>
        <v>0</v>
      </c>
      <c r="K32" s="18">
        <f>+FACTURACIÓN!P32</f>
        <v>0</v>
      </c>
      <c r="L32" s="18">
        <f>+FACTURACIÓN!Q32</f>
        <v>0</v>
      </c>
      <c r="M32" s="18">
        <f t="shared" si="1"/>
        <v>45.15</v>
      </c>
      <c r="N32" s="18">
        <f>+E32-M32</f>
        <v>2467.65</v>
      </c>
      <c r="O32" s="130" t="str">
        <f>IF(B32=P32,"SI","NO")</f>
        <v>SI</v>
      </c>
      <c r="P32" s="20" t="s">
        <v>71</v>
      </c>
    </row>
    <row r="33" spans="1:16" x14ac:dyDescent="0.2">
      <c r="A33" s="34" t="s">
        <v>72</v>
      </c>
      <c r="B33" s="33" t="s">
        <v>73</v>
      </c>
      <c r="C33" s="132">
        <f>+FACTURACIÓN!J33-'C&amp;A'!I33</f>
        <v>1908.173897131358</v>
      </c>
      <c r="D33" s="40">
        <v>0</v>
      </c>
      <c r="E33" s="18">
        <f t="shared" si="0"/>
        <v>1908.173897131358</v>
      </c>
      <c r="F33" s="18">
        <f>+FACTURACIÓN!K33</f>
        <v>0</v>
      </c>
      <c r="G33" s="18">
        <f>+FACTURACIÓN!L33</f>
        <v>45.15</v>
      </c>
      <c r="H33" s="18">
        <f>+FACTURACIÓN!M33</f>
        <v>0</v>
      </c>
      <c r="I33" s="18">
        <f>+FACTURACIÓN!N33</f>
        <v>0</v>
      </c>
      <c r="J33" s="18">
        <f>+FACTURACIÓN!O33</f>
        <v>0</v>
      </c>
      <c r="K33" s="18">
        <f>+FACTURACIÓN!P33</f>
        <v>0</v>
      </c>
      <c r="L33" s="18">
        <f>+FACTURACIÓN!Q33</f>
        <v>0</v>
      </c>
      <c r="M33" s="18">
        <f t="shared" si="1"/>
        <v>45.15</v>
      </c>
      <c r="N33" s="18">
        <f>+E33-M33</f>
        <v>1863.0238971313579</v>
      </c>
      <c r="O33" s="130" t="str">
        <f>IF(B33=P33,"SI","NO")</f>
        <v>SI</v>
      </c>
      <c r="P33" s="20" t="s">
        <v>73</v>
      </c>
    </row>
    <row r="34" spans="1:16" x14ac:dyDescent="0.2">
      <c r="A34" s="128" t="s">
        <v>76</v>
      </c>
      <c r="B34" s="127" t="s">
        <v>77</v>
      </c>
      <c r="C34" s="132">
        <f>+FACTURACIÓN!J34-'C&amp;A'!I34</f>
        <v>17128.91</v>
      </c>
      <c r="D34" s="40">
        <v>0</v>
      </c>
      <c r="E34" s="18">
        <f t="shared" si="0"/>
        <v>17128.91</v>
      </c>
      <c r="F34" s="18">
        <f>+FACTURACIÓN!K34</f>
        <v>0</v>
      </c>
      <c r="G34" s="18">
        <f>+FACTURACIÓN!L34</f>
        <v>45.15</v>
      </c>
      <c r="H34" s="18">
        <f>+FACTURACIÓN!M34</f>
        <v>58.19</v>
      </c>
      <c r="I34" s="18">
        <f>+FACTURACIÓN!N34</f>
        <v>0</v>
      </c>
      <c r="J34" s="18">
        <f>+FACTURACIÓN!O34</f>
        <v>0</v>
      </c>
      <c r="K34" s="18">
        <f>+FACTURACIÓN!P34</f>
        <v>0</v>
      </c>
      <c r="L34" s="18">
        <f>+FACTURACIÓN!Q34</f>
        <v>1832.076</v>
      </c>
      <c r="M34" s="18">
        <f t="shared" si="1"/>
        <v>1935.4159999999999</v>
      </c>
      <c r="N34" s="18">
        <f>+E34-M34</f>
        <v>15193.494000000001</v>
      </c>
      <c r="O34" s="130" t="str">
        <f>IF(B34=P34,"SI","NO")</f>
        <v>SI</v>
      </c>
      <c r="P34" s="20" t="s">
        <v>77</v>
      </c>
    </row>
    <row r="35" spans="1:16" x14ac:dyDescent="0.2">
      <c r="A35" s="34" t="s">
        <v>78</v>
      </c>
      <c r="B35" s="33" t="s">
        <v>79</v>
      </c>
      <c r="C35" s="132">
        <f>+FACTURACIÓN!J35-'C&amp;A'!I35</f>
        <v>8826.5400000000009</v>
      </c>
      <c r="D35" s="40">
        <v>0</v>
      </c>
      <c r="E35" s="18">
        <f t="shared" si="0"/>
        <v>8826.5400000000009</v>
      </c>
      <c r="F35" s="18">
        <f>+FACTURACIÓN!K35</f>
        <v>0</v>
      </c>
      <c r="G35" s="18">
        <f>+FACTURACIÓN!L35</f>
        <v>45.15</v>
      </c>
      <c r="H35" s="18">
        <f>+FACTURACIÓN!M35</f>
        <v>0</v>
      </c>
      <c r="I35" s="18">
        <f>+FACTURACIÓN!N35</f>
        <v>0</v>
      </c>
      <c r="J35" s="18">
        <f>+FACTURACIÓN!O35</f>
        <v>0</v>
      </c>
      <c r="K35" s="18">
        <f>+FACTURACIÓN!P35</f>
        <v>1045.54</v>
      </c>
      <c r="L35" s="18">
        <f>+FACTURACIÓN!Q35</f>
        <v>1001.859</v>
      </c>
      <c r="M35" s="18">
        <f t="shared" si="1"/>
        <v>2092.549</v>
      </c>
      <c r="N35" s="18">
        <f>+E35-M35</f>
        <v>6733.9910000000009</v>
      </c>
      <c r="O35" s="130" t="str">
        <f>IF(B35=P35,"SI","NO")</f>
        <v>SI</v>
      </c>
      <c r="P35" s="20" t="s">
        <v>79</v>
      </c>
    </row>
    <row r="36" spans="1:16" x14ac:dyDescent="0.2">
      <c r="A36" s="34" t="s">
        <v>80</v>
      </c>
      <c r="B36" s="33" t="s">
        <v>81</v>
      </c>
      <c r="C36" s="132">
        <f>+FACTURACIÓN!J36-'C&amp;A'!I36</f>
        <v>5594.85</v>
      </c>
      <c r="D36" s="40">
        <v>0</v>
      </c>
      <c r="E36" s="18">
        <f t="shared" si="0"/>
        <v>5594.85</v>
      </c>
      <c r="F36" s="18">
        <f>+FACTURACIÓN!K36</f>
        <v>0</v>
      </c>
      <c r="G36" s="18">
        <f>+FACTURACIÓN!L36</f>
        <v>45.15</v>
      </c>
      <c r="H36" s="18">
        <f>+FACTURACIÓN!M36</f>
        <v>0</v>
      </c>
      <c r="I36" s="18">
        <f>+FACTURACIÓN!N36</f>
        <v>0</v>
      </c>
      <c r="J36" s="18">
        <f>+FACTURACIÓN!O36</f>
        <v>0</v>
      </c>
      <c r="K36" s="18">
        <f>+FACTURACIÓN!P36</f>
        <v>0</v>
      </c>
      <c r="L36" s="18">
        <f>+FACTURACIÓN!Q36</f>
        <v>678.67000000000007</v>
      </c>
      <c r="M36" s="18">
        <f t="shared" si="1"/>
        <v>723.82</v>
      </c>
      <c r="N36" s="18">
        <f>+E36-M36</f>
        <v>4871.0300000000007</v>
      </c>
      <c r="O36" s="130" t="str">
        <f>IF(B36=P36,"SI","NO")</f>
        <v>SI</v>
      </c>
      <c r="P36" s="20" t="s">
        <v>81</v>
      </c>
    </row>
    <row r="37" spans="1:16" x14ac:dyDescent="0.2">
      <c r="A37" s="34" t="s">
        <v>82</v>
      </c>
      <c r="B37" s="33" t="s">
        <v>83</v>
      </c>
      <c r="C37" s="132">
        <f>+FACTURACIÓN!J37-'C&amp;A'!I37</f>
        <v>10612.8</v>
      </c>
      <c r="D37" s="40">
        <v>0</v>
      </c>
      <c r="E37" s="18">
        <f t="shared" si="0"/>
        <v>10612.8</v>
      </c>
      <c r="F37" s="18">
        <f>+FACTURACIÓN!K37</f>
        <v>0</v>
      </c>
      <c r="G37" s="18">
        <f>+FACTURACIÓN!L37</f>
        <v>45.15</v>
      </c>
      <c r="H37" s="18">
        <f>+FACTURACIÓN!M37</f>
        <v>0</v>
      </c>
      <c r="I37" s="18">
        <f>+FACTURACIÓN!N37</f>
        <v>0</v>
      </c>
      <c r="J37" s="18">
        <f>+FACTURACIÓN!O37</f>
        <v>0</v>
      </c>
      <c r="K37" s="18">
        <f>+FACTURACIÓN!P37</f>
        <v>1200.08</v>
      </c>
      <c r="L37" s="18">
        <f>+FACTURACIÓN!Q37</f>
        <v>1180.4850000000001</v>
      </c>
      <c r="M37" s="18">
        <f t="shared" si="1"/>
        <v>2425.7150000000001</v>
      </c>
      <c r="N37" s="18">
        <f>+E37-M37</f>
        <v>8187.0849999999991</v>
      </c>
      <c r="O37" s="130" t="str">
        <f>IF(B37=P37,"SI","NO")</f>
        <v>SI</v>
      </c>
      <c r="P37" s="20" t="s">
        <v>83</v>
      </c>
    </row>
    <row r="38" spans="1:16" x14ac:dyDescent="0.2">
      <c r="A38" s="34" t="s">
        <v>84</v>
      </c>
      <c r="B38" s="33" t="s">
        <v>85</v>
      </c>
      <c r="C38" s="132">
        <f>+FACTURACIÓN!J38-'C&amp;A'!I38</f>
        <v>3262.8</v>
      </c>
      <c r="D38" s="40">
        <v>0</v>
      </c>
      <c r="E38" s="18">
        <f t="shared" si="0"/>
        <v>3262.8</v>
      </c>
      <c r="F38" s="18">
        <f>+FACTURACIÓN!K38</f>
        <v>0</v>
      </c>
      <c r="G38" s="18">
        <f>+FACTURACIÓN!L38</f>
        <v>45.15</v>
      </c>
      <c r="H38" s="18">
        <f>+FACTURACIÓN!M38</f>
        <v>0</v>
      </c>
      <c r="I38" s="18">
        <f>+FACTURACIÓN!N38</f>
        <v>0</v>
      </c>
      <c r="J38" s="18">
        <f>+FACTURACIÓN!O38</f>
        <v>0</v>
      </c>
      <c r="K38" s="18">
        <f>+FACTURACIÓN!P38</f>
        <v>887.44</v>
      </c>
      <c r="L38" s="18">
        <f>+FACTURACIÓN!Q38</f>
        <v>0</v>
      </c>
      <c r="M38" s="18">
        <f t="shared" si="1"/>
        <v>932.59</v>
      </c>
      <c r="N38" s="18">
        <f>+E38-M38</f>
        <v>2330.21</v>
      </c>
      <c r="O38" s="130" t="str">
        <f>IF(B38=P38,"SI","NO")</f>
        <v>SI</v>
      </c>
      <c r="P38" s="20" t="s">
        <v>85</v>
      </c>
    </row>
    <row r="39" spans="1:16" x14ac:dyDescent="0.2">
      <c r="A39" s="34" t="s">
        <v>86</v>
      </c>
      <c r="B39" s="33" t="s">
        <v>87</v>
      </c>
      <c r="C39" s="132">
        <f>+FACTURACIÓN!J39-'C&amp;A'!I39</f>
        <v>2112.9205678096514</v>
      </c>
      <c r="D39" s="40">
        <v>0</v>
      </c>
      <c r="E39" s="18">
        <f t="shared" si="0"/>
        <v>2112.9205678096514</v>
      </c>
      <c r="F39" s="18">
        <f>+FACTURACIÓN!K39</f>
        <v>0</v>
      </c>
      <c r="G39" s="18">
        <f>+FACTURACIÓN!L39</f>
        <v>45.15</v>
      </c>
      <c r="H39" s="18">
        <f>+FACTURACIÓN!M39</f>
        <v>0</v>
      </c>
      <c r="I39" s="18">
        <f>+FACTURACIÓN!N39</f>
        <v>0</v>
      </c>
      <c r="J39" s="18">
        <f>+FACTURACIÓN!O39</f>
        <v>0</v>
      </c>
      <c r="K39" s="18">
        <f>+FACTURACIÓN!P39</f>
        <v>0</v>
      </c>
      <c r="L39" s="18">
        <f>+FACTURACIÓN!Q39</f>
        <v>0</v>
      </c>
      <c r="M39" s="18">
        <f t="shared" si="1"/>
        <v>45.15</v>
      </c>
      <c r="N39" s="18">
        <f>+E39-M39</f>
        <v>2067.7705678096513</v>
      </c>
      <c r="O39" s="130" t="str">
        <f>IF(B39=P39,"SI","NO")</f>
        <v>SI</v>
      </c>
      <c r="P39" s="20" t="s">
        <v>87</v>
      </c>
    </row>
    <row r="40" spans="1:16" x14ac:dyDescent="0.2">
      <c r="A40" s="34" t="s">
        <v>88</v>
      </c>
      <c r="B40" s="33" t="s">
        <v>89</v>
      </c>
      <c r="C40" s="132">
        <f>+FACTURACIÓN!J40-'C&amp;A'!I40</f>
        <v>3381.4700000000003</v>
      </c>
      <c r="D40" s="40">
        <v>0</v>
      </c>
      <c r="E40" s="18">
        <f t="shared" si="0"/>
        <v>3381.4700000000003</v>
      </c>
      <c r="F40" s="18">
        <f>+FACTURACIÓN!K40</f>
        <v>0</v>
      </c>
      <c r="G40" s="18">
        <f>+FACTURACIÓN!L40</f>
        <v>45.15</v>
      </c>
      <c r="H40" s="18">
        <f>+FACTURACIÓN!M40</f>
        <v>0</v>
      </c>
      <c r="I40" s="18">
        <f>+FACTURACIÓN!N40</f>
        <v>0</v>
      </c>
      <c r="J40" s="18">
        <f>+FACTURACIÓN!O40</f>
        <v>0</v>
      </c>
      <c r="K40" s="18">
        <f>+FACTURACIÓN!P40</f>
        <v>0</v>
      </c>
      <c r="L40" s="18">
        <f>+FACTURACIÓN!Q40</f>
        <v>457.35200000000009</v>
      </c>
      <c r="M40" s="18">
        <f t="shared" si="1"/>
        <v>502.50200000000007</v>
      </c>
      <c r="N40" s="18">
        <f>+E40-M40</f>
        <v>2878.9680000000003</v>
      </c>
      <c r="O40" s="130" t="str">
        <f>IF(B40=P40,"SI","NO")</f>
        <v>SI</v>
      </c>
      <c r="P40" s="20" t="s">
        <v>89</v>
      </c>
    </row>
    <row r="41" spans="1:16" x14ac:dyDescent="0.2">
      <c r="A41" s="34" t="s">
        <v>90</v>
      </c>
      <c r="B41" s="33" t="s">
        <v>91</v>
      </c>
      <c r="C41" s="132">
        <f>+FACTURACIÓN!J41-'C&amp;A'!I41</f>
        <v>1473.1763632955849</v>
      </c>
      <c r="D41" s="40">
        <v>0</v>
      </c>
      <c r="E41" s="18">
        <f t="shared" si="0"/>
        <v>1473.1763632955849</v>
      </c>
      <c r="F41" s="18">
        <f>+FACTURACIÓN!K41</f>
        <v>0</v>
      </c>
      <c r="G41" s="18">
        <f>+FACTURACIÓN!L41</f>
        <v>45.15</v>
      </c>
      <c r="H41" s="18">
        <f>+FACTURACIÓN!M41</f>
        <v>0</v>
      </c>
      <c r="I41" s="18">
        <f>+FACTURACIÓN!N41</f>
        <v>0</v>
      </c>
      <c r="J41" s="18">
        <f>+FACTURACIÓN!O41</f>
        <v>0</v>
      </c>
      <c r="K41" s="18">
        <f>+FACTURACIÓN!P41</f>
        <v>0</v>
      </c>
      <c r="L41" s="18">
        <f>+FACTURACIÓN!Q41</f>
        <v>0</v>
      </c>
      <c r="M41" s="18">
        <f t="shared" si="1"/>
        <v>45.15</v>
      </c>
      <c r="N41" s="18">
        <f>+E41-M41</f>
        <v>1428.0263632955848</v>
      </c>
      <c r="O41" s="130" t="str">
        <f>IF(B41=P41,"SI","NO")</f>
        <v>SI</v>
      </c>
      <c r="P41" s="20" t="s">
        <v>91</v>
      </c>
    </row>
    <row r="42" spans="1:16" s="110" customFormat="1" x14ac:dyDescent="0.2">
      <c r="A42" s="128" t="s">
        <v>154</v>
      </c>
      <c r="B42" s="127" t="s">
        <v>155</v>
      </c>
      <c r="C42" s="132">
        <f>+FACTURACIÓN!J42-'C&amp;A'!I42</f>
        <v>17926.079999999998</v>
      </c>
      <c r="D42" s="113">
        <v>0</v>
      </c>
      <c r="E42" s="18">
        <f t="shared" si="0"/>
        <v>17926.079999999998</v>
      </c>
      <c r="F42" s="18">
        <f>+FACTURACIÓN!K42</f>
        <v>0</v>
      </c>
      <c r="G42" s="18">
        <f>+FACTURACIÓN!L42</f>
        <v>45.15</v>
      </c>
      <c r="H42" s="18">
        <f>+FACTURACIÓN!M42</f>
        <v>0</v>
      </c>
      <c r="I42" s="18">
        <f>+FACTURACIÓN!N42</f>
        <v>0</v>
      </c>
      <c r="J42" s="18">
        <f>+FACTURACIÓN!O42</f>
        <v>0</v>
      </c>
      <c r="K42" s="18">
        <f>+FACTURACIÓN!P42</f>
        <v>0</v>
      </c>
      <c r="L42" s="18">
        <f>+FACTURACIÓN!Q42</f>
        <v>1911.8129999999999</v>
      </c>
      <c r="M42" s="18">
        <f t="shared" si="1"/>
        <v>1956.963</v>
      </c>
      <c r="N42" s="18">
        <f>+E42-M42</f>
        <v>15969.116999999998</v>
      </c>
      <c r="O42" s="130" t="str">
        <f>IF(B42=P42,"SI","NO")</f>
        <v>SI</v>
      </c>
      <c r="P42" s="170" t="s">
        <v>155</v>
      </c>
    </row>
    <row r="43" spans="1:16" x14ac:dyDescent="0.2">
      <c r="A43" s="34" t="s">
        <v>94</v>
      </c>
      <c r="B43" s="33" t="s">
        <v>95</v>
      </c>
      <c r="C43" s="132">
        <f>+FACTURACIÓN!J43-'C&amp;A'!I43</f>
        <v>2137.9205678096519</v>
      </c>
      <c r="D43" s="40">
        <v>0</v>
      </c>
      <c r="E43" s="18">
        <f t="shared" si="0"/>
        <v>2137.9205678096519</v>
      </c>
      <c r="F43" s="18">
        <f>+FACTURACIÓN!K43</f>
        <v>0</v>
      </c>
      <c r="G43" s="18">
        <f>+FACTURACIÓN!L43</f>
        <v>45.15</v>
      </c>
      <c r="H43" s="18">
        <f>+FACTURACIÓN!M43</f>
        <v>0</v>
      </c>
      <c r="I43" s="18">
        <f>+FACTURACIÓN!N43</f>
        <v>0</v>
      </c>
      <c r="J43" s="18">
        <f>+FACTURACIÓN!O43</f>
        <v>0</v>
      </c>
      <c r="K43" s="18">
        <f>+FACTURACIÓN!P43</f>
        <v>0</v>
      </c>
      <c r="L43" s="18">
        <f>+FACTURACIÓN!Q43</f>
        <v>0</v>
      </c>
      <c r="M43" s="18">
        <f t="shared" si="1"/>
        <v>45.15</v>
      </c>
      <c r="N43" s="18">
        <f>+E43-M43</f>
        <v>2092.7705678096518</v>
      </c>
      <c r="O43" s="130" t="str">
        <f>IF(B43=P43,"SI","NO")</f>
        <v>SI</v>
      </c>
      <c r="P43" s="20" t="s">
        <v>95</v>
      </c>
    </row>
    <row r="44" spans="1:16" x14ac:dyDescent="0.2">
      <c r="A44" s="34" t="s">
        <v>96</v>
      </c>
      <c r="B44" s="33" t="s">
        <v>97</v>
      </c>
      <c r="C44" s="132">
        <f>+FACTURACIÓN!J44-'C&amp;A'!I44</f>
        <v>2037.9205678096519</v>
      </c>
      <c r="D44" s="40">
        <v>0</v>
      </c>
      <c r="E44" s="18">
        <f t="shared" si="0"/>
        <v>2037.9205678096519</v>
      </c>
      <c r="F44" s="18">
        <f>+FACTURACIÓN!K44</f>
        <v>0</v>
      </c>
      <c r="G44" s="18">
        <f>+FACTURACIÓN!L44</f>
        <v>45.15</v>
      </c>
      <c r="H44" s="18">
        <f>+FACTURACIÓN!M44</f>
        <v>0</v>
      </c>
      <c r="I44" s="18">
        <f>+FACTURACIÓN!N44</f>
        <v>0</v>
      </c>
      <c r="J44" s="18">
        <f>+FACTURACIÓN!O44</f>
        <v>0</v>
      </c>
      <c r="K44" s="18">
        <f>+FACTURACIÓN!P44</f>
        <v>0</v>
      </c>
      <c r="L44" s="18">
        <f>+FACTURACIÓN!Q44</f>
        <v>0</v>
      </c>
      <c r="M44" s="18">
        <f t="shared" si="1"/>
        <v>45.15</v>
      </c>
      <c r="N44" s="18">
        <f>+E44-M44</f>
        <v>1992.7705678096518</v>
      </c>
      <c r="O44" s="130" t="str">
        <f>IF(B44=P44,"SI","NO")</f>
        <v>SI</v>
      </c>
      <c r="P44" s="20" t="s">
        <v>97</v>
      </c>
    </row>
    <row r="45" spans="1:16" x14ac:dyDescent="0.2">
      <c r="A45" s="128" t="s">
        <v>100</v>
      </c>
      <c r="B45" s="127" t="s">
        <v>101</v>
      </c>
      <c r="C45" s="132">
        <f>+FACTURACIÓN!J45-'C&amp;A'!I45</f>
        <v>14661.84</v>
      </c>
      <c r="D45" s="40">
        <v>0</v>
      </c>
      <c r="E45" s="18">
        <f t="shared" si="0"/>
        <v>14661.84</v>
      </c>
      <c r="F45" s="18">
        <f>+FACTURACIÓN!K45</f>
        <v>0</v>
      </c>
      <c r="G45" s="18">
        <f>+FACTURACIÓN!L45</f>
        <v>45.15</v>
      </c>
      <c r="H45" s="18">
        <f>+FACTURACIÓN!M45</f>
        <v>0</v>
      </c>
      <c r="I45" s="18">
        <f>+FACTURACIÓN!N45</f>
        <v>0</v>
      </c>
      <c r="J45" s="18">
        <f>+FACTURACIÓN!O45</f>
        <v>0</v>
      </c>
      <c r="K45" s="18">
        <f>+FACTURACIÓN!P45</f>
        <v>0</v>
      </c>
      <c r="L45" s="18">
        <f>+FACTURACIÓN!Q45</f>
        <v>1585.3890000000001</v>
      </c>
      <c r="M45" s="18">
        <f t="shared" si="1"/>
        <v>1630.5390000000002</v>
      </c>
      <c r="N45" s="18">
        <f>+E45-M45</f>
        <v>13031.300999999999</v>
      </c>
      <c r="O45" s="130" t="str">
        <f>IF(B45=P45,"SI","NO")</f>
        <v>SI</v>
      </c>
      <c r="P45" s="20" t="s">
        <v>101</v>
      </c>
    </row>
    <row r="46" spans="1:16" x14ac:dyDescent="0.2">
      <c r="A46" s="128" t="s">
        <v>98</v>
      </c>
      <c r="B46" s="127" t="s">
        <v>99</v>
      </c>
      <c r="C46" s="132">
        <f>+FACTURACIÓN!J46-'C&amp;A'!I46</f>
        <v>9326.74</v>
      </c>
      <c r="D46" s="40">
        <v>0</v>
      </c>
      <c r="E46" s="18">
        <f t="shared" si="0"/>
        <v>9326.74</v>
      </c>
      <c r="F46" s="18">
        <f>+FACTURACIÓN!K46</f>
        <v>0</v>
      </c>
      <c r="G46" s="18">
        <f>+FACTURACIÓN!L46</f>
        <v>45.15</v>
      </c>
      <c r="H46" s="18">
        <f>+FACTURACIÓN!M46</f>
        <v>0</v>
      </c>
      <c r="I46" s="18">
        <f>+FACTURACIÓN!N46</f>
        <v>0</v>
      </c>
      <c r="J46" s="18">
        <f>+FACTURACIÓN!O46</f>
        <v>0</v>
      </c>
      <c r="K46" s="18">
        <f>+FACTURACIÓN!P46</f>
        <v>395.88</v>
      </c>
      <c r="L46" s="18">
        <f>+FACTURACIÓN!Q46</f>
        <v>1051.8590000000002</v>
      </c>
      <c r="M46" s="18">
        <f t="shared" si="1"/>
        <v>1492.8890000000001</v>
      </c>
      <c r="N46" s="18">
        <f>+E46-M46</f>
        <v>7833.8509999999997</v>
      </c>
      <c r="O46" s="130" t="str">
        <f>IF(B46=P46,"SI","NO")</f>
        <v>SI</v>
      </c>
      <c r="P46" s="20" t="s">
        <v>99</v>
      </c>
    </row>
    <row r="47" spans="1:16" x14ac:dyDescent="0.2">
      <c r="A47" s="34" t="s">
        <v>102</v>
      </c>
      <c r="B47" s="33" t="s">
        <v>103</v>
      </c>
      <c r="C47" s="132">
        <f>+FACTURACIÓN!J47-'C&amp;A'!I47</f>
        <v>1908.173897131358</v>
      </c>
      <c r="D47" s="40">
        <v>0</v>
      </c>
      <c r="E47" s="18">
        <f t="shared" si="0"/>
        <v>1908.173897131358</v>
      </c>
      <c r="F47" s="18">
        <f>+FACTURACIÓN!K47</f>
        <v>0</v>
      </c>
      <c r="G47" s="18">
        <f>+FACTURACIÓN!L47</f>
        <v>45.15</v>
      </c>
      <c r="H47" s="18">
        <f>+FACTURACIÓN!M47</f>
        <v>0</v>
      </c>
      <c r="I47" s="18">
        <f>+FACTURACIÓN!N47</f>
        <v>0</v>
      </c>
      <c r="J47" s="18">
        <f>+FACTURACIÓN!O47</f>
        <v>0</v>
      </c>
      <c r="K47" s="18">
        <f>+FACTURACIÓN!P47</f>
        <v>0</v>
      </c>
      <c r="L47" s="18">
        <f>+FACTURACIÓN!Q47</f>
        <v>0</v>
      </c>
      <c r="M47" s="18">
        <f t="shared" si="1"/>
        <v>45.15</v>
      </c>
      <c r="N47" s="18">
        <f>+E47-M47</f>
        <v>1863.0238971313579</v>
      </c>
      <c r="O47" s="130" t="str">
        <f>IF(B47=P47,"SI","NO")</f>
        <v>SI</v>
      </c>
      <c r="P47" s="20" t="s">
        <v>103</v>
      </c>
    </row>
    <row r="48" spans="1:16" x14ac:dyDescent="0.2">
      <c r="A48" s="34" t="s">
        <v>104</v>
      </c>
      <c r="B48" s="33" t="s">
        <v>105</v>
      </c>
      <c r="C48" s="132">
        <f>+FACTURACIÓN!J48-'C&amp;A'!I48</f>
        <v>5762.8</v>
      </c>
      <c r="D48" s="40">
        <v>0</v>
      </c>
      <c r="E48" s="18">
        <f t="shared" si="0"/>
        <v>5762.8</v>
      </c>
      <c r="F48" s="18">
        <f>+FACTURACIÓN!K48</f>
        <v>0</v>
      </c>
      <c r="G48" s="18">
        <f>+FACTURACIÓN!L48</f>
        <v>45.15</v>
      </c>
      <c r="H48" s="18">
        <f>+FACTURACIÓN!M48</f>
        <v>0</v>
      </c>
      <c r="I48" s="18">
        <f>+FACTURACIÓN!N48</f>
        <v>0</v>
      </c>
      <c r="J48" s="18">
        <f>+FACTURACIÓN!O48</f>
        <v>0</v>
      </c>
      <c r="K48" s="18">
        <f>+FACTURACIÓN!P48</f>
        <v>0</v>
      </c>
      <c r="L48" s="18">
        <f>+FACTURACIÓN!Q48</f>
        <v>695.48500000000013</v>
      </c>
      <c r="M48" s="18">
        <f t="shared" si="1"/>
        <v>740.6350000000001</v>
      </c>
      <c r="N48" s="18">
        <f>+E48-M48</f>
        <v>5022.165</v>
      </c>
      <c r="O48" s="130" t="str">
        <f>IF(B48=P48,"SI","NO")</f>
        <v>SI</v>
      </c>
      <c r="P48" s="20" t="s">
        <v>105</v>
      </c>
    </row>
    <row r="49" spans="1:25" x14ac:dyDescent="0.2">
      <c r="A49" s="34" t="s">
        <v>106</v>
      </c>
      <c r="B49" s="33" t="s">
        <v>107</v>
      </c>
      <c r="C49" s="132">
        <f>+FACTURACIÓN!J49-'C&amp;A'!I49</f>
        <v>1908.173897131358</v>
      </c>
      <c r="D49" s="40">
        <v>0</v>
      </c>
      <c r="E49" s="18">
        <f t="shared" si="0"/>
        <v>1908.173897131358</v>
      </c>
      <c r="F49" s="18">
        <f>+FACTURACIÓN!K49</f>
        <v>0</v>
      </c>
      <c r="G49" s="18">
        <f>+FACTURACIÓN!L49</f>
        <v>45.15</v>
      </c>
      <c r="H49" s="18">
        <f>+FACTURACIÓN!M49</f>
        <v>0</v>
      </c>
      <c r="I49" s="18">
        <f>+FACTURACIÓN!N49</f>
        <v>0</v>
      </c>
      <c r="J49" s="18">
        <f>+FACTURACIÓN!O49</f>
        <v>0</v>
      </c>
      <c r="K49" s="18">
        <f>+FACTURACIÓN!P49</f>
        <v>0</v>
      </c>
      <c r="L49" s="18">
        <f>+FACTURACIÓN!Q49</f>
        <v>0</v>
      </c>
      <c r="M49" s="18">
        <f t="shared" si="1"/>
        <v>45.15</v>
      </c>
      <c r="N49" s="18">
        <f>+E49-M49</f>
        <v>1863.0238971313579</v>
      </c>
      <c r="O49" s="130" t="str">
        <f>IF(B49=P49,"SI","NO")</f>
        <v>SI</v>
      </c>
      <c r="P49" s="20" t="s">
        <v>107</v>
      </c>
    </row>
    <row r="50" spans="1:25" x14ac:dyDescent="0.2">
      <c r="A50" s="34" t="s">
        <v>108</v>
      </c>
      <c r="B50" s="33" t="s">
        <v>109</v>
      </c>
      <c r="C50" s="132">
        <f>+FACTURACIÓN!J50-'C&amp;A'!I50</f>
        <v>6962.8</v>
      </c>
      <c r="D50" s="40">
        <v>0</v>
      </c>
      <c r="E50" s="18">
        <f t="shared" si="0"/>
        <v>6962.8</v>
      </c>
      <c r="F50" s="18">
        <f>+FACTURACIÓN!K50</f>
        <v>0</v>
      </c>
      <c r="G50" s="18">
        <f>+FACTURACIÓN!L50</f>
        <v>45.15</v>
      </c>
      <c r="H50" s="18">
        <f>+FACTURACIÓN!M50</f>
        <v>0</v>
      </c>
      <c r="I50" s="18">
        <f>+FACTURACIÓN!N50</f>
        <v>0</v>
      </c>
      <c r="J50" s="18">
        <f>+FACTURACIÓN!O50</f>
        <v>0</v>
      </c>
      <c r="K50" s="18">
        <f>+FACTURACIÓN!P50</f>
        <v>0</v>
      </c>
      <c r="L50" s="18">
        <f>+FACTURACIÓN!Q50</f>
        <v>815.48500000000013</v>
      </c>
      <c r="M50" s="18">
        <f t="shared" si="1"/>
        <v>860.6350000000001</v>
      </c>
      <c r="N50" s="18">
        <f>+E50-M50</f>
        <v>6102.165</v>
      </c>
      <c r="O50" s="130" t="str">
        <f>IF(B50=P50,"SI","NO")</f>
        <v>SI</v>
      </c>
      <c r="P50" s="170" t="s">
        <v>109</v>
      </c>
    </row>
    <row r="51" spans="1:25" ht="15" x14ac:dyDescent="0.25">
      <c r="A51" s="131"/>
      <c r="B51" s="73" t="s">
        <v>366</v>
      </c>
      <c r="C51" s="132">
        <f>+FACTURACIÓN!J51-'C&amp;A'!I51</f>
        <v>4762.8</v>
      </c>
      <c r="D51" s="132">
        <v>0</v>
      </c>
      <c r="E51" s="18">
        <f t="shared" ref="E51" si="2">SUM(C51:D51)</f>
        <v>4762.8</v>
      </c>
      <c r="F51" s="18">
        <f>+FACTURACIÓN!K51</f>
        <v>0</v>
      </c>
      <c r="G51" s="18">
        <f>+FACTURACIÓN!L51</f>
        <v>45.15</v>
      </c>
      <c r="H51" s="18">
        <f>+FACTURACIÓN!M51</f>
        <v>0</v>
      </c>
      <c r="I51" s="18">
        <f>+FACTURACIÓN!N51</f>
        <v>0</v>
      </c>
      <c r="J51" s="18">
        <f>+FACTURACIÓN!O51</f>
        <v>0</v>
      </c>
      <c r="K51" s="18">
        <f>+FACTURACIÓN!P51</f>
        <v>1014.46</v>
      </c>
      <c r="L51" s="18">
        <f>+FACTURACIÓN!Q51</f>
        <v>595.48500000000001</v>
      </c>
      <c r="M51" s="18">
        <f t="shared" si="1"/>
        <v>1655.0950000000003</v>
      </c>
      <c r="N51" s="18">
        <f>+E51-M51</f>
        <v>3107.7049999999999</v>
      </c>
      <c r="O51" s="130" t="str">
        <f>IF(B51=P51,"SI","NO")</f>
        <v>SI</v>
      </c>
      <c r="P51" s="73" t="s">
        <v>366</v>
      </c>
    </row>
    <row r="52" spans="1:25" x14ac:dyDescent="0.2">
      <c r="A52" s="34" t="s">
        <v>110</v>
      </c>
      <c r="B52" s="33" t="s">
        <v>111</v>
      </c>
      <c r="C52" s="132">
        <f>+FACTURACIÓN!J52-'C&amp;A'!I52</f>
        <v>2762.8</v>
      </c>
      <c r="D52" s="40">
        <v>0</v>
      </c>
      <c r="E52" s="18">
        <f t="shared" si="0"/>
        <v>2762.8</v>
      </c>
      <c r="F52" s="18">
        <f>+FACTURACIÓN!K52</f>
        <v>0</v>
      </c>
      <c r="G52" s="18">
        <f>+FACTURACIÓN!L52</f>
        <v>45.15</v>
      </c>
      <c r="H52" s="18">
        <f>+FACTURACIÓN!M52</f>
        <v>0</v>
      </c>
      <c r="I52" s="18">
        <f>+FACTURACIÓN!N52</f>
        <v>0</v>
      </c>
      <c r="J52" s="18">
        <f>+FACTURACIÓN!O52</f>
        <v>0</v>
      </c>
      <c r="K52" s="18">
        <f>+FACTURACIÓN!P52</f>
        <v>1303.1099999999999</v>
      </c>
      <c r="L52" s="18">
        <f>+FACTURACIÓN!Q52</f>
        <v>0</v>
      </c>
      <c r="M52" s="18">
        <f t="shared" si="1"/>
        <v>1348.26</v>
      </c>
      <c r="N52" s="18">
        <f>+E52-M52</f>
        <v>1414.5400000000002</v>
      </c>
      <c r="O52" s="130" t="str">
        <f>IF(B52=P52,"SI","NO")</f>
        <v>SI</v>
      </c>
      <c r="P52" s="170" t="s">
        <v>111</v>
      </c>
    </row>
    <row r="53" spans="1:25" s="110" customFormat="1" x14ac:dyDescent="0.2">
      <c r="A53" s="34" t="s">
        <v>112</v>
      </c>
      <c r="B53" s="33" t="s">
        <v>113</v>
      </c>
      <c r="C53" s="132">
        <f>+FACTURACIÓN!J53-'C&amp;A'!I53</f>
        <v>6183.8</v>
      </c>
      <c r="D53" s="40">
        <v>0</v>
      </c>
      <c r="E53" s="18">
        <f t="shared" si="0"/>
        <v>6183.8</v>
      </c>
      <c r="F53" s="18">
        <f>+FACTURACIÓN!K53</f>
        <v>0</v>
      </c>
      <c r="G53" s="18">
        <f>+FACTURACIÓN!L53</f>
        <v>45.15</v>
      </c>
      <c r="H53" s="18">
        <f>+FACTURACIÓN!M53</f>
        <v>0</v>
      </c>
      <c r="I53" s="18">
        <f>+FACTURACIÓN!N53</f>
        <v>0</v>
      </c>
      <c r="J53" s="18">
        <f>+FACTURACIÓN!O53</f>
        <v>0</v>
      </c>
      <c r="K53" s="18">
        <f>+FACTURACIÓN!P53</f>
        <v>1041.05</v>
      </c>
      <c r="L53" s="18">
        <f>+FACTURACIÓN!Q53</f>
        <v>737.58500000000004</v>
      </c>
      <c r="M53" s="18">
        <f t="shared" si="1"/>
        <v>1823.7850000000001</v>
      </c>
      <c r="N53" s="18">
        <f>+E53-M53</f>
        <v>4360.0150000000003</v>
      </c>
      <c r="O53" s="130" t="str">
        <f>IF(B53=P53,"SI","NO")</f>
        <v>SI</v>
      </c>
      <c r="P53" s="170" t="s">
        <v>113</v>
      </c>
    </row>
    <row r="54" spans="1:25" s="110" customFormat="1" x14ac:dyDescent="0.2">
      <c r="A54" s="128" t="s">
        <v>114</v>
      </c>
      <c r="B54" s="127" t="s">
        <v>115</v>
      </c>
      <c r="C54" s="132">
        <f>+FACTURACIÓN!J54-'C&amp;A'!I54</f>
        <v>2682.8</v>
      </c>
      <c r="D54" s="113">
        <v>0</v>
      </c>
      <c r="E54" s="18">
        <f t="shared" si="0"/>
        <v>2682.8</v>
      </c>
      <c r="F54" s="18">
        <f>+FACTURACIÓN!K54</f>
        <v>0</v>
      </c>
      <c r="G54" s="18">
        <f>+FACTURACIÓN!L54</f>
        <v>45.15</v>
      </c>
      <c r="H54" s="18">
        <f>+FACTURACIÓN!M54</f>
        <v>0</v>
      </c>
      <c r="I54" s="18">
        <f>+FACTURACIÓN!N54</f>
        <v>0</v>
      </c>
      <c r="J54" s="18">
        <f>+FACTURACIÓN!O54</f>
        <v>0</v>
      </c>
      <c r="K54" s="18">
        <f>+FACTURACIÓN!P54</f>
        <v>0</v>
      </c>
      <c r="L54" s="18">
        <f>+FACTURACIÓN!Q54</f>
        <v>0</v>
      </c>
      <c r="M54" s="18">
        <f t="shared" si="1"/>
        <v>45.15</v>
      </c>
      <c r="N54" s="18">
        <f>+E54-M54</f>
        <v>2637.65</v>
      </c>
      <c r="O54" s="130" t="str">
        <f>IF(B54=P54,"SI","NO")</f>
        <v>SI</v>
      </c>
      <c r="P54" s="170" t="s">
        <v>115</v>
      </c>
    </row>
    <row r="55" spans="1:25" x14ac:dyDescent="0.2">
      <c r="A55" s="111" t="s">
        <v>116</v>
      </c>
      <c r="B55" s="110" t="s">
        <v>117</v>
      </c>
      <c r="C55" s="132">
        <f>+FACTURACIÓN!J55-'C&amp;A'!I55</f>
        <v>11762.8</v>
      </c>
      <c r="D55" s="113">
        <v>0</v>
      </c>
      <c r="E55" s="18">
        <f t="shared" si="0"/>
        <v>11762.8</v>
      </c>
      <c r="F55" s="18">
        <f>+FACTURACIÓN!K55</f>
        <v>0</v>
      </c>
      <c r="G55" s="18">
        <f>+FACTURACIÓN!L55</f>
        <v>45.15</v>
      </c>
      <c r="H55" s="18">
        <f>+FACTURACIÓN!M55</f>
        <v>0</v>
      </c>
      <c r="I55" s="18">
        <f>+FACTURACIÓN!N55</f>
        <v>0</v>
      </c>
      <c r="J55" s="18">
        <f>+FACTURACIÓN!O55</f>
        <v>0</v>
      </c>
      <c r="K55" s="18">
        <f>+FACTURACIÓN!P55</f>
        <v>462.61</v>
      </c>
      <c r="L55" s="18">
        <f>+FACTURACIÓN!Q55</f>
        <v>1295.4850000000001</v>
      </c>
      <c r="M55" s="18">
        <f t="shared" si="1"/>
        <v>1803.2450000000001</v>
      </c>
      <c r="N55" s="18">
        <f>+E55-M55</f>
        <v>9959.5549999999985</v>
      </c>
      <c r="O55" s="130" t="str">
        <f>IF(B55=P55,"SI","NO")</f>
        <v>SI</v>
      </c>
      <c r="P55" s="170" t="s">
        <v>117</v>
      </c>
    </row>
    <row r="56" spans="1:25" x14ac:dyDescent="0.2">
      <c r="A56" s="128" t="s">
        <v>118</v>
      </c>
      <c r="B56" s="127" t="s">
        <v>119</v>
      </c>
      <c r="C56" s="132">
        <f>+FACTURACIÓN!J56-'C&amp;A'!I56</f>
        <v>1708.173897131358</v>
      </c>
      <c r="D56" s="40">
        <v>0</v>
      </c>
      <c r="E56" s="18">
        <f t="shared" si="0"/>
        <v>1708.173897131358</v>
      </c>
      <c r="F56" s="18">
        <f>+FACTURACIÓN!K56</f>
        <v>0</v>
      </c>
      <c r="G56" s="18">
        <f>+FACTURACIÓN!L56</f>
        <v>45.15</v>
      </c>
      <c r="H56" s="18">
        <f>+FACTURACIÓN!M56</f>
        <v>0</v>
      </c>
      <c r="I56" s="18">
        <f>+FACTURACIÓN!N56</f>
        <v>0</v>
      </c>
      <c r="J56" s="18">
        <f>+FACTURACIÓN!O56</f>
        <v>0</v>
      </c>
      <c r="K56" s="18">
        <f>+FACTURACIÓN!P56</f>
        <v>0</v>
      </c>
      <c r="L56" s="18">
        <f>+FACTURACIÓN!Q56</f>
        <v>0</v>
      </c>
      <c r="M56" s="18">
        <f t="shared" si="1"/>
        <v>45.15</v>
      </c>
      <c r="N56" s="18">
        <f>+E56-M56</f>
        <v>1663.0238971313579</v>
      </c>
      <c r="O56" s="130" t="str">
        <f>IF(B56=P56,"SI","NO")</f>
        <v>SI</v>
      </c>
      <c r="P56" s="170" t="s">
        <v>119</v>
      </c>
    </row>
    <row r="57" spans="1:25" x14ac:dyDescent="0.2">
      <c r="A57" s="34" t="s">
        <v>120</v>
      </c>
      <c r="B57" s="33" t="s">
        <v>121</v>
      </c>
      <c r="C57" s="132">
        <f>+FACTURACIÓN!J57-'C&amp;A'!I57</f>
        <v>6262.8</v>
      </c>
      <c r="D57" s="40">
        <v>0</v>
      </c>
      <c r="E57" s="18">
        <f t="shared" si="0"/>
        <v>6262.8</v>
      </c>
      <c r="F57" s="18">
        <f>+FACTURACIÓN!K57</f>
        <v>0</v>
      </c>
      <c r="G57" s="18">
        <f>+FACTURACIÓN!L57</f>
        <v>45.15</v>
      </c>
      <c r="H57" s="18">
        <f>+FACTURACIÓN!M57</f>
        <v>0</v>
      </c>
      <c r="I57" s="18">
        <f>+FACTURACIÓN!N57</f>
        <v>0</v>
      </c>
      <c r="J57" s="18">
        <f>+FACTURACIÓN!O57</f>
        <v>0</v>
      </c>
      <c r="K57" s="18">
        <f>+FACTURACIÓN!P57</f>
        <v>0</v>
      </c>
      <c r="L57" s="18">
        <f>+FACTURACIÓN!Q57</f>
        <v>745.48500000000013</v>
      </c>
      <c r="M57" s="18">
        <f t="shared" si="1"/>
        <v>790.6350000000001</v>
      </c>
      <c r="N57" s="18">
        <f>+E57-M57</f>
        <v>5472.165</v>
      </c>
      <c r="O57" s="130" t="str">
        <f>IF(B57=P57,"SI","NO")</f>
        <v>SI</v>
      </c>
      <c r="P57" s="170" t="s">
        <v>121</v>
      </c>
    </row>
    <row r="58" spans="1:25" x14ac:dyDescent="0.2">
      <c r="A58" s="34" t="s">
        <v>122</v>
      </c>
      <c r="B58" s="33" t="s">
        <v>123</v>
      </c>
      <c r="C58" s="132">
        <f>+FACTURACIÓN!J58-'C&amp;A'!I58</f>
        <v>1908.173897131358</v>
      </c>
      <c r="D58" s="40">
        <v>0</v>
      </c>
      <c r="E58" s="18">
        <f t="shared" si="0"/>
        <v>1908.173897131358</v>
      </c>
      <c r="F58" s="18">
        <f>+FACTURACIÓN!K58</f>
        <v>0</v>
      </c>
      <c r="G58" s="18">
        <f>+FACTURACIÓN!L58</f>
        <v>45.15</v>
      </c>
      <c r="H58" s="18">
        <f>+FACTURACIÓN!M58</f>
        <v>0</v>
      </c>
      <c r="I58" s="18">
        <f>+FACTURACIÓN!N58</f>
        <v>0</v>
      </c>
      <c r="J58" s="18">
        <f>+FACTURACIÓN!O58</f>
        <v>317.80500000000001</v>
      </c>
      <c r="K58" s="18">
        <f>+FACTURACIÓN!P58</f>
        <v>0</v>
      </c>
      <c r="L58" s="18">
        <f>+FACTURACIÓN!Q58</f>
        <v>0</v>
      </c>
      <c r="M58" s="18">
        <f t="shared" si="1"/>
        <v>362.95499999999998</v>
      </c>
      <c r="N58" s="18">
        <f>+E58-M58</f>
        <v>1545.2188971313581</v>
      </c>
      <c r="O58" s="130" t="str">
        <f>IF(B58=P58,"SI","NO")</f>
        <v>SI</v>
      </c>
      <c r="P58" s="170" t="s">
        <v>123</v>
      </c>
    </row>
    <row r="59" spans="1:25" x14ac:dyDescent="0.2">
      <c r="A59" s="34" t="s">
        <v>124</v>
      </c>
      <c r="B59" s="33" t="s">
        <v>125</v>
      </c>
      <c r="C59" s="132">
        <f>+FACTURACIÓN!J59-'C&amp;A'!I59</f>
        <v>2762.8</v>
      </c>
      <c r="D59" s="40">
        <v>0</v>
      </c>
      <c r="E59" s="18">
        <f t="shared" si="0"/>
        <v>2762.8</v>
      </c>
      <c r="F59" s="18">
        <f>+FACTURACIÓN!K59</f>
        <v>0</v>
      </c>
      <c r="G59" s="18">
        <f>+FACTURACIÓN!L59</f>
        <v>45.15</v>
      </c>
      <c r="H59" s="18">
        <f>+FACTURACIÓN!M59</f>
        <v>0</v>
      </c>
      <c r="I59" s="18">
        <f>+FACTURACIÓN!N59</f>
        <v>0</v>
      </c>
      <c r="J59" s="18">
        <f>+FACTURACIÓN!O59</f>
        <v>0</v>
      </c>
      <c r="K59" s="18">
        <f>+FACTURACIÓN!P59</f>
        <v>1309.77</v>
      </c>
      <c r="L59" s="18">
        <f>+FACTURACIÓN!Q59</f>
        <v>0</v>
      </c>
      <c r="M59" s="18">
        <f t="shared" si="1"/>
        <v>1354.92</v>
      </c>
      <c r="N59" s="18">
        <f>+E59-M59</f>
        <v>1407.88</v>
      </c>
      <c r="O59" s="130" t="str">
        <f>IF(B59=P59,"SI","NO")</f>
        <v>SI</v>
      </c>
      <c r="P59" s="170" t="s">
        <v>125</v>
      </c>
    </row>
    <row r="60" spans="1:25" x14ac:dyDescent="0.2">
      <c r="A60" s="34" t="s">
        <v>159</v>
      </c>
      <c r="B60" s="33" t="s">
        <v>14</v>
      </c>
      <c r="C60" s="132">
        <f>+FACTURACIÓN!J60-'C&amp;A'!I60</f>
        <v>4318.8</v>
      </c>
      <c r="D60" s="40">
        <v>0</v>
      </c>
      <c r="E60" s="18">
        <f t="shared" si="0"/>
        <v>4318.8</v>
      </c>
      <c r="F60" s="18">
        <f>+FACTURACIÓN!K60</f>
        <v>0</v>
      </c>
      <c r="G60" s="18">
        <f>+FACTURACIÓN!L60</f>
        <v>45.15</v>
      </c>
      <c r="H60" s="18">
        <f>+FACTURACIÓN!M60</f>
        <v>0</v>
      </c>
      <c r="I60" s="18">
        <f>+FACTURACIÓN!N60</f>
        <v>0</v>
      </c>
      <c r="J60" s="18">
        <f>+FACTURACIÓN!O60</f>
        <v>0</v>
      </c>
      <c r="K60" s="18">
        <f>+FACTURACIÓN!P60</f>
        <v>0</v>
      </c>
      <c r="L60" s="18">
        <f>+FACTURACIÓN!Q60</f>
        <v>551.08500000000004</v>
      </c>
      <c r="M60" s="18">
        <f t="shared" si="1"/>
        <v>596.23500000000001</v>
      </c>
      <c r="N60" s="18">
        <f>+E60-M60</f>
        <v>3722.5650000000001</v>
      </c>
      <c r="O60" s="130" t="str">
        <f>IF(B60=P60,"SI","NO")</f>
        <v>SI</v>
      </c>
      <c r="P60" s="170" t="s">
        <v>14</v>
      </c>
    </row>
    <row r="61" spans="1:25" x14ac:dyDescent="0.2">
      <c r="A61" s="34" t="s">
        <v>126</v>
      </c>
      <c r="B61" s="33" t="s">
        <v>127</v>
      </c>
      <c r="C61" s="132">
        <f>+FACTURACIÓN!J61-'C&amp;A'!I61</f>
        <v>5887.8</v>
      </c>
      <c r="D61" s="40">
        <v>0</v>
      </c>
      <c r="E61" s="18">
        <f t="shared" si="0"/>
        <v>5887.8</v>
      </c>
      <c r="F61" s="18">
        <f>+FACTURACIÓN!K61</f>
        <v>0</v>
      </c>
      <c r="G61" s="18">
        <f>+FACTURACIÓN!L61</f>
        <v>45.15</v>
      </c>
      <c r="H61" s="18">
        <f>+FACTURACIÓN!M61</f>
        <v>0</v>
      </c>
      <c r="I61" s="18">
        <f>+FACTURACIÓN!N61</f>
        <v>0</v>
      </c>
      <c r="J61" s="18">
        <f>+FACTURACIÓN!O61</f>
        <v>0</v>
      </c>
      <c r="K61" s="18">
        <f>+FACTURACIÓN!P61</f>
        <v>288.38</v>
      </c>
      <c r="L61" s="18">
        <f>+FACTURACIÓN!Q61</f>
        <v>707.98500000000013</v>
      </c>
      <c r="M61" s="18">
        <f t="shared" si="1"/>
        <v>1041.5150000000001</v>
      </c>
      <c r="N61" s="18">
        <f>+E61-M61</f>
        <v>4846.2849999999999</v>
      </c>
      <c r="O61" s="130" t="str">
        <f>IF(B61=P61,"SI","NO")</f>
        <v>SI</v>
      </c>
      <c r="P61" s="170" t="s">
        <v>127</v>
      </c>
    </row>
    <row r="62" spans="1:25" x14ac:dyDescent="0.2">
      <c r="A62" s="34" t="s">
        <v>128</v>
      </c>
      <c r="B62" s="33" t="s">
        <v>129</v>
      </c>
      <c r="C62" s="132">
        <f>+FACTURACIÓN!J62-'C&amp;A'!I62</f>
        <v>91289.090000000011</v>
      </c>
      <c r="D62" s="40">
        <v>0</v>
      </c>
      <c r="E62" s="18">
        <f t="shared" si="0"/>
        <v>91289.090000000011</v>
      </c>
      <c r="F62" s="18">
        <f>+FACTURACIÓN!K62</f>
        <v>3000</v>
      </c>
      <c r="G62" s="18">
        <f>+FACTURACIÓN!L62</f>
        <v>45.15</v>
      </c>
      <c r="H62" s="18">
        <f>+FACTURACIÓN!M62</f>
        <v>491.57</v>
      </c>
      <c r="I62" s="18">
        <f>+FACTURACIÓN!N62</f>
        <v>0</v>
      </c>
      <c r="J62" s="18">
        <f>+FACTURACIÓN!O62</f>
        <v>0</v>
      </c>
      <c r="K62" s="18">
        <f>+FACTURACIÓN!P62</f>
        <v>92.96</v>
      </c>
      <c r="L62" s="18">
        <f>+FACTURACIÓN!Q62</f>
        <v>9248.1140000000014</v>
      </c>
      <c r="M62" s="18">
        <f t="shared" si="1"/>
        <v>12877.794000000002</v>
      </c>
      <c r="N62" s="18">
        <f>+E62-M62</f>
        <v>78411.296000000002</v>
      </c>
      <c r="O62" s="130" t="str">
        <f>IF(B62=P62,"SI","NO")</f>
        <v>SI</v>
      </c>
      <c r="P62" s="170" t="s">
        <v>129</v>
      </c>
    </row>
    <row r="63" spans="1:25" x14ac:dyDescent="0.2">
      <c r="A63" s="45"/>
      <c r="B63" s="33"/>
      <c r="C63" s="129"/>
      <c r="D63" s="44"/>
      <c r="E63" s="44"/>
      <c r="F63" s="44"/>
      <c r="G63" s="44"/>
      <c r="H63" s="44"/>
      <c r="L63" s="11"/>
      <c r="M63" s="40"/>
      <c r="N63" s="40"/>
    </row>
    <row r="64" spans="1:25" x14ac:dyDescent="0.2">
      <c r="C64" s="129">
        <f>SUM(C10:C62)</f>
        <v>434911.75227774907</v>
      </c>
      <c r="D64" s="132">
        <f t="shared" ref="D64:Y64" si="3">SUM(D10:D62)</f>
        <v>0</v>
      </c>
      <c r="E64" s="132">
        <f t="shared" si="3"/>
        <v>434911.75227774907</v>
      </c>
      <c r="F64" s="132">
        <f t="shared" si="3"/>
        <v>3500</v>
      </c>
      <c r="G64" s="132">
        <f t="shared" si="3"/>
        <v>2392.9500000000021</v>
      </c>
      <c r="H64" s="132">
        <f t="shared" si="3"/>
        <v>1720.54</v>
      </c>
      <c r="I64" s="132">
        <f t="shared" si="3"/>
        <v>0</v>
      </c>
      <c r="J64" s="132">
        <f t="shared" si="3"/>
        <v>317.80500000000001</v>
      </c>
      <c r="K64" s="132">
        <f t="shared" si="3"/>
        <v>14628.199999999999</v>
      </c>
      <c r="L64" s="132">
        <f t="shared" si="3"/>
        <v>41807.990000000005</v>
      </c>
      <c r="M64" s="132">
        <f t="shared" si="3"/>
        <v>64367.48500000003</v>
      </c>
      <c r="N64" s="132">
        <f t="shared" si="3"/>
        <v>370544.26727774926</v>
      </c>
      <c r="O64" s="132">
        <f t="shared" si="3"/>
        <v>0</v>
      </c>
      <c r="P64" s="132">
        <f t="shared" si="3"/>
        <v>0</v>
      </c>
      <c r="Q64" s="132">
        <f t="shared" si="3"/>
        <v>0</v>
      </c>
      <c r="R64" s="132">
        <f t="shared" si="3"/>
        <v>0</v>
      </c>
      <c r="S64" s="132">
        <f t="shared" si="3"/>
        <v>0</v>
      </c>
      <c r="T64" s="132">
        <f t="shared" si="3"/>
        <v>0</v>
      </c>
      <c r="U64" s="132">
        <f t="shared" si="3"/>
        <v>0</v>
      </c>
      <c r="V64" s="132">
        <f t="shared" si="3"/>
        <v>0</v>
      </c>
      <c r="W64" s="132">
        <f t="shared" si="3"/>
        <v>0</v>
      </c>
      <c r="X64" s="132">
        <f t="shared" si="3"/>
        <v>0</v>
      </c>
      <c r="Y64" s="132">
        <f t="shared" si="3"/>
        <v>0</v>
      </c>
    </row>
    <row r="65" spans="1:14" x14ac:dyDescent="0.2">
      <c r="A65" s="42"/>
      <c r="B65" s="39"/>
      <c r="C65" s="39" t="s">
        <v>15</v>
      </c>
      <c r="D65" s="39" t="s">
        <v>15</v>
      </c>
      <c r="E65" s="39" t="s">
        <v>15</v>
      </c>
      <c r="F65" s="39" t="s">
        <v>15</v>
      </c>
      <c r="G65" s="39" t="s">
        <v>15</v>
      </c>
      <c r="H65" s="39" t="s">
        <v>15</v>
      </c>
      <c r="I65" s="39" t="s">
        <v>15</v>
      </c>
      <c r="J65" s="39" t="s">
        <v>15</v>
      </c>
      <c r="K65" s="39" t="s">
        <v>15</v>
      </c>
      <c r="L65" s="39" t="s">
        <v>15</v>
      </c>
      <c r="M65" s="39" t="s">
        <v>15</v>
      </c>
      <c r="N65" s="39" t="s">
        <v>15</v>
      </c>
    </row>
    <row r="66" spans="1:14" s="39" customFormat="1" x14ac:dyDescent="0.2">
      <c r="A66" s="45" t="s">
        <v>16</v>
      </c>
      <c r="B66" s="33" t="s">
        <v>17</v>
      </c>
      <c r="C66" s="44">
        <f>SUM(C10:C65)</f>
        <v>869823.50455549813</v>
      </c>
      <c r="D66" s="44">
        <f>SUM(D10:D65)</f>
        <v>0</v>
      </c>
      <c r="E66" s="44">
        <f>SUM(E10:E65)</f>
        <v>869823.50455549813</v>
      </c>
      <c r="F66" s="44">
        <f t="shared" ref="F66:G66" si="4">SUM(F10:F65)</f>
        <v>7000</v>
      </c>
      <c r="G66" s="44">
        <f>SUM(G10:G65)</f>
        <v>4785.9000000000042</v>
      </c>
      <c r="H66" s="44">
        <f>SUM(H10:H65)</f>
        <v>3441.08</v>
      </c>
      <c r="I66" s="44">
        <f>SUM(I10:I65)</f>
        <v>0</v>
      </c>
      <c r="J66" s="44">
        <f>SUM(J10:J65)</f>
        <v>635.61</v>
      </c>
      <c r="K66" s="44">
        <f>SUM(K10:K65)</f>
        <v>29256.399999999998</v>
      </c>
      <c r="L66" s="44">
        <f>SUM(L10:L65)</f>
        <v>83615.98000000001</v>
      </c>
      <c r="M66" s="44">
        <f>SUM(M10:M65)</f>
        <v>128734.97000000006</v>
      </c>
      <c r="N66" s="44">
        <f>SUM(N10:N65)</f>
        <v>741088.53455549851</v>
      </c>
    </row>
  </sheetData>
  <mergeCells count="1">
    <mergeCell ref="B1:C1"/>
  </mergeCells>
  <pageMargins left="0.42" right="0.70866141732283472" top="0.42" bottom="0.46" header="0.31496062992125984" footer="0.31496062992125984"/>
  <pageSetup scale="6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>
      <pane xSplit="2" ySplit="9" topLeftCell="I67" activePane="bottomRight" state="frozen"/>
      <selection pane="topRight" activeCell="C1" sqref="C1"/>
      <selection pane="bottomLeft" activeCell="A10" sqref="A10"/>
      <selection pane="bottomRight" activeCell="B73" sqref="B73:I77"/>
    </sheetView>
  </sheetViews>
  <sheetFormatPr baseColWidth="10" defaultRowHeight="11.25" x14ac:dyDescent="0.2"/>
  <cols>
    <col min="1" max="1" width="11.42578125" style="11"/>
    <col min="2" max="2" width="26.5703125" style="11" customWidth="1"/>
    <col min="3" max="3" width="13" style="11" hidden="1" customWidth="1"/>
    <col min="4" max="5" width="16.140625" style="11" hidden="1" customWidth="1"/>
    <col min="6" max="8" width="11.42578125" style="11" hidden="1" customWidth="1"/>
    <col min="9" max="9" width="11.42578125" style="11"/>
    <col min="10" max="11" width="11.42578125" style="110" hidden="1" customWidth="1"/>
    <col min="12" max="12" width="26.5703125" style="110" hidden="1" customWidth="1"/>
    <col min="13" max="16384" width="11.42578125" style="110"/>
  </cols>
  <sheetData>
    <row r="1" spans="1:13" ht="18" customHeight="1" x14ac:dyDescent="0.25">
      <c r="A1" s="35" t="s">
        <v>0</v>
      </c>
      <c r="B1" s="145" t="s">
        <v>17</v>
      </c>
      <c r="C1" s="146"/>
      <c r="D1" s="54"/>
      <c r="E1" s="54"/>
      <c r="F1" s="54"/>
      <c r="G1" s="54"/>
      <c r="H1" s="54"/>
      <c r="I1" s="54"/>
    </row>
    <row r="2" spans="1:13" ht="24.95" customHeight="1" x14ac:dyDescent="0.25">
      <c r="A2" s="36" t="s">
        <v>1</v>
      </c>
      <c r="B2" s="4" t="s">
        <v>156</v>
      </c>
      <c r="C2" s="5"/>
      <c r="D2" s="54"/>
      <c r="E2" s="54"/>
      <c r="F2" s="54"/>
      <c r="G2" s="54"/>
      <c r="H2" s="54"/>
      <c r="I2" s="54"/>
    </row>
    <row r="3" spans="1:13" ht="15.75" x14ac:dyDescent="0.25">
      <c r="A3" s="54"/>
      <c r="B3" s="147" t="s">
        <v>2</v>
      </c>
      <c r="C3" s="139"/>
      <c r="D3" s="54"/>
      <c r="E3" s="54"/>
      <c r="F3" s="54"/>
      <c r="G3" s="54"/>
      <c r="H3" s="54"/>
      <c r="I3" s="54"/>
    </row>
    <row r="4" spans="1:13" ht="15" x14ac:dyDescent="0.25">
      <c r="A4" s="54"/>
      <c r="B4" s="6" t="str">
        <f>+FACTURACIÓN!B4</f>
        <v>Periodo 5 al 5 Quincenal del 01/03/2016 al 15/03/2016</v>
      </c>
      <c r="C4" s="116"/>
      <c r="D4" s="54"/>
      <c r="E4" s="54"/>
      <c r="F4" s="54"/>
      <c r="G4" s="54"/>
      <c r="H4" s="54"/>
      <c r="I4" s="54"/>
    </row>
    <row r="5" spans="1:13" ht="15" x14ac:dyDescent="0.25">
      <c r="A5" s="54"/>
      <c r="B5" s="38" t="s">
        <v>157</v>
      </c>
      <c r="C5" s="54"/>
      <c r="D5" s="54"/>
      <c r="E5" s="54"/>
      <c r="F5" s="54"/>
      <c r="G5" s="54"/>
      <c r="H5" s="54"/>
      <c r="I5" s="54"/>
    </row>
    <row r="6" spans="1:13" ht="15" x14ac:dyDescent="0.25">
      <c r="A6" s="54"/>
      <c r="B6" s="38" t="s">
        <v>3</v>
      </c>
      <c r="C6" s="54"/>
      <c r="D6" s="54"/>
      <c r="E6" s="54"/>
      <c r="F6" s="54"/>
      <c r="G6" s="54"/>
      <c r="H6" s="54"/>
      <c r="I6" s="54"/>
    </row>
    <row r="8" spans="1:13" s="48" customFormat="1" ht="34.5" thickBot="1" x14ac:dyDescent="0.3">
      <c r="A8" s="46" t="s">
        <v>4</v>
      </c>
      <c r="B8" s="8" t="s">
        <v>5</v>
      </c>
      <c r="C8" s="8" t="s">
        <v>6</v>
      </c>
      <c r="D8" s="7" t="s">
        <v>158</v>
      </c>
      <c r="E8" s="7" t="s">
        <v>7</v>
      </c>
      <c r="F8" s="8" t="s">
        <v>8</v>
      </c>
      <c r="G8" s="8" t="s">
        <v>9</v>
      </c>
      <c r="H8" s="7" t="s">
        <v>10</v>
      </c>
      <c r="I8" s="47" t="s">
        <v>11</v>
      </c>
    </row>
    <row r="9" spans="1:13" ht="15.75" thickTop="1" x14ac:dyDescent="0.25">
      <c r="A9" s="54"/>
      <c r="B9" s="54"/>
      <c r="C9" s="54"/>
      <c r="D9" s="54"/>
      <c r="E9" s="54"/>
      <c r="F9" s="54"/>
      <c r="G9" s="54"/>
      <c r="H9" s="54"/>
      <c r="I9" s="54"/>
    </row>
    <row r="10" spans="1:13" x14ac:dyDescent="0.2">
      <c r="A10" s="111" t="s">
        <v>159</v>
      </c>
      <c r="B10" s="110" t="s">
        <v>14</v>
      </c>
      <c r="C10" s="113">
        <v>1095.5999999999999</v>
      </c>
      <c r="D10" s="113">
        <v>0</v>
      </c>
      <c r="E10" s="113">
        <v>1095.5999999999999</v>
      </c>
      <c r="F10" s="114">
        <v>-141.59</v>
      </c>
      <c r="G10" s="114">
        <v>-0.01</v>
      </c>
      <c r="H10" s="113">
        <f t="shared" ref="H10:H41" si="0">SUM(F10:G10)</f>
        <v>-141.6</v>
      </c>
      <c r="I10" s="113">
        <f t="shared" ref="I10:I41" si="1">+E10-H10</f>
        <v>1237.1999999999998</v>
      </c>
      <c r="J10" s="110" t="str">
        <f t="shared" ref="J10:J41" si="2">IF(B10=L10,"SI","NO")</f>
        <v>SI</v>
      </c>
      <c r="K10" s="111" t="s">
        <v>159</v>
      </c>
      <c r="L10" s="110" t="s">
        <v>14</v>
      </c>
      <c r="M10" s="38">
        <v>2952243423</v>
      </c>
    </row>
    <row r="11" spans="1:13" x14ac:dyDescent="0.2">
      <c r="A11" s="111" t="s">
        <v>74</v>
      </c>
      <c r="B11" s="110" t="s">
        <v>75</v>
      </c>
      <c r="C11" s="113">
        <v>1095.5999999999999</v>
      </c>
      <c r="D11" s="113">
        <v>0</v>
      </c>
      <c r="E11" s="113">
        <v>1095.5999999999999</v>
      </c>
      <c r="F11" s="114">
        <v>-141.59</v>
      </c>
      <c r="G11" s="114">
        <v>-0.01</v>
      </c>
      <c r="H11" s="113">
        <f t="shared" si="0"/>
        <v>-141.6</v>
      </c>
      <c r="I11" s="113">
        <f t="shared" si="1"/>
        <v>1237.1999999999998</v>
      </c>
      <c r="J11" s="110" t="str">
        <f t="shared" si="2"/>
        <v>SI</v>
      </c>
      <c r="K11" s="111" t="s">
        <v>74</v>
      </c>
      <c r="L11" s="110" t="s">
        <v>75</v>
      </c>
      <c r="M11" s="110" t="s">
        <v>299</v>
      </c>
    </row>
    <row r="12" spans="1:13" x14ac:dyDescent="0.2">
      <c r="A12" s="111" t="s">
        <v>128</v>
      </c>
      <c r="B12" s="110" t="s">
        <v>129</v>
      </c>
      <c r="C12" s="113">
        <v>1095.5999999999999</v>
      </c>
      <c r="D12" s="113">
        <v>0</v>
      </c>
      <c r="E12" s="113">
        <v>1095.5999999999999</v>
      </c>
      <c r="F12" s="114">
        <v>-141.59</v>
      </c>
      <c r="G12" s="114">
        <v>-0.01</v>
      </c>
      <c r="H12" s="113">
        <f t="shared" si="0"/>
        <v>-141.6</v>
      </c>
      <c r="I12" s="113">
        <f t="shared" si="1"/>
        <v>1237.1999999999998</v>
      </c>
      <c r="J12" s="110" t="str">
        <f t="shared" si="2"/>
        <v>SI</v>
      </c>
      <c r="K12" s="111" t="s">
        <v>128</v>
      </c>
      <c r="L12" s="110" t="s">
        <v>129</v>
      </c>
      <c r="M12" s="110" t="s">
        <v>300</v>
      </c>
    </row>
    <row r="13" spans="1:13" x14ac:dyDescent="0.2">
      <c r="A13" s="111" t="s">
        <v>28</v>
      </c>
      <c r="B13" s="110" t="s">
        <v>29</v>
      </c>
      <c r="C13" s="113">
        <v>1095.5999999999999</v>
      </c>
      <c r="D13" s="113">
        <v>0</v>
      </c>
      <c r="E13" s="113">
        <f>SUM(C13:D13)</f>
        <v>1095.5999999999999</v>
      </c>
      <c r="F13" s="114">
        <v>-141.59</v>
      </c>
      <c r="G13" s="114">
        <v>-0.01</v>
      </c>
      <c r="H13" s="113">
        <f t="shared" si="0"/>
        <v>-141.6</v>
      </c>
      <c r="I13" s="113">
        <f t="shared" si="1"/>
        <v>1237.1999999999998</v>
      </c>
      <c r="J13" s="110" t="str">
        <f t="shared" si="2"/>
        <v>SI</v>
      </c>
      <c r="K13" s="111" t="s">
        <v>28</v>
      </c>
      <c r="L13" s="110" t="s">
        <v>29</v>
      </c>
      <c r="M13" s="110" t="s">
        <v>301</v>
      </c>
    </row>
    <row r="14" spans="1:13" x14ac:dyDescent="0.2">
      <c r="A14" s="111" t="s">
        <v>86</v>
      </c>
      <c r="B14" s="110" t="s">
        <v>87</v>
      </c>
      <c r="C14" s="113">
        <v>1095.5999999999999</v>
      </c>
      <c r="D14" s="113">
        <v>0</v>
      </c>
      <c r="E14" s="113">
        <v>1095.5999999999999</v>
      </c>
      <c r="F14" s="114">
        <v>-141.59</v>
      </c>
      <c r="G14" s="114">
        <v>-0.01</v>
      </c>
      <c r="H14" s="113">
        <f t="shared" si="0"/>
        <v>-141.6</v>
      </c>
      <c r="I14" s="113">
        <f t="shared" si="1"/>
        <v>1237.1999999999998</v>
      </c>
      <c r="J14" s="110" t="str">
        <f t="shared" si="2"/>
        <v>SI</v>
      </c>
      <c r="K14" s="111" t="s">
        <v>86</v>
      </c>
      <c r="L14" s="110" t="s">
        <v>87</v>
      </c>
      <c r="M14" s="110" t="s">
        <v>302</v>
      </c>
    </row>
    <row r="15" spans="1:13" x14ac:dyDescent="0.2">
      <c r="A15" s="111" t="s">
        <v>122</v>
      </c>
      <c r="B15" s="110" t="s">
        <v>123</v>
      </c>
      <c r="C15" s="113">
        <v>1095.5999999999999</v>
      </c>
      <c r="D15" s="113">
        <v>0</v>
      </c>
      <c r="E15" s="113">
        <v>1095.5999999999999</v>
      </c>
      <c r="F15" s="114">
        <v>-141.59</v>
      </c>
      <c r="G15" s="114">
        <v>-0.01</v>
      </c>
      <c r="H15" s="113">
        <f t="shared" si="0"/>
        <v>-141.6</v>
      </c>
      <c r="I15" s="113">
        <f t="shared" si="1"/>
        <v>1237.1999999999998</v>
      </c>
      <c r="J15" s="110" t="str">
        <f t="shared" si="2"/>
        <v>SI</v>
      </c>
      <c r="K15" s="111" t="s">
        <v>122</v>
      </c>
      <c r="L15" s="110" t="s">
        <v>123</v>
      </c>
      <c r="M15" s="110" t="s">
        <v>303</v>
      </c>
    </row>
    <row r="16" spans="1:13" x14ac:dyDescent="0.2">
      <c r="A16" s="111" t="s">
        <v>112</v>
      </c>
      <c r="B16" s="110" t="s">
        <v>113</v>
      </c>
      <c r="C16" s="113">
        <v>1095.5999999999999</v>
      </c>
      <c r="D16" s="113">
        <v>0</v>
      </c>
      <c r="E16" s="113">
        <v>1095.5999999999999</v>
      </c>
      <c r="F16" s="114">
        <v>-141.59</v>
      </c>
      <c r="G16" s="114">
        <v>-0.01</v>
      </c>
      <c r="H16" s="113">
        <f t="shared" si="0"/>
        <v>-141.6</v>
      </c>
      <c r="I16" s="113">
        <f t="shared" si="1"/>
        <v>1237.1999999999998</v>
      </c>
      <c r="J16" s="110" t="str">
        <f t="shared" si="2"/>
        <v>SI</v>
      </c>
      <c r="K16" s="111" t="s">
        <v>112</v>
      </c>
      <c r="L16" s="110" t="s">
        <v>113</v>
      </c>
      <c r="M16" s="110" t="s">
        <v>304</v>
      </c>
    </row>
    <row r="17" spans="1:13" x14ac:dyDescent="0.2">
      <c r="A17" s="111" t="s">
        <v>126</v>
      </c>
      <c r="B17" s="110" t="s">
        <v>127</v>
      </c>
      <c r="C17" s="113">
        <v>1095.5999999999999</v>
      </c>
      <c r="D17" s="113">
        <v>0</v>
      </c>
      <c r="E17" s="113">
        <v>1095.5999999999999</v>
      </c>
      <c r="F17" s="114">
        <v>-141.59</v>
      </c>
      <c r="G17" s="114">
        <v>-0.01</v>
      </c>
      <c r="H17" s="113">
        <f t="shared" si="0"/>
        <v>-141.6</v>
      </c>
      <c r="I17" s="113">
        <f t="shared" si="1"/>
        <v>1237.1999999999998</v>
      </c>
      <c r="J17" s="110" t="str">
        <f t="shared" si="2"/>
        <v>SI</v>
      </c>
      <c r="K17" s="111" t="s">
        <v>126</v>
      </c>
      <c r="L17" s="110" t="s">
        <v>127</v>
      </c>
      <c r="M17" s="110" t="s">
        <v>305</v>
      </c>
    </row>
    <row r="18" spans="1:13" x14ac:dyDescent="0.2">
      <c r="A18" s="111" t="s">
        <v>35</v>
      </c>
      <c r="B18" s="110" t="s">
        <v>36</v>
      </c>
      <c r="C18" s="113">
        <v>1095.5999999999999</v>
      </c>
      <c r="D18" s="113">
        <v>0</v>
      </c>
      <c r="E18" s="113">
        <v>1095.5999999999999</v>
      </c>
      <c r="F18" s="114">
        <v>-141.59</v>
      </c>
      <c r="G18" s="114">
        <v>-0.01</v>
      </c>
      <c r="H18" s="113">
        <f t="shared" si="0"/>
        <v>-141.6</v>
      </c>
      <c r="I18" s="113">
        <f t="shared" si="1"/>
        <v>1237.1999999999998</v>
      </c>
      <c r="J18" s="110" t="str">
        <f t="shared" si="2"/>
        <v>SI</v>
      </c>
      <c r="K18" s="111" t="s">
        <v>35</v>
      </c>
      <c r="L18" s="110" t="s">
        <v>36</v>
      </c>
      <c r="M18" s="110" t="s">
        <v>306</v>
      </c>
    </row>
    <row r="19" spans="1:13" x14ac:dyDescent="0.2">
      <c r="A19" s="111" t="s">
        <v>37</v>
      </c>
      <c r="B19" s="110" t="s">
        <v>38</v>
      </c>
      <c r="C19" s="113">
        <v>1095.5999999999999</v>
      </c>
      <c r="D19" s="113">
        <v>0</v>
      </c>
      <c r="E19" s="113">
        <v>1095.5999999999999</v>
      </c>
      <c r="F19" s="114">
        <v>-141.59</v>
      </c>
      <c r="G19" s="114">
        <v>-0.01</v>
      </c>
      <c r="H19" s="113">
        <f t="shared" si="0"/>
        <v>-141.6</v>
      </c>
      <c r="I19" s="113">
        <f t="shared" si="1"/>
        <v>1237.1999999999998</v>
      </c>
      <c r="J19" s="110" t="str">
        <f t="shared" si="2"/>
        <v>SI</v>
      </c>
      <c r="K19" s="111" t="s">
        <v>37</v>
      </c>
      <c r="L19" s="110" t="s">
        <v>38</v>
      </c>
      <c r="M19" s="110" t="s">
        <v>307</v>
      </c>
    </row>
    <row r="20" spans="1:13" x14ac:dyDescent="0.2">
      <c r="A20" s="111" t="s">
        <v>39</v>
      </c>
      <c r="B20" s="110" t="s">
        <v>40</v>
      </c>
      <c r="C20" s="113">
        <v>1095.5999999999999</v>
      </c>
      <c r="D20" s="113">
        <v>0</v>
      </c>
      <c r="E20" s="113">
        <v>1095.5999999999999</v>
      </c>
      <c r="F20" s="114">
        <v>-141.59</v>
      </c>
      <c r="G20" s="114">
        <v>-0.01</v>
      </c>
      <c r="H20" s="113">
        <f t="shared" si="0"/>
        <v>-141.6</v>
      </c>
      <c r="I20" s="113">
        <f t="shared" si="1"/>
        <v>1237.1999999999998</v>
      </c>
      <c r="J20" s="110" t="str">
        <f t="shared" si="2"/>
        <v>SI</v>
      </c>
      <c r="K20" s="111" t="s">
        <v>39</v>
      </c>
      <c r="L20" s="110" t="s">
        <v>40</v>
      </c>
      <c r="M20" s="110" t="s">
        <v>308</v>
      </c>
    </row>
    <row r="21" spans="1:13" x14ac:dyDescent="0.2">
      <c r="A21" s="111" t="s">
        <v>94</v>
      </c>
      <c r="B21" s="110" t="s">
        <v>95</v>
      </c>
      <c r="C21" s="113">
        <v>1095.5999999999999</v>
      </c>
      <c r="D21" s="113">
        <v>0</v>
      </c>
      <c r="E21" s="113">
        <v>1095.5999999999999</v>
      </c>
      <c r="F21" s="114">
        <v>-141.59</v>
      </c>
      <c r="G21" s="114">
        <v>-0.01</v>
      </c>
      <c r="H21" s="113">
        <f t="shared" si="0"/>
        <v>-141.6</v>
      </c>
      <c r="I21" s="113">
        <f t="shared" si="1"/>
        <v>1237.1999999999998</v>
      </c>
      <c r="J21" s="110" t="str">
        <f t="shared" si="2"/>
        <v>SI</v>
      </c>
      <c r="K21" s="111" t="s">
        <v>94</v>
      </c>
      <c r="L21" s="110" t="s">
        <v>95</v>
      </c>
      <c r="M21" s="110" t="s">
        <v>309</v>
      </c>
    </row>
    <row r="22" spans="1:13" x14ac:dyDescent="0.2">
      <c r="A22" s="111" t="s">
        <v>51</v>
      </c>
      <c r="B22" s="110" t="s">
        <v>52</v>
      </c>
      <c r="C22" s="113">
        <v>1095.5999999999999</v>
      </c>
      <c r="D22" s="113">
        <v>0</v>
      </c>
      <c r="E22" s="113">
        <v>1095.5999999999999</v>
      </c>
      <c r="F22" s="114">
        <v>-141.59</v>
      </c>
      <c r="G22" s="114">
        <v>-0.01</v>
      </c>
      <c r="H22" s="113">
        <f t="shared" si="0"/>
        <v>-141.6</v>
      </c>
      <c r="I22" s="113">
        <f t="shared" si="1"/>
        <v>1237.1999999999998</v>
      </c>
      <c r="J22" s="110" t="str">
        <f t="shared" si="2"/>
        <v>SI</v>
      </c>
      <c r="K22" s="111" t="s">
        <v>51</v>
      </c>
      <c r="L22" s="110" t="s">
        <v>52</v>
      </c>
      <c r="M22" s="110" t="s">
        <v>310</v>
      </c>
    </row>
    <row r="23" spans="1:13" x14ac:dyDescent="0.2">
      <c r="A23" s="111" t="s">
        <v>76</v>
      </c>
      <c r="B23" s="110" t="s">
        <v>77</v>
      </c>
      <c r="C23" s="113">
        <v>1095.5999999999999</v>
      </c>
      <c r="D23" s="113">
        <v>0</v>
      </c>
      <c r="E23" s="113">
        <v>1095.5999999999999</v>
      </c>
      <c r="F23" s="114">
        <v>-141.59</v>
      </c>
      <c r="G23" s="113">
        <v>0.19</v>
      </c>
      <c r="H23" s="113">
        <f t="shared" si="0"/>
        <v>-141.4</v>
      </c>
      <c r="I23" s="113">
        <f t="shared" si="1"/>
        <v>1237</v>
      </c>
      <c r="J23" s="110" t="str">
        <f t="shared" si="2"/>
        <v>SI</v>
      </c>
      <c r="K23" s="111" t="s">
        <v>76</v>
      </c>
      <c r="L23" s="110" t="s">
        <v>77</v>
      </c>
      <c r="M23" s="110" t="s">
        <v>311</v>
      </c>
    </row>
    <row r="24" spans="1:13" x14ac:dyDescent="0.2">
      <c r="A24" s="111" t="s">
        <v>116</v>
      </c>
      <c r="B24" s="110" t="s">
        <v>117</v>
      </c>
      <c r="C24" s="113">
        <v>1095.5999999999999</v>
      </c>
      <c r="D24" s="113">
        <v>0</v>
      </c>
      <c r="E24" s="113">
        <v>1095.5999999999999</v>
      </c>
      <c r="F24" s="114">
        <v>-141.59</v>
      </c>
      <c r="G24" s="114">
        <v>-0.01</v>
      </c>
      <c r="H24" s="113">
        <f t="shared" si="0"/>
        <v>-141.6</v>
      </c>
      <c r="I24" s="113">
        <f t="shared" si="1"/>
        <v>1237.1999999999998</v>
      </c>
      <c r="J24" s="110" t="str">
        <f t="shared" si="2"/>
        <v>SI</v>
      </c>
      <c r="K24" s="111" t="s">
        <v>116</v>
      </c>
      <c r="L24" s="110" t="s">
        <v>117</v>
      </c>
      <c r="M24" s="110" t="s">
        <v>312</v>
      </c>
    </row>
    <row r="25" spans="1:13" x14ac:dyDescent="0.2">
      <c r="A25" s="111" t="s">
        <v>58</v>
      </c>
      <c r="B25" s="110" t="s">
        <v>59</v>
      </c>
      <c r="C25" s="113">
        <v>1095.5999999999999</v>
      </c>
      <c r="D25" s="113">
        <v>0</v>
      </c>
      <c r="E25" s="113">
        <v>1095.5999999999999</v>
      </c>
      <c r="F25" s="114">
        <v>-141.59</v>
      </c>
      <c r="G25" s="114">
        <v>-0.01</v>
      </c>
      <c r="H25" s="113">
        <f t="shared" si="0"/>
        <v>-141.6</v>
      </c>
      <c r="I25" s="113">
        <f t="shared" si="1"/>
        <v>1237.1999999999998</v>
      </c>
      <c r="J25" s="110" t="str">
        <f t="shared" si="2"/>
        <v>SI</v>
      </c>
      <c r="K25" s="111" t="s">
        <v>58</v>
      </c>
      <c r="L25" s="110" t="s">
        <v>59</v>
      </c>
      <c r="M25" s="110" t="s">
        <v>313</v>
      </c>
    </row>
    <row r="26" spans="1:13" x14ac:dyDescent="0.2">
      <c r="A26" s="111" t="s">
        <v>62</v>
      </c>
      <c r="B26" s="110" t="s">
        <v>63</v>
      </c>
      <c r="C26" s="113">
        <v>1095.5999999999999</v>
      </c>
      <c r="D26" s="113">
        <v>0</v>
      </c>
      <c r="E26" s="113">
        <v>1095.5999999999999</v>
      </c>
      <c r="F26" s="114">
        <v>-141.59</v>
      </c>
      <c r="G26" s="114">
        <v>-0.01</v>
      </c>
      <c r="H26" s="113">
        <f t="shared" si="0"/>
        <v>-141.6</v>
      </c>
      <c r="I26" s="113">
        <f t="shared" si="1"/>
        <v>1237.1999999999998</v>
      </c>
      <c r="J26" s="110" t="str">
        <f t="shared" si="2"/>
        <v>SI</v>
      </c>
      <c r="K26" s="111" t="s">
        <v>62</v>
      </c>
      <c r="L26" s="110" t="s">
        <v>63</v>
      </c>
      <c r="M26" s="110" t="s">
        <v>314</v>
      </c>
    </row>
    <row r="27" spans="1:13" x14ac:dyDescent="0.2">
      <c r="A27" s="111" t="s">
        <v>82</v>
      </c>
      <c r="B27" s="110" t="s">
        <v>83</v>
      </c>
      <c r="C27" s="113">
        <v>1095.5999999999999</v>
      </c>
      <c r="D27" s="113">
        <v>0</v>
      </c>
      <c r="E27" s="113">
        <v>1095.5999999999999</v>
      </c>
      <c r="F27" s="114">
        <v>-141.59</v>
      </c>
      <c r="G27" s="114">
        <v>-0.01</v>
      </c>
      <c r="H27" s="113">
        <f t="shared" si="0"/>
        <v>-141.6</v>
      </c>
      <c r="I27" s="113">
        <f t="shared" si="1"/>
        <v>1237.1999999999998</v>
      </c>
      <c r="J27" s="110" t="str">
        <f t="shared" si="2"/>
        <v>SI</v>
      </c>
      <c r="K27" s="111" t="s">
        <v>82</v>
      </c>
      <c r="L27" s="110" t="s">
        <v>83</v>
      </c>
      <c r="M27" s="110" t="s">
        <v>315</v>
      </c>
    </row>
    <row r="28" spans="1:13" x14ac:dyDescent="0.2">
      <c r="A28" s="111" t="s">
        <v>84</v>
      </c>
      <c r="B28" s="110" t="s">
        <v>85</v>
      </c>
      <c r="C28" s="113">
        <v>1095.5999999999999</v>
      </c>
      <c r="D28" s="113">
        <v>0</v>
      </c>
      <c r="E28" s="113">
        <v>1095.5999999999999</v>
      </c>
      <c r="F28" s="114">
        <v>-141.59</v>
      </c>
      <c r="G28" s="114">
        <v>-0.01</v>
      </c>
      <c r="H28" s="113">
        <f t="shared" si="0"/>
        <v>-141.6</v>
      </c>
      <c r="I28" s="113">
        <f t="shared" si="1"/>
        <v>1237.1999999999998</v>
      </c>
      <c r="J28" s="110" t="str">
        <f t="shared" si="2"/>
        <v>SI</v>
      </c>
      <c r="K28" s="111" t="s">
        <v>84</v>
      </c>
      <c r="L28" s="110" t="s">
        <v>85</v>
      </c>
      <c r="M28" s="110" t="s">
        <v>316</v>
      </c>
    </row>
    <row r="29" spans="1:13" x14ac:dyDescent="0.2">
      <c r="A29" s="111" t="s">
        <v>47</v>
      </c>
      <c r="B29" s="110" t="s">
        <v>48</v>
      </c>
      <c r="C29" s="113">
        <v>1095.5999999999999</v>
      </c>
      <c r="D29" s="113">
        <v>0</v>
      </c>
      <c r="E29" s="113">
        <v>1095.5999999999999</v>
      </c>
      <c r="F29" s="114">
        <v>-141.59</v>
      </c>
      <c r="G29" s="114">
        <v>-0.01</v>
      </c>
      <c r="H29" s="113">
        <f t="shared" si="0"/>
        <v>-141.6</v>
      </c>
      <c r="I29" s="113">
        <f t="shared" si="1"/>
        <v>1237.1999999999998</v>
      </c>
      <c r="J29" s="110" t="str">
        <f t="shared" si="2"/>
        <v>SI</v>
      </c>
      <c r="K29" s="111" t="s">
        <v>47</v>
      </c>
      <c r="L29" s="110" t="s">
        <v>48</v>
      </c>
      <c r="M29" s="110" t="s">
        <v>317</v>
      </c>
    </row>
    <row r="30" spans="1:13" x14ac:dyDescent="0.2">
      <c r="A30" s="111" t="s">
        <v>78</v>
      </c>
      <c r="B30" s="110" t="s">
        <v>79</v>
      </c>
      <c r="C30" s="113">
        <v>1095.5999999999999</v>
      </c>
      <c r="D30" s="113">
        <v>0</v>
      </c>
      <c r="E30" s="113">
        <v>1095.5999999999999</v>
      </c>
      <c r="F30" s="114">
        <v>-141.59</v>
      </c>
      <c r="G30" s="114">
        <v>-0.01</v>
      </c>
      <c r="H30" s="113">
        <f t="shared" si="0"/>
        <v>-141.6</v>
      </c>
      <c r="I30" s="113">
        <f t="shared" si="1"/>
        <v>1237.1999999999998</v>
      </c>
      <c r="J30" s="110" t="str">
        <f t="shared" si="2"/>
        <v>SI</v>
      </c>
      <c r="K30" s="111" t="s">
        <v>78</v>
      </c>
      <c r="L30" s="110" t="s">
        <v>79</v>
      </c>
      <c r="M30" s="110" t="s">
        <v>318</v>
      </c>
    </row>
    <row r="31" spans="1:13" x14ac:dyDescent="0.2">
      <c r="A31" s="111" t="s">
        <v>106</v>
      </c>
      <c r="B31" s="110" t="s">
        <v>107</v>
      </c>
      <c r="C31" s="113">
        <v>1095.5999999999999</v>
      </c>
      <c r="D31" s="113">
        <v>0</v>
      </c>
      <c r="E31" s="113">
        <v>1095.5999999999999</v>
      </c>
      <c r="F31" s="114">
        <v>-141.59</v>
      </c>
      <c r="G31" s="114">
        <v>-0.01</v>
      </c>
      <c r="H31" s="113">
        <f t="shared" si="0"/>
        <v>-141.6</v>
      </c>
      <c r="I31" s="113">
        <f t="shared" si="1"/>
        <v>1237.1999999999998</v>
      </c>
      <c r="J31" s="110" t="str">
        <f t="shared" si="2"/>
        <v>SI</v>
      </c>
      <c r="K31" s="111" t="s">
        <v>106</v>
      </c>
      <c r="L31" s="110" t="s">
        <v>107</v>
      </c>
      <c r="M31" s="110" t="s">
        <v>319</v>
      </c>
    </row>
    <row r="32" spans="1:13" x14ac:dyDescent="0.2">
      <c r="A32" s="111" t="s">
        <v>31</v>
      </c>
      <c r="B32" s="110" t="s">
        <v>32</v>
      </c>
      <c r="C32" s="113">
        <v>1095.5999999999999</v>
      </c>
      <c r="D32" s="113">
        <v>0</v>
      </c>
      <c r="E32" s="113">
        <v>1095.5999999999999</v>
      </c>
      <c r="F32" s="114">
        <v>-141.59</v>
      </c>
      <c r="G32" s="114">
        <v>-0.01</v>
      </c>
      <c r="H32" s="113">
        <f t="shared" si="0"/>
        <v>-141.6</v>
      </c>
      <c r="I32" s="113">
        <f t="shared" si="1"/>
        <v>1237.1999999999998</v>
      </c>
      <c r="J32" s="110" t="str">
        <f t="shared" si="2"/>
        <v>SI</v>
      </c>
      <c r="K32" s="111" t="s">
        <v>31</v>
      </c>
      <c r="L32" s="110" t="s">
        <v>32</v>
      </c>
      <c r="M32" s="110" t="s">
        <v>320</v>
      </c>
    </row>
    <row r="33" spans="1:13" x14ac:dyDescent="0.2">
      <c r="A33" s="111" t="s">
        <v>90</v>
      </c>
      <c r="B33" s="110" t="s">
        <v>91</v>
      </c>
      <c r="C33" s="113">
        <v>1095.5999999999999</v>
      </c>
      <c r="D33" s="113">
        <v>0</v>
      </c>
      <c r="E33" s="113">
        <v>1095.5999999999999</v>
      </c>
      <c r="F33" s="114">
        <v>-141.59</v>
      </c>
      <c r="G33" s="114">
        <v>-0.01</v>
      </c>
      <c r="H33" s="113">
        <f t="shared" si="0"/>
        <v>-141.6</v>
      </c>
      <c r="I33" s="113">
        <f t="shared" si="1"/>
        <v>1237.1999999999998</v>
      </c>
      <c r="J33" s="110" t="str">
        <f t="shared" si="2"/>
        <v>SI</v>
      </c>
      <c r="K33" s="111" t="s">
        <v>90</v>
      </c>
      <c r="L33" s="110" t="s">
        <v>91</v>
      </c>
      <c r="M33" s="110" t="s">
        <v>321</v>
      </c>
    </row>
    <row r="34" spans="1:13" x14ac:dyDescent="0.2">
      <c r="A34" s="111" t="s">
        <v>68</v>
      </c>
      <c r="B34" s="110" t="s">
        <v>69</v>
      </c>
      <c r="C34" s="113">
        <v>1095.5999999999999</v>
      </c>
      <c r="D34" s="113">
        <v>0</v>
      </c>
      <c r="E34" s="113">
        <v>1095.5999999999999</v>
      </c>
      <c r="F34" s="114">
        <v>-141.59</v>
      </c>
      <c r="G34" s="114">
        <v>-0.01</v>
      </c>
      <c r="H34" s="113">
        <f t="shared" si="0"/>
        <v>-141.6</v>
      </c>
      <c r="I34" s="113">
        <f t="shared" si="1"/>
        <v>1237.1999999999998</v>
      </c>
      <c r="J34" s="110" t="str">
        <f t="shared" si="2"/>
        <v>SI</v>
      </c>
      <c r="K34" s="111" t="s">
        <v>68</v>
      </c>
      <c r="L34" s="110" t="s">
        <v>69</v>
      </c>
      <c r="M34" s="110" t="s">
        <v>322</v>
      </c>
    </row>
    <row r="35" spans="1:13" x14ac:dyDescent="0.2">
      <c r="A35" s="111" t="s">
        <v>88</v>
      </c>
      <c r="B35" s="110" t="s">
        <v>89</v>
      </c>
      <c r="C35" s="113">
        <v>1095.5999999999999</v>
      </c>
      <c r="D35" s="113">
        <v>0</v>
      </c>
      <c r="E35" s="113">
        <v>1095.5999999999999</v>
      </c>
      <c r="F35" s="114">
        <v>-141.59</v>
      </c>
      <c r="G35" s="114">
        <v>-0.01</v>
      </c>
      <c r="H35" s="113">
        <f t="shared" si="0"/>
        <v>-141.6</v>
      </c>
      <c r="I35" s="113">
        <f t="shared" si="1"/>
        <v>1237.1999999999998</v>
      </c>
      <c r="J35" s="110" t="str">
        <f t="shared" si="2"/>
        <v>SI</v>
      </c>
      <c r="K35" s="111" t="s">
        <v>88</v>
      </c>
      <c r="L35" s="110" t="s">
        <v>89</v>
      </c>
      <c r="M35" s="110" t="s">
        <v>323</v>
      </c>
    </row>
    <row r="36" spans="1:13" x14ac:dyDescent="0.2">
      <c r="A36" s="111" t="s">
        <v>72</v>
      </c>
      <c r="B36" s="110" t="s">
        <v>73</v>
      </c>
      <c r="C36" s="113">
        <v>1095.5999999999999</v>
      </c>
      <c r="D36" s="113">
        <v>0</v>
      </c>
      <c r="E36" s="113">
        <v>1095.5999999999999</v>
      </c>
      <c r="F36" s="114">
        <v>-141.59</v>
      </c>
      <c r="G36" s="114">
        <v>-0.01</v>
      </c>
      <c r="H36" s="113">
        <f t="shared" si="0"/>
        <v>-141.6</v>
      </c>
      <c r="I36" s="113">
        <f t="shared" si="1"/>
        <v>1237.1999999999998</v>
      </c>
      <c r="J36" s="110" t="str">
        <f t="shared" si="2"/>
        <v>SI</v>
      </c>
      <c r="K36" s="111" t="s">
        <v>72</v>
      </c>
      <c r="L36" s="110" t="s">
        <v>73</v>
      </c>
      <c r="M36" s="110" t="s">
        <v>324</v>
      </c>
    </row>
    <row r="37" spans="1:13" x14ac:dyDescent="0.2">
      <c r="A37" s="111" t="s">
        <v>12</v>
      </c>
      <c r="B37" s="110" t="s">
        <v>30</v>
      </c>
      <c r="C37" s="113">
        <v>1095.5999999999999</v>
      </c>
      <c r="D37" s="113">
        <v>0</v>
      </c>
      <c r="E37" s="113">
        <v>1095.5999999999999</v>
      </c>
      <c r="F37" s="114">
        <v>-141.59</v>
      </c>
      <c r="G37" s="114">
        <v>-0.01</v>
      </c>
      <c r="H37" s="113">
        <f t="shared" si="0"/>
        <v>-141.6</v>
      </c>
      <c r="I37" s="113">
        <f t="shared" si="1"/>
        <v>1237.1999999999998</v>
      </c>
      <c r="J37" s="110" t="str">
        <f t="shared" si="2"/>
        <v>SI</v>
      </c>
      <c r="K37" s="111" t="s">
        <v>12</v>
      </c>
      <c r="L37" s="110" t="s">
        <v>30</v>
      </c>
      <c r="M37" s="110" t="s">
        <v>325</v>
      </c>
    </row>
    <row r="38" spans="1:13" x14ac:dyDescent="0.2">
      <c r="A38" s="111" t="s">
        <v>70</v>
      </c>
      <c r="B38" s="110" t="s">
        <v>71</v>
      </c>
      <c r="C38" s="113">
        <v>1095.5999999999999</v>
      </c>
      <c r="D38" s="113">
        <v>0</v>
      </c>
      <c r="E38" s="113">
        <v>1095.5999999999999</v>
      </c>
      <c r="F38" s="114">
        <v>-141.59</v>
      </c>
      <c r="G38" s="114">
        <v>-0.01</v>
      </c>
      <c r="H38" s="113">
        <f t="shared" si="0"/>
        <v>-141.6</v>
      </c>
      <c r="I38" s="113">
        <f t="shared" si="1"/>
        <v>1237.1999999999998</v>
      </c>
      <c r="J38" s="110" t="str">
        <f t="shared" si="2"/>
        <v>SI</v>
      </c>
      <c r="K38" s="111" t="s">
        <v>70</v>
      </c>
      <c r="L38" s="110" t="s">
        <v>71</v>
      </c>
      <c r="M38" s="110" t="s">
        <v>326</v>
      </c>
    </row>
    <row r="39" spans="1:13" x14ac:dyDescent="0.2">
      <c r="A39" s="111" t="s">
        <v>80</v>
      </c>
      <c r="B39" s="110" t="s">
        <v>81</v>
      </c>
      <c r="C39" s="113">
        <v>1095.5999999999999</v>
      </c>
      <c r="D39" s="113">
        <v>0</v>
      </c>
      <c r="E39" s="113">
        <v>1095.5999999999999</v>
      </c>
      <c r="F39" s="114">
        <v>-141.59</v>
      </c>
      <c r="G39" s="113">
        <v>0.19</v>
      </c>
      <c r="H39" s="113">
        <f t="shared" si="0"/>
        <v>-141.4</v>
      </c>
      <c r="I39" s="113">
        <f t="shared" si="1"/>
        <v>1237</v>
      </c>
      <c r="J39" s="110" t="str">
        <f t="shared" si="2"/>
        <v>SI</v>
      </c>
      <c r="K39" s="111" t="s">
        <v>80</v>
      </c>
      <c r="L39" s="110" t="s">
        <v>81</v>
      </c>
      <c r="M39" s="110" t="s">
        <v>327</v>
      </c>
    </row>
    <row r="40" spans="1:13" x14ac:dyDescent="0.2">
      <c r="A40" s="111" t="s">
        <v>104</v>
      </c>
      <c r="B40" s="110" t="s">
        <v>105</v>
      </c>
      <c r="C40" s="113">
        <v>1095.5999999999999</v>
      </c>
      <c r="D40" s="113">
        <v>0</v>
      </c>
      <c r="E40" s="113">
        <v>1095.5999999999999</v>
      </c>
      <c r="F40" s="114">
        <v>-141.59</v>
      </c>
      <c r="G40" s="114">
        <v>-0.01</v>
      </c>
      <c r="H40" s="113">
        <f t="shared" si="0"/>
        <v>-141.6</v>
      </c>
      <c r="I40" s="113">
        <f t="shared" si="1"/>
        <v>1237.1999999999998</v>
      </c>
      <c r="J40" s="110" t="str">
        <f t="shared" si="2"/>
        <v>SI</v>
      </c>
      <c r="K40" s="111" t="s">
        <v>104</v>
      </c>
      <c r="L40" s="110" t="s">
        <v>105</v>
      </c>
      <c r="M40" s="110" t="s">
        <v>328</v>
      </c>
    </row>
    <row r="41" spans="1:13" x14ac:dyDescent="0.2">
      <c r="A41" s="111" t="s">
        <v>45</v>
      </c>
      <c r="B41" s="110" t="s">
        <v>46</v>
      </c>
      <c r="C41" s="113">
        <v>1095.5999999999999</v>
      </c>
      <c r="D41" s="113">
        <v>0</v>
      </c>
      <c r="E41" s="113">
        <v>1095.5999999999999</v>
      </c>
      <c r="F41" s="114">
        <v>-141.59</v>
      </c>
      <c r="G41" s="114">
        <v>-0.01</v>
      </c>
      <c r="H41" s="113">
        <f t="shared" si="0"/>
        <v>-141.6</v>
      </c>
      <c r="I41" s="113">
        <f t="shared" si="1"/>
        <v>1237.1999999999998</v>
      </c>
      <c r="J41" s="110" t="str">
        <f t="shared" si="2"/>
        <v>SI</v>
      </c>
      <c r="K41" s="111" t="s">
        <v>45</v>
      </c>
      <c r="L41" s="110" t="s">
        <v>46</v>
      </c>
      <c r="M41" s="110" t="s">
        <v>329</v>
      </c>
    </row>
    <row r="42" spans="1:13" x14ac:dyDescent="0.2">
      <c r="A42" s="111" t="s">
        <v>108</v>
      </c>
      <c r="B42" s="110" t="s">
        <v>109</v>
      </c>
      <c r="C42" s="113">
        <v>1095.5999999999999</v>
      </c>
      <c r="D42" s="113">
        <v>0</v>
      </c>
      <c r="E42" s="113">
        <v>1095.5999999999999</v>
      </c>
      <c r="F42" s="114">
        <v>-141.59</v>
      </c>
      <c r="G42" s="114">
        <v>-0.01</v>
      </c>
      <c r="H42" s="113">
        <f t="shared" ref="H42:H58" si="3">SUM(F42:G42)</f>
        <v>-141.6</v>
      </c>
      <c r="I42" s="113">
        <f t="shared" ref="I42:I58" si="4">+E42-H42</f>
        <v>1237.1999999999998</v>
      </c>
      <c r="J42" s="110" t="str">
        <f t="shared" ref="J42:J58" si="5">IF(B42=L42,"SI","NO")</f>
        <v>SI</v>
      </c>
      <c r="K42" s="111" t="s">
        <v>108</v>
      </c>
      <c r="L42" s="110" t="s">
        <v>109</v>
      </c>
      <c r="M42" s="110" t="s">
        <v>330</v>
      </c>
    </row>
    <row r="43" spans="1:13" x14ac:dyDescent="0.2">
      <c r="A43" s="111" t="s">
        <v>60</v>
      </c>
      <c r="B43" s="110" t="s">
        <v>61</v>
      </c>
      <c r="C43" s="113">
        <v>1095.5999999999999</v>
      </c>
      <c r="D43" s="113">
        <v>0</v>
      </c>
      <c r="E43" s="113">
        <v>1095.5999999999999</v>
      </c>
      <c r="F43" s="114">
        <v>-141.59</v>
      </c>
      <c r="G43" s="114">
        <v>-0.01</v>
      </c>
      <c r="H43" s="113">
        <f t="shared" si="3"/>
        <v>-141.6</v>
      </c>
      <c r="I43" s="113">
        <f t="shared" si="4"/>
        <v>1237.1999999999998</v>
      </c>
      <c r="J43" s="110" t="str">
        <f t="shared" si="5"/>
        <v>SI</v>
      </c>
      <c r="K43" s="111" t="s">
        <v>60</v>
      </c>
      <c r="L43" s="110" t="s">
        <v>61</v>
      </c>
      <c r="M43" s="110" t="s">
        <v>331</v>
      </c>
    </row>
    <row r="44" spans="1:13" x14ac:dyDescent="0.2">
      <c r="A44" s="111" t="s">
        <v>92</v>
      </c>
      <c r="B44" s="110" t="s">
        <v>93</v>
      </c>
      <c r="C44" s="113">
        <v>1095.5999999999999</v>
      </c>
      <c r="D44" s="113">
        <v>0</v>
      </c>
      <c r="E44" s="113">
        <v>1095.5999999999999</v>
      </c>
      <c r="F44" s="114">
        <v>-141.59</v>
      </c>
      <c r="G44" s="114">
        <v>-0.01</v>
      </c>
      <c r="H44" s="113">
        <f t="shared" si="3"/>
        <v>-141.6</v>
      </c>
      <c r="I44" s="113">
        <f t="shared" si="4"/>
        <v>1237.1999999999998</v>
      </c>
      <c r="J44" s="110" t="str">
        <f t="shared" si="5"/>
        <v>SI</v>
      </c>
      <c r="K44" s="111" t="s">
        <v>92</v>
      </c>
      <c r="L44" s="110" t="s">
        <v>93</v>
      </c>
      <c r="M44" s="110" t="s">
        <v>332</v>
      </c>
    </row>
    <row r="45" spans="1:13" x14ac:dyDescent="0.2">
      <c r="A45" s="111" t="s">
        <v>100</v>
      </c>
      <c r="B45" s="110" t="s">
        <v>101</v>
      </c>
      <c r="C45" s="113">
        <v>1095.5999999999999</v>
      </c>
      <c r="D45" s="113">
        <v>0</v>
      </c>
      <c r="E45" s="113">
        <v>1095.5999999999999</v>
      </c>
      <c r="F45" s="114">
        <v>-141.59</v>
      </c>
      <c r="G45" s="114">
        <v>-0.01</v>
      </c>
      <c r="H45" s="113">
        <f t="shared" si="3"/>
        <v>-141.6</v>
      </c>
      <c r="I45" s="113">
        <f t="shared" si="4"/>
        <v>1237.1999999999998</v>
      </c>
      <c r="J45" s="110" t="str">
        <f t="shared" si="5"/>
        <v>SI</v>
      </c>
      <c r="K45" s="111" t="s">
        <v>100</v>
      </c>
      <c r="L45" s="110" t="s">
        <v>101</v>
      </c>
      <c r="M45" s="110" t="s">
        <v>333</v>
      </c>
    </row>
    <row r="46" spans="1:13" x14ac:dyDescent="0.2">
      <c r="A46" s="111" t="s">
        <v>110</v>
      </c>
      <c r="B46" s="110" t="s">
        <v>111</v>
      </c>
      <c r="C46" s="113">
        <v>1095.5999999999999</v>
      </c>
      <c r="D46" s="113">
        <v>0</v>
      </c>
      <c r="E46" s="113">
        <v>1095.5999999999999</v>
      </c>
      <c r="F46" s="114">
        <v>-141.59</v>
      </c>
      <c r="G46" s="114">
        <v>-0.01</v>
      </c>
      <c r="H46" s="113">
        <f t="shared" si="3"/>
        <v>-141.6</v>
      </c>
      <c r="I46" s="113">
        <f t="shared" si="4"/>
        <v>1237.1999999999998</v>
      </c>
      <c r="J46" s="110" t="str">
        <f t="shared" si="5"/>
        <v>SI</v>
      </c>
      <c r="K46" s="111" t="s">
        <v>110</v>
      </c>
      <c r="L46" s="110" t="s">
        <v>111</v>
      </c>
      <c r="M46" s="110" t="s">
        <v>334</v>
      </c>
    </row>
    <row r="47" spans="1:13" x14ac:dyDescent="0.2">
      <c r="A47" s="111" t="s">
        <v>33</v>
      </c>
      <c r="B47" s="110" t="s">
        <v>34</v>
      </c>
      <c r="C47" s="113">
        <v>1095.5999999999999</v>
      </c>
      <c r="D47" s="113">
        <v>0</v>
      </c>
      <c r="E47" s="113">
        <v>1095.5999999999999</v>
      </c>
      <c r="F47" s="114">
        <v>-141.59</v>
      </c>
      <c r="G47" s="114">
        <v>-0.01</v>
      </c>
      <c r="H47" s="113">
        <f t="shared" si="3"/>
        <v>-141.6</v>
      </c>
      <c r="I47" s="113">
        <f t="shared" si="4"/>
        <v>1237.1999999999998</v>
      </c>
      <c r="J47" s="110" t="str">
        <f t="shared" si="5"/>
        <v>SI</v>
      </c>
      <c r="K47" s="111" t="s">
        <v>33</v>
      </c>
      <c r="L47" s="110" t="s">
        <v>34</v>
      </c>
      <c r="M47" s="110" t="s">
        <v>335</v>
      </c>
    </row>
    <row r="48" spans="1:13" x14ac:dyDescent="0.2">
      <c r="A48" s="111" t="s">
        <v>55</v>
      </c>
      <c r="B48" s="110" t="s">
        <v>56</v>
      </c>
      <c r="C48" s="113">
        <v>1095.5999999999999</v>
      </c>
      <c r="D48" s="113">
        <v>0</v>
      </c>
      <c r="E48" s="113">
        <v>1095.5999999999999</v>
      </c>
      <c r="F48" s="114">
        <v>-141.59</v>
      </c>
      <c r="G48" s="114">
        <v>-0.01</v>
      </c>
      <c r="H48" s="113">
        <f t="shared" si="3"/>
        <v>-141.6</v>
      </c>
      <c r="I48" s="113">
        <f t="shared" si="4"/>
        <v>1237.1999999999998</v>
      </c>
      <c r="J48" s="110" t="str">
        <f t="shared" si="5"/>
        <v>SI</v>
      </c>
      <c r="K48" s="111" t="s">
        <v>55</v>
      </c>
      <c r="L48" s="110" t="s">
        <v>56</v>
      </c>
      <c r="M48" s="110" t="s">
        <v>336</v>
      </c>
    </row>
    <row r="49" spans="1:13" x14ac:dyDescent="0.2">
      <c r="A49" s="111" t="s">
        <v>118</v>
      </c>
      <c r="B49" s="110" t="s">
        <v>119</v>
      </c>
      <c r="C49" s="113">
        <v>1095.5999999999999</v>
      </c>
      <c r="D49" s="113">
        <v>0</v>
      </c>
      <c r="E49" s="113">
        <v>1095.5999999999999</v>
      </c>
      <c r="F49" s="114">
        <v>-141.59</v>
      </c>
      <c r="G49" s="114">
        <v>-0.01</v>
      </c>
      <c r="H49" s="113">
        <f t="shared" si="3"/>
        <v>-141.6</v>
      </c>
      <c r="I49" s="113">
        <f t="shared" si="4"/>
        <v>1237.1999999999998</v>
      </c>
      <c r="J49" s="110" t="str">
        <f t="shared" si="5"/>
        <v>SI</v>
      </c>
      <c r="K49" s="111" t="s">
        <v>118</v>
      </c>
      <c r="L49" s="110" t="s">
        <v>119</v>
      </c>
      <c r="M49" s="110" t="s">
        <v>337</v>
      </c>
    </row>
    <row r="50" spans="1:13" x14ac:dyDescent="0.2">
      <c r="A50" s="111" t="s">
        <v>98</v>
      </c>
      <c r="B50" s="110" t="s">
        <v>99</v>
      </c>
      <c r="C50" s="113">
        <v>1095.5999999999999</v>
      </c>
      <c r="D50" s="113">
        <v>0</v>
      </c>
      <c r="E50" s="113">
        <v>1095.5999999999999</v>
      </c>
      <c r="F50" s="114">
        <v>-141.59</v>
      </c>
      <c r="G50" s="113">
        <v>0.19</v>
      </c>
      <c r="H50" s="113">
        <f t="shared" si="3"/>
        <v>-141.4</v>
      </c>
      <c r="I50" s="113">
        <f t="shared" si="4"/>
        <v>1237</v>
      </c>
      <c r="J50" s="110" t="str">
        <f t="shared" si="5"/>
        <v>SI</v>
      </c>
      <c r="K50" s="111" t="s">
        <v>98</v>
      </c>
      <c r="L50" s="110" t="s">
        <v>99</v>
      </c>
      <c r="M50" s="110" t="s">
        <v>338</v>
      </c>
    </row>
    <row r="51" spans="1:13" x14ac:dyDescent="0.2">
      <c r="A51" s="111" t="s">
        <v>124</v>
      </c>
      <c r="B51" s="110" t="s">
        <v>125</v>
      </c>
      <c r="C51" s="113">
        <v>1095.5999999999999</v>
      </c>
      <c r="D51" s="113">
        <v>0</v>
      </c>
      <c r="E51" s="113">
        <v>1095.5999999999999</v>
      </c>
      <c r="F51" s="114">
        <v>-141.59</v>
      </c>
      <c r="G51" s="114">
        <v>-0.01</v>
      </c>
      <c r="H51" s="113">
        <f t="shared" si="3"/>
        <v>-141.6</v>
      </c>
      <c r="I51" s="113">
        <f t="shared" si="4"/>
        <v>1237.1999999999998</v>
      </c>
      <c r="J51" s="110" t="str">
        <f t="shared" si="5"/>
        <v>SI</v>
      </c>
      <c r="K51" s="111" t="s">
        <v>124</v>
      </c>
      <c r="L51" s="110" t="s">
        <v>125</v>
      </c>
      <c r="M51" s="110" t="s">
        <v>339</v>
      </c>
    </row>
    <row r="52" spans="1:13" x14ac:dyDescent="0.2">
      <c r="A52" s="111" t="s">
        <v>49</v>
      </c>
      <c r="B52" s="110" t="s">
        <v>50</v>
      </c>
      <c r="C52" s="113">
        <v>1095.5999999999999</v>
      </c>
      <c r="D52" s="113">
        <v>0</v>
      </c>
      <c r="E52" s="113">
        <v>1095.5999999999999</v>
      </c>
      <c r="F52" s="114">
        <v>-141.59</v>
      </c>
      <c r="G52" s="114">
        <v>-0.01</v>
      </c>
      <c r="H52" s="113">
        <f t="shared" si="3"/>
        <v>-141.6</v>
      </c>
      <c r="I52" s="113">
        <f t="shared" si="4"/>
        <v>1237.1999999999998</v>
      </c>
      <c r="J52" s="110" t="str">
        <f t="shared" si="5"/>
        <v>SI</v>
      </c>
      <c r="K52" s="111" t="s">
        <v>49</v>
      </c>
      <c r="L52" s="110" t="s">
        <v>50</v>
      </c>
      <c r="M52" s="110" t="s">
        <v>340</v>
      </c>
    </row>
    <row r="53" spans="1:13" x14ac:dyDescent="0.2">
      <c r="A53" s="111" t="s">
        <v>66</v>
      </c>
      <c r="B53" s="110" t="s">
        <v>67</v>
      </c>
      <c r="C53" s="113">
        <v>1095.5999999999999</v>
      </c>
      <c r="D53" s="113">
        <v>0</v>
      </c>
      <c r="E53" s="113">
        <v>1095.5999999999999</v>
      </c>
      <c r="F53" s="114">
        <v>-141.59</v>
      </c>
      <c r="G53" s="114">
        <v>-0.01</v>
      </c>
      <c r="H53" s="113">
        <f t="shared" si="3"/>
        <v>-141.6</v>
      </c>
      <c r="I53" s="113">
        <f t="shared" si="4"/>
        <v>1237.1999999999998</v>
      </c>
      <c r="J53" s="110" t="str">
        <f t="shared" si="5"/>
        <v>SI</v>
      </c>
      <c r="K53" s="111" t="s">
        <v>66</v>
      </c>
      <c r="L53" s="110" t="s">
        <v>67</v>
      </c>
      <c r="M53" s="110" t="s">
        <v>341</v>
      </c>
    </row>
    <row r="54" spans="1:13" x14ac:dyDescent="0.2">
      <c r="A54" s="111" t="s">
        <v>96</v>
      </c>
      <c r="B54" s="110" t="s">
        <v>97</v>
      </c>
      <c r="C54" s="113">
        <v>1095.5999999999999</v>
      </c>
      <c r="D54" s="113">
        <v>0</v>
      </c>
      <c r="E54" s="113">
        <v>1095.5999999999999</v>
      </c>
      <c r="F54" s="114">
        <v>-141.59</v>
      </c>
      <c r="G54" s="114">
        <v>-0.01</v>
      </c>
      <c r="H54" s="113">
        <f t="shared" si="3"/>
        <v>-141.6</v>
      </c>
      <c r="I54" s="113">
        <f t="shared" si="4"/>
        <v>1237.1999999999998</v>
      </c>
      <c r="J54" s="110" t="str">
        <f t="shared" si="5"/>
        <v>SI</v>
      </c>
      <c r="K54" s="111" t="s">
        <v>96</v>
      </c>
      <c r="L54" s="110" t="s">
        <v>97</v>
      </c>
      <c r="M54" s="110" t="s">
        <v>342</v>
      </c>
    </row>
    <row r="55" spans="1:13" x14ac:dyDescent="0.2">
      <c r="A55" s="111" t="s">
        <v>64</v>
      </c>
      <c r="B55" s="110" t="s">
        <v>65</v>
      </c>
      <c r="C55" s="113">
        <v>1095.5999999999999</v>
      </c>
      <c r="D55" s="113">
        <v>0</v>
      </c>
      <c r="E55" s="113">
        <v>1095.5999999999999</v>
      </c>
      <c r="F55" s="114">
        <v>-141.59</v>
      </c>
      <c r="G55" s="114">
        <v>-0.01</v>
      </c>
      <c r="H55" s="113">
        <f t="shared" si="3"/>
        <v>-141.6</v>
      </c>
      <c r="I55" s="113">
        <f t="shared" si="4"/>
        <v>1237.1999999999998</v>
      </c>
      <c r="J55" s="110" t="str">
        <f t="shared" si="5"/>
        <v>SI</v>
      </c>
      <c r="K55" s="111" t="s">
        <v>64</v>
      </c>
      <c r="L55" s="110" t="s">
        <v>65</v>
      </c>
      <c r="M55" s="110" t="s">
        <v>343</v>
      </c>
    </row>
    <row r="56" spans="1:13" x14ac:dyDescent="0.2">
      <c r="A56" s="111" t="s">
        <v>114</v>
      </c>
      <c r="B56" s="110" t="s">
        <v>115</v>
      </c>
      <c r="C56" s="113">
        <v>1095.5999999999999</v>
      </c>
      <c r="D56" s="113">
        <v>0</v>
      </c>
      <c r="E56" s="113">
        <v>1095.5999999999999</v>
      </c>
      <c r="F56" s="114">
        <v>-141.59</v>
      </c>
      <c r="G56" s="114">
        <v>-0.01</v>
      </c>
      <c r="H56" s="113">
        <f t="shared" si="3"/>
        <v>-141.6</v>
      </c>
      <c r="I56" s="113">
        <f t="shared" si="4"/>
        <v>1237.1999999999998</v>
      </c>
      <c r="J56" s="110" t="str">
        <f t="shared" si="5"/>
        <v>SI</v>
      </c>
      <c r="K56" s="111" t="s">
        <v>114</v>
      </c>
      <c r="L56" s="110" t="s">
        <v>115</v>
      </c>
      <c r="M56" s="110" t="s">
        <v>344</v>
      </c>
    </row>
    <row r="57" spans="1:13" x14ac:dyDescent="0.2">
      <c r="A57" s="111" t="s">
        <v>41</v>
      </c>
      <c r="B57" s="110" t="s">
        <v>42</v>
      </c>
      <c r="C57" s="113">
        <v>1095.5999999999999</v>
      </c>
      <c r="D57" s="113">
        <v>0</v>
      </c>
      <c r="E57" s="113">
        <v>1095.5999999999999</v>
      </c>
      <c r="F57" s="114">
        <v>-141.59</v>
      </c>
      <c r="G57" s="114">
        <v>-0.01</v>
      </c>
      <c r="H57" s="113">
        <f t="shared" si="3"/>
        <v>-141.6</v>
      </c>
      <c r="I57" s="113">
        <f t="shared" si="4"/>
        <v>1237.1999999999998</v>
      </c>
      <c r="J57" s="110" t="str">
        <f t="shared" si="5"/>
        <v>SI</v>
      </c>
      <c r="K57" s="111" t="s">
        <v>41</v>
      </c>
      <c r="L57" s="110" t="s">
        <v>42</v>
      </c>
      <c r="M57" s="110" t="s">
        <v>345</v>
      </c>
    </row>
    <row r="58" spans="1:13" x14ac:dyDescent="0.2">
      <c r="A58" s="111" t="s">
        <v>13</v>
      </c>
      <c r="B58" s="110" t="s">
        <v>57</v>
      </c>
      <c r="C58" s="113">
        <v>1095.5999999999999</v>
      </c>
      <c r="D58" s="113">
        <v>0</v>
      </c>
      <c r="E58" s="113">
        <v>1095.5999999999999</v>
      </c>
      <c r="F58" s="114">
        <v>-141.59</v>
      </c>
      <c r="G58" s="114">
        <v>-0.01</v>
      </c>
      <c r="H58" s="113">
        <f t="shared" si="3"/>
        <v>-141.6</v>
      </c>
      <c r="I58" s="113">
        <f t="shared" si="4"/>
        <v>1237.1999999999998</v>
      </c>
      <c r="J58" s="110" t="str">
        <f t="shared" si="5"/>
        <v>SI</v>
      </c>
      <c r="K58" s="111" t="s">
        <v>13</v>
      </c>
      <c r="L58" s="110" t="s">
        <v>57</v>
      </c>
      <c r="M58" s="110" t="s">
        <v>346</v>
      </c>
    </row>
    <row r="59" spans="1:13" ht="12" thickBot="1" x14ac:dyDescent="0.25">
      <c r="A59" s="111"/>
      <c r="B59" s="110"/>
      <c r="C59" s="113"/>
      <c r="D59" s="113"/>
      <c r="E59" s="113"/>
      <c r="F59" s="114"/>
      <c r="G59" s="114"/>
      <c r="H59" s="113"/>
      <c r="I59" s="123">
        <f>SUM(I10:I58)</f>
        <v>60622.199999999953</v>
      </c>
      <c r="K59" s="111"/>
    </row>
    <row r="60" spans="1:13" ht="12" thickTop="1" x14ac:dyDescent="0.2">
      <c r="A60" s="111"/>
      <c r="B60" s="110"/>
      <c r="C60" s="113"/>
      <c r="D60" s="113"/>
      <c r="E60" s="113"/>
      <c r="F60" s="114"/>
      <c r="G60" s="114"/>
      <c r="H60" s="113"/>
      <c r="I60" s="113"/>
      <c r="K60" s="111"/>
    </row>
    <row r="61" spans="1:13" x14ac:dyDescent="0.2">
      <c r="A61" s="111" t="s">
        <v>120</v>
      </c>
      <c r="B61" s="110" t="s">
        <v>121</v>
      </c>
      <c r="C61" s="113">
        <v>1095.5999999999999</v>
      </c>
      <c r="D61" s="113">
        <v>0</v>
      </c>
      <c r="E61" s="113">
        <v>1095.5999999999999</v>
      </c>
      <c r="F61" s="114">
        <v>-141.59</v>
      </c>
      <c r="G61" s="114">
        <v>-0.01</v>
      </c>
      <c r="H61" s="113">
        <f>SUM(F61:G61)</f>
        <v>-141.6</v>
      </c>
      <c r="I61" s="113">
        <f>+E61-H61</f>
        <v>1237.1999999999998</v>
      </c>
      <c r="J61" s="110" t="str">
        <f>IF(B61=L61,"SI","NO")</f>
        <v>SI</v>
      </c>
      <c r="K61" s="111" t="s">
        <v>120</v>
      </c>
      <c r="L61" s="110" t="s">
        <v>121</v>
      </c>
      <c r="M61" s="110" t="s">
        <v>348</v>
      </c>
    </row>
    <row r="62" spans="1:13" ht="12" thickBot="1" x14ac:dyDescent="0.25">
      <c r="A62" s="111"/>
      <c r="B62" s="110"/>
      <c r="C62" s="113"/>
      <c r="D62" s="113"/>
      <c r="E62" s="113"/>
      <c r="F62" s="114"/>
      <c r="G62" s="114"/>
      <c r="H62" s="113"/>
      <c r="I62" s="123">
        <f>SUM(I61)</f>
        <v>1237.1999999999998</v>
      </c>
      <c r="K62" s="111"/>
    </row>
    <row r="63" spans="1:13" ht="12" thickTop="1" x14ac:dyDescent="0.2">
      <c r="A63" s="111"/>
      <c r="B63" s="110"/>
      <c r="C63" s="113"/>
      <c r="D63" s="113"/>
      <c r="E63" s="113"/>
      <c r="F63" s="114"/>
      <c r="G63" s="114"/>
      <c r="H63" s="113"/>
      <c r="I63" s="113"/>
      <c r="K63" s="111"/>
    </row>
    <row r="64" spans="1:13" x14ac:dyDescent="0.2">
      <c r="A64" s="111" t="s">
        <v>53</v>
      </c>
      <c r="B64" s="110" t="s">
        <v>54</v>
      </c>
      <c r="C64" s="113">
        <v>1095.5999999999999</v>
      </c>
      <c r="D64" s="113">
        <v>0</v>
      </c>
      <c r="E64" s="113">
        <v>1095.5999999999999</v>
      </c>
      <c r="F64" s="114">
        <v>-141.59</v>
      </c>
      <c r="G64" s="114">
        <v>-0.01</v>
      </c>
      <c r="H64" s="113">
        <f>SUM(F64:G64)</f>
        <v>-141.6</v>
      </c>
      <c r="I64" s="113">
        <f>+E64-H64</f>
        <v>1237.1999999999998</v>
      </c>
      <c r="J64" s="110" t="str">
        <f>IF(B64=L64,"SI","NO")</f>
        <v>SI</v>
      </c>
      <c r="K64" s="111" t="s">
        <v>53</v>
      </c>
      <c r="L64" s="110" t="s">
        <v>54</v>
      </c>
      <c r="M64" s="110" t="s">
        <v>347</v>
      </c>
    </row>
    <row r="65" spans="1:14" ht="12" thickBot="1" x14ac:dyDescent="0.25">
      <c r="A65" s="111"/>
      <c r="B65" s="110"/>
      <c r="C65" s="113"/>
      <c r="D65" s="113"/>
      <c r="E65" s="113"/>
      <c r="F65" s="114"/>
      <c r="G65" s="114"/>
      <c r="H65" s="113"/>
      <c r="I65" s="123">
        <f>SUM(I64)</f>
        <v>1237.1999999999998</v>
      </c>
      <c r="K65" s="111"/>
    </row>
    <row r="66" spans="1:14" ht="12" thickTop="1" x14ac:dyDescent="0.2">
      <c r="A66" s="111"/>
      <c r="B66" s="110"/>
      <c r="C66" s="113"/>
      <c r="D66" s="113"/>
      <c r="E66" s="113"/>
      <c r="F66" s="114"/>
      <c r="G66" s="114"/>
      <c r="H66" s="113"/>
      <c r="I66" s="113"/>
      <c r="K66" s="111"/>
    </row>
    <row r="67" spans="1:14" x14ac:dyDescent="0.2">
      <c r="A67" s="111" t="s">
        <v>137</v>
      </c>
      <c r="B67" s="110" t="s">
        <v>153</v>
      </c>
      <c r="C67" s="113">
        <v>1095.5999999999999</v>
      </c>
      <c r="D67" s="113">
        <v>0</v>
      </c>
      <c r="E67" s="113">
        <v>1095.5999999999999</v>
      </c>
      <c r="F67" s="114">
        <v>-141.59</v>
      </c>
      <c r="G67" s="114">
        <v>-0.01</v>
      </c>
      <c r="H67" s="113">
        <f>SUM(F67:G67)</f>
        <v>-141.6</v>
      </c>
      <c r="I67" s="113">
        <f>+E67-H67</f>
        <v>1237.1999999999998</v>
      </c>
      <c r="J67" s="110" t="str">
        <f>IF(B67=L67,"SI","NO")</f>
        <v>SI</v>
      </c>
      <c r="K67" s="111" t="s">
        <v>137</v>
      </c>
      <c r="L67" s="110" t="s">
        <v>153</v>
      </c>
      <c r="M67" s="110" t="s">
        <v>349</v>
      </c>
    </row>
    <row r="68" spans="1:14" x14ac:dyDescent="0.2">
      <c r="A68" s="111" t="s">
        <v>43</v>
      </c>
      <c r="B68" s="110" t="s">
        <v>44</v>
      </c>
      <c r="C68" s="113">
        <v>1095.5999999999999</v>
      </c>
      <c r="D68" s="113">
        <v>0</v>
      </c>
      <c r="E68" s="113">
        <v>1095.5999999999999</v>
      </c>
      <c r="F68" s="114">
        <v>-141.59</v>
      </c>
      <c r="G68" s="114">
        <v>-0.01</v>
      </c>
      <c r="H68" s="113">
        <f>SUM(F68:G68)</f>
        <v>-141.6</v>
      </c>
      <c r="I68" s="113">
        <f>+E68-H68</f>
        <v>1237.1999999999998</v>
      </c>
      <c r="J68" s="110" t="str">
        <f>IF(B68=L68,"SI","NO")</f>
        <v>SI</v>
      </c>
      <c r="K68" s="111" t="s">
        <v>43</v>
      </c>
      <c r="L68" s="110" t="s">
        <v>44</v>
      </c>
      <c r="M68" s="110" t="s">
        <v>349</v>
      </c>
    </row>
    <row r="69" spans="1:14" x14ac:dyDescent="0.2">
      <c r="A69" s="111" t="s">
        <v>154</v>
      </c>
      <c r="B69" s="110" t="s">
        <v>352</v>
      </c>
      <c r="C69" s="113">
        <v>1095.5999999999999</v>
      </c>
      <c r="D69" s="113">
        <v>0</v>
      </c>
      <c r="E69" s="113">
        <v>1095.5999999999999</v>
      </c>
      <c r="F69" s="114">
        <v>-141.59</v>
      </c>
      <c r="G69" s="114">
        <v>-0.01</v>
      </c>
      <c r="H69" s="113">
        <f>SUM(F69:G69)</f>
        <v>-141.6</v>
      </c>
      <c r="I69" s="113">
        <f>+E69-H69</f>
        <v>1237.1999999999998</v>
      </c>
      <c r="J69" s="110" t="str">
        <f>IF(B69=L69,"SI","NO")</f>
        <v>NO</v>
      </c>
      <c r="K69" s="111" t="s">
        <v>154</v>
      </c>
      <c r="L69" s="110" t="s">
        <v>155</v>
      </c>
      <c r="M69" s="110" t="s">
        <v>349</v>
      </c>
    </row>
    <row r="70" spans="1:14" x14ac:dyDescent="0.2">
      <c r="A70" s="111" t="s">
        <v>102</v>
      </c>
      <c r="B70" s="110" t="s">
        <v>353</v>
      </c>
      <c r="C70" s="113">
        <v>1095.5999999999999</v>
      </c>
      <c r="D70" s="113">
        <v>0</v>
      </c>
      <c r="E70" s="113">
        <v>1095.5999999999999</v>
      </c>
      <c r="F70" s="114">
        <v>-141.59</v>
      </c>
      <c r="G70" s="114">
        <v>-0.01</v>
      </c>
      <c r="H70" s="113">
        <f>SUM(F70:G70)</f>
        <v>-141.6</v>
      </c>
      <c r="I70" s="113">
        <f>+E70-H70</f>
        <v>1237.1999999999998</v>
      </c>
      <c r="J70" s="110" t="str">
        <f>IF(B70=L70,"SI","NO")</f>
        <v>NO</v>
      </c>
      <c r="K70" s="111" t="s">
        <v>102</v>
      </c>
      <c r="L70" s="110" t="s">
        <v>103</v>
      </c>
      <c r="M70" s="110" t="s">
        <v>349</v>
      </c>
    </row>
    <row r="71" spans="1:14" ht="12" thickBot="1" x14ac:dyDescent="0.25">
      <c r="A71" s="45"/>
      <c r="B71" s="110"/>
      <c r="C71" s="44"/>
      <c r="D71" s="44"/>
      <c r="E71" s="44"/>
      <c r="I71" s="122">
        <f>SUM(I67:I70)</f>
        <v>4948.7999999999993</v>
      </c>
      <c r="K71" s="118"/>
      <c r="L71" s="119"/>
      <c r="M71" s="119"/>
      <c r="N71" s="119"/>
    </row>
    <row r="72" spans="1:14" ht="12" thickTop="1" x14ac:dyDescent="0.2"/>
    <row r="73" spans="1:14" x14ac:dyDescent="0.2">
      <c r="B73" s="120" t="s">
        <v>350</v>
      </c>
      <c r="I73" s="18">
        <f>+I59</f>
        <v>60622.199999999953</v>
      </c>
    </row>
    <row r="74" spans="1:14" x14ac:dyDescent="0.2">
      <c r="B74" s="120" t="s">
        <v>348</v>
      </c>
      <c r="I74" s="11">
        <f>+I62</f>
        <v>1237.1999999999998</v>
      </c>
    </row>
    <row r="75" spans="1:14" x14ac:dyDescent="0.2">
      <c r="B75" s="120" t="s">
        <v>351</v>
      </c>
      <c r="I75" s="18">
        <f>+I65</f>
        <v>1237.1999999999998</v>
      </c>
    </row>
    <row r="76" spans="1:14" x14ac:dyDescent="0.2">
      <c r="B76" s="121" t="s">
        <v>349</v>
      </c>
      <c r="I76" s="18">
        <f>+I71</f>
        <v>4948.7999999999993</v>
      </c>
    </row>
    <row r="77" spans="1:14" ht="12" thickBot="1" x14ac:dyDescent="0.25">
      <c r="I77" s="122">
        <f>SUM(I73:I76)</f>
        <v>68045.399999999951</v>
      </c>
    </row>
    <row r="78" spans="1:14" ht="12" thickTop="1" x14ac:dyDescent="0.2"/>
  </sheetData>
  <sortState ref="A10:M64">
    <sortCondition ref="M10:M64"/>
  </sortState>
  <mergeCells count="2">
    <mergeCell ref="B1:C1"/>
    <mergeCell ref="B3:C3"/>
  </mergeCells>
  <pageMargins left="0.70866141732283472" right="0.70866141732283472" top="0.28000000000000003" bottom="0.39370078740157483" header="0.2" footer="0.19685039370078741"/>
  <pageSetup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workbookViewId="0">
      <pane xSplit="2" ySplit="9" topLeftCell="G61" activePane="bottomRight" state="frozen"/>
      <selection pane="topRight" activeCell="C1" sqref="C1"/>
      <selection pane="bottomLeft" activeCell="A10" sqref="A10"/>
      <selection pane="bottomRight" activeCell="I76" sqref="I76"/>
    </sheetView>
  </sheetViews>
  <sheetFormatPr baseColWidth="10" defaultRowHeight="11.25" x14ac:dyDescent="0.2"/>
  <cols>
    <col min="1" max="1" width="11.42578125" style="11"/>
    <col min="2" max="2" width="26.5703125" style="11" bestFit="1" customWidth="1"/>
    <col min="3" max="3" width="11.42578125" style="11"/>
    <col min="4" max="4" width="13" style="11" customWidth="1"/>
    <col min="5" max="5" width="14.85546875" style="11" customWidth="1"/>
    <col min="6" max="6" width="11.42578125" style="11"/>
    <col min="7" max="10" width="9.28515625" style="11" customWidth="1"/>
    <col min="11" max="12" width="9.28515625" style="110" customWidth="1"/>
    <col min="13" max="13" width="8.85546875" style="110" customWidth="1"/>
    <col min="14" max="16384" width="11.42578125" style="110"/>
  </cols>
  <sheetData>
    <row r="1" spans="1:20" ht="18" customHeight="1" x14ac:dyDescent="0.25">
      <c r="A1" s="35" t="s">
        <v>0</v>
      </c>
      <c r="B1" s="145" t="s">
        <v>17</v>
      </c>
      <c r="C1" s="146"/>
      <c r="D1" s="54"/>
      <c r="E1" s="54"/>
      <c r="F1" s="54"/>
      <c r="G1" s="54"/>
      <c r="H1" s="54"/>
      <c r="I1" s="54"/>
      <c r="J1" s="54"/>
    </row>
    <row r="2" spans="1:20" ht="24.95" customHeight="1" x14ac:dyDescent="0.25">
      <c r="A2" s="36" t="s">
        <v>1</v>
      </c>
      <c r="B2" s="4" t="s">
        <v>156</v>
      </c>
      <c r="C2" s="5"/>
      <c r="D2" s="54"/>
      <c r="E2" s="54"/>
      <c r="F2" s="54"/>
      <c r="G2" s="54"/>
      <c r="H2" s="54"/>
      <c r="I2" s="54"/>
      <c r="J2" s="54"/>
    </row>
    <row r="3" spans="1:20" ht="15.75" x14ac:dyDescent="0.25">
      <c r="A3" s="54"/>
      <c r="B3" s="53" t="s">
        <v>2</v>
      </c>
      <c r="C3" s="116"/>
      <c r="D3" s="54"/>
      <c r="E3" s="54"/>
      <c r="F3" s="54"/>
      <c r="G3" s="54"/>
      <c r="H3" s="54"/>
      <c r="I3" s="54"/>
      <c r="J3" s="54"/>
    </row>
    <row r="4" spans="1:20" ht="15" x14ac:dyDescent="0.25">
      <c r="A4" s="54"/>
      <c r="B4" s="6" t="str">
        <f>+FACTURACIÓN!B4</f>
        <v>Periodo 5 al 5 Quincenal del 01/03/2016 al 15/03/2016</v>
      </c>
      <c r="C4" s="116"/>
      <c r="D4" s="54"/>
      <c r="E4" s="54"/>
      <c r="F4" s="54"/>
      <c r="G4" s="54"/>
      <c r="H4" s="54"/>
      <c r="I4" s="54"/>
      <c r="J4" s="54"/>
    </row>
    <row r="5" spans="1:20" ht="15" x14ac:dyDescent="0.25">
      <c r="A5" s="54"/>
      <c r="B5" s="38" t="s">
        <v>157</v>
      </c>
      <c r="C5" s="54"/>
      <c r="D5" s="54"/>
      <c r="E5" s="54"/>
      <c r="F5" s="54"/>
      <c r="G5" s="54"/>
      <c r="H5" s="56"/>
      <c r="I5" s="54"/>
      <c r="J5" s="54"/>
    </row>
    <row r="6" spans="1:20" ht="15" x14ac:dyDescent="0.25">
      <c r="A6" s="54"/>
      <c r="B6" s="38" t="s">
        <v>3</v>
      </c>
      <c r="C6" s="54"/>
      <c r="D6" s="54"/>
      <c r="E6" s="54"/>
      <c r="F6" s="54"/>
      <c r="G6" s="54"/>
      <c r="H6" s="56"/>
      <c r="I6" s="54"/>
      <c r="J6" s="54"/>
    </row>
    <row r="8" spans="1:20" s="48" customFormat="1" ht="34.5" thickBot="1" x14ac:dyDescent="0.3">
      <c r="A8" s="46" t="s">
        <v>4</v>
      </c>
      <c r="B8" s="8" t="s">
        <v>5</v>
      </c>
      <c r="C8" s="8" t="s">
        <v>162</v>
      </c>
      <c r="D8" s="7" t="s">
        <v>158</v>
      </c>
      <c r="E8" s="7" t="s">
        <v>7</v>
      </c>
      <c r="F8" s="17" t="s">
        <v>296</v>
      </c>
      <c r="G8" s="17" t="s">
        <v>293</v>
      </c>
      <c r="H8" s="17" t="s">
        <v>27</v>
      </c>
      <c r="I8" s="17" t="s">
        <v>187</v>
      </c>
      <c r="J8" s="17" t="s">
        <v>290</v>
      </c>
      <c r="K8" s="17" t="s">
        <v>289</v>
      </c>
      <c r="L8" s="17" t="s">
        <v>152</v>
      </c>
      <c r="M8" s="17" t="s">
        <v>23</v>
      </c>
      <c r="N8" s="7" t="s">
        <v>10</v>
      </c>
      <c r="O8" s="47" t="s">
        <v>11</v>
      </c>
    </row>
    <row r="9" spans="1:20" ht="15.75" thickTop="1" x14ac:dyDescent="0.2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20" x14ac:dyDescent="0.2">
      <c r="A10" s="111" t="s">
        <v>28</v>
      </c>
      <c r="B10" s="110" t="s">
        <v>166</v>
      </c>
      <c r="C10" s="113">
        <f>+FACTURACIÓN!C10+FACTURACIÓN!D10+FACTURACIÓN!E10+FACTURACIÓN!F10+FACTURACIÓN!G10+FACTURACIÓN!H10+FACTURACIÓN!I10-'C&amp;A'!I10</f>
        <v>4766.7</v>
      </c>
      <c r="D10" s="113">
        <v>0</v>
      </c>
      <c r="E10" s="18">
        <f>SUM(C10:D10)</f>
        <v>4766.7</v>
      </c>
      <c r="F10" s="18" t="e">
        <f>+FACTURACIÓN!#REF!</f>
        <v>#REF!</v>
      </c>
      <c r="G10" s="18">
        <f>+FACTURACIÓN!K10</f>
        <v>0</v>
      </c>
      <c r="H10" s="18">
        <f>+FACTURACIÓN!L10</f>
        <v>45.15</v>
      </c>
      <c r="I10" s="18">
        <f>+FACTURACIÓN!M10</f>
        <v>0</v>
      </c>
      <c r="J10" s="18">
        <f>+FACTURACIÓN!N10</f>
        <v>0</v>
      </c>
      <c r="K10" s="18">
        <f>+FACTURACIÓN!O10</f>
        <v>0</v>
      </c>
      <c r="L10" s="18">
        <f>+FACTURACIÓN!P10</f>
        <v>957.82</v>
      </c>
      <c r="M10" s="21">
        <v>0</v>
      </c>
      <c r="N10" s="18" t="e">
        <f>SUM(F10:M10)</f>
        <v>#REF!</v>
      </c>
      <c r="O10" s="18" t="e">
        <f>+E10-N10</f>
        <v>#REF!</v>
      </c>
      <c r="P10" s="110" t="str">
        <f>IF(A10=Q10,"SI","NO")</f>
        <v>SI</v>
      </c>
      <c r="Q10" s="111" t="s">
        <v>28</v>
      </c>
      <c r="R10" s="110" t="s">
        <v>29</v>
      </c>
      <c r="S10" s="18">
        <v>4383.9120000000003</v>
      </c>
      <c r="T10" s="110" t="s">
        <v>301</v>
      </c>
    </row>
    <row r="11" spans="1:20" x14ac:dyDescent="0.2">
      <c r="A11" s="111" t="s">
        <v>12</v>
      </c>
      <c r="B11" s="110" t="s">
        <v>30</v>
      </c>
      <c r="C11" s="113">
        <f>+FACTURACIÓN!C11+FACTURACIÓN!D11+FACTURACIÓN!E11+FACTURACIÓN!F11+FACTURACIÓN!G11+FACTURACIÓN!H11+FACTURACIÓN!I11-'C&amp;A'!I11</f>
        <v>1658.173897131358</v>
      </c>
      <c r="D11" s="113">
        <v>0</v>
      </c>
      <c r="E11" s="18">
        <f t="shared" ref="E11:E64" si="0">SUM(C11:D11)</f>
        <v>1658.173897131358</v>
      </c>
      <c r="F11" s="18" t="e">
        <f>+FACTURACIÓN!#REF!</f>
        <v>#REF!</v>
      </c>
      <c r="G11" s="18">
        <f>+FACTURACIÓN!K11</f>
        <v>0</v>
      </c>
      <c r="H11" s="18">
        <f>+FACTURACIÓN!L11</f>
        <v>45.15</v>
      </c>
      <c r="I11" s="18">
        <f>+FACTURACIÓN!M11</f>
        <v>0</v>
      </c>
      <c r="J11" s="18">
        <f>+FACTURACIÓN!N11</f>
        <v>0</v>
      </c>
      <c r="K11" s="18">
        <f>+FACTURACIÓN!O11</f>
        <v>0</v>
      </c>
      <c r="L11" s="18">
        <f>+FACTURACIÓN!P11</f>
        <v>0</v>
      </c>
      <c r="M11" s="21">
        <v>0</v>
      </c>
      <c r="N11" s="18" t="e">
        <f t="shared" ref="N11:N64" si="1">SUM(F11:M11)</f>
        <v>#REF!</v>
      </c>
      <c r="O11" s="18" t="e">
        <f t="shared" ref="O11:O64" si="2">+E11-N11</f>
        <v>#REF!</v>
      </c>
      <c r="P11" s="110" t="str">
        <f t="shared" ref="P11:P64" si="3">IF(A11=Q11,"SI","NO")</f>
        <v>SI</v>
      </c>
      <c r="Q11" s="111" t="s">
        <v>12</v>
      </c>
      <c r="R11" s="110" t="s">
        <v>30</v>
      </c>
      <c r="S11" s="18">
        <v>1613.05</v>
      </c>
      <c r="T11" s="110" t="s">
        <v>325</v>
      </c>
    </row>
    <row r="12" spans="1:20" x14ac:dyDescent="0.2">
      <c r="A12" s="111" t="s">
        <v>31</v>
      </c>
      <c r="B12" s="110" t="s">
        <v>32</v>
      </c>
      <c r="C12" s="113">
        <f>+FACTURACIÓN!C12+FACTURACIÓN!D12+FACTURACIÓN!E12+FACTURACIÓN!F12+FACTURACIÓN!G12+FACTURACIÓN!H12+FACTURACIÓN!I12-'C&amp;A'!I12</f>
        <v>3762.8</v>
      </c>
      <c r="D12" s="113">
        <v>0</v>
      </c>
      <c r="E12" s="18">
        <f t="shared" si="0"/>
        <v>3762.8</v>
      </c>
      <c r="F12" s="18" t="e">
        <f>+FACTURACIÓN!#REF!</f>
        <v>#REF!</v>
      </c>
      <c r="G12" s="18">
        <f>+FACTURACIÓN!K12</f>
        <v>0</v>
      </c>
      <c r="H12" s="18">
        <f>+FACTURACIÓN!L12</f>
        <v>45.15</v>
      </c>
      <c r="I12" s="18">
        <f>+FACTURACIÓN!M12</f>
        <v>0</v>
      </c>
      <c r="J12" s="18">
        <f>+FACTURACIÓN!N12</f>
        <v>0</v>
      </c>
      <c r="K12" s="18">
        <f>+FACTURACIÓN!O12</f>
        <v>0</v>
      </c>
      <c r="L12" s="18">
        <f>+FACTURACIÓN!P12</f>
        <v>0</v>
      </c>
      <c r="M12" s="21">
        <v>0</v>
      </c>
      <c r="N12" s="18" t="e">
        <f t="shared" si="1"/>
        <v>#REF!</v>
      </c>
      <c r="O12" s="18" t="e">
        <f t="shared" si="2"/>
        <v>#REF!</v>
      </c>
      <c r="P12" s="110" t="str">
        <f t="shared" si="3"/>
        <v>SI</v>
      </c>
      <c r="Q12" s="111" t="s">
        <v>31</v>
      </c>
      <c r="R12" s="110" t="s">
        <v>32</v>
      </c>
      <c r="S12" s="18">
        <v>2717.67</v>
      </c>
      <c r="T12" s="110" t="s">
        <v>320</v>
      </c>
    </row>
    <row r="13" spans="1:20" x14ac:dyDescent="0.2">
      <c r="A13" s="111" t="s">
        <v>33</v>
      </c>
      <c r="B13" s="110" t="s">
        <v>34</v>
      </c>
      <c r="C13" s="113">
        <f>+FACTURACIÓN!C13+FACTURACIÓN!D13+FACTURACIÓN!E13+FACTURACIÓN!F13+FACTURACIÓN!G13+FACTURACIÓN!H13+FACTURACIÓN!I13-'C&amp;A'!I13</f>
        <v>5433.8</v>
      </c>
      <c r="D13" s="113">
        <v>0</v>
      </c>
      <c r="E13" s="18">
        <f t="shared" si="0"/>
        <v>5433.8</v>
      </c>
      <c r="F13" s="18" t="e">
        <f>+FACTURACIÓN!#REF!</f>
        <v>#REF!</v>
      </c>
      <c r="G13" s="18">
        <f>+FACTURACIÓN!K13</f>
        <v>0</v>
      </c>
      <c r="H13" s="18">
        <f>+FACTURACIÓN!L13</f>
        <v>45.15</v>
      </c>
      <c r="I13" s="18">
        <f>+FACTURACIÓN!M13</f>
        <v>0</v>
      </c>
      <c r="J13" s="18">
        <f>+FACTURACIÓN!N13</f>
        <v>0</v>
      </c>
      <c r="K13" s="18">
        <f>+FACTURACIÓN!O13</f>
        <v>0</v>
      </c>
      <c r="L13" s="18">
        <f>+FACTURACIÓN!P13</f>
        <v>0</v>
      </c>
      <c r="M13" s="21">
        <v>0</v>
      </c>
      <c r="N13" s="18" t="e">
        <f t="shared" si="1"/>
        <v>#REF!</v>
      </c>
      <c r="O13" s="18" t="e">
        <f t="shared" si="2"/>
        <v>#REF!</v>
      </c>
      <c r="P13" s="110" t="str">
        <f t="shared" si="3"/>
        <v>SI</v>
      </c>
      <c r="Q13" s="111" t="s">
        <v>33</v>
      </c>
      <c r="R13" s="110" t="s">
        <v>34</v>
      </c>
      <c r="S13" s="18">
        <v>5457.3420000000006</v>
      </c>
      <c r="T13" s="110" t="s">
        <v>335</v>
      </c>
    </row>
    <row r="14" spans="1:20" x14ac:dyDescent="0.2">
      <c r="A14" s="111" t="s">
        <v>35</v>
      </c>
      <c r="B14" s="110" t="s">
        <v>36</v>
      </c>
      <c r="C14" s="113">
        <f>+FACTURACIÓN!C14+FACTURACIÓN!D14+FACTURACIÓN!E14+FACTURACIÓN!F14+FACTURACIÓN!G14+FACTURACIÓN!H14+FACTURACIÓN!I14-'C&amp;A'!I14</f>
        <v>2082.4205678096519</v>
      </c>
      <c r="D14" s="113">
        <v>0</v>
      </c>
      <c r="E14" s="18">
        <f t="shared" si="0"/>
        <v>2082.4205678096519</v>
      </c>
      <c r="F14" s="18" t="e">
        <f>+FACTURACIÓN!#REF!</f>
        <v>#REF!</v>
      </c>
      <c r="G14" s="18">
        <f>+FACTURACIÓN!K14</f>
        <v>0</v>
      </c>
      <c r="H14" s="18">
        <f>+FACTURACIÓN!L14</f>
        <v>45.15</v>
      </c>
      <c r="I14" s="18">
        <f>+FACTURACIÓN!M14</f>
        <v>0</v>
      </c>
      <c r="J14" s="18">
        <f>+FACTURACIÓN!N14</f>
        <v>0</v>
      </c>
      <c r="K14" s="18">
        <f>+FACTURACIÓN!O14</f>
        <v>0</v>
      </c>
      <c r="L14" s="18">
        <f>+FACTURACIÓN!P14</f>
        <v>0</v>
      </c>
      <c r="M14" s="21">
        <v>0</v>
      </c>
      <c r="N14" s="18" t="e">
        <f t="shared" si="1"/>
        <v>#REF!</v>
      </c>
      <c r="O14" s="18" t="e">
        <f t="shared" si="2"/>
        <v>#REF!</v>
      </c>
      <c r="P14" s="110" t="str">
        <f t="shared" si="3"/>
        <v>SI</v>
      </c>
      <c r="Q14" s="111" t="s">
        <v>35</v>
      </c>
      <c r="R14" s="110" t="s">
        <v>36</v>
      </c>
      <c r="S14" s="18">
        <v>1670.1699999999998</v>
      </c>
      <c r="T14" s="110" t="s">
        <v>306</v>
      </c>
    </row>
    <row r="15" spans="1:20" x14ac:dyDescent="0.2">
      <c r="A15" s="111" t="s">
        <v>37</v>
      </c>
      <c r="B15" s="110" t="s">
        <v>38</v>
      </c>
      <c r="C15" s="113">
        <f>+FACTURACIÓN!C15+FACTURACIÓN!D15+FACTURACIÓN!E15+FACTURACIÓN!F15+FACTURACIÓN!G15+FACTURACIÓN!H15+FACTURACIÓN!I15-'C&amp;A'!I15</f>
        <v>25762.799999999999</v>
      </c>
      <c r="D15" s="113">
        <v>0</v>
      </c>
      <c r="E15" s="18">
        <f t="shared" si="0"/>
        <v>25762.799999999999</v>
      </c>
      <c r="F15" s="18" t="e">
        <f>+FACTURACIÓN!#REF!</f>
        <v>#REF!</v>
      </c>
      <c r="G15" s="18">
        <f>+FACTURACIÓN!K15</f>
        <v>0</v>
      </c>
      <c r="H15" s="18">
        <f>+FACTURACIÓN!L15</f>
        <v>45.15</v>
      </c>
      <c r="I15" s="18">
        <f>+FACTURACIÓN!M15</f>
        <v>504.77</v>
      </c>
      <c r="J15" s="18">
        <f>+FACTURACIÓN!N15</f>
        <v>0</v>
      </c>
      <c r="K15" s="18">
        <f>+FACTURACIÓN!O15</f>
        <v>0</v>
      </c>
      <c r="L15" s="18">
        <f>+FACTURACIÓN!P15</f>
        <v>0</v>
      </c>
      <c r="M15" s="21">
        <v>1150</v>
      </c>
      <c r="N15" s="18" t="e">
        <f t="shared" si="1"/>
        <v>#REF!</v>
      </c>
      <c r="O15" s="18" t="e">
        <f t="shared" si="2"/>
        <v>#REF!</v>
      </c>
      <c r="P15" s="110" t="str">
        <f t="shared" si="3"/>
        <v>SI</v>
      </c>
      <c r="Q15" s="111" t="s">
        <v>37</v>
      </c>
      <c r="R15" s="110" t="s">
        <v>38</v>
      </c>
      <c r="S15" s="18">
        <v>3667.8900000000003</v>
      </c>
      <c r="T15" s="110" t="s">
        <v>307</v>
      </c>
    </row>
    <row r="16" spans="1:20" x14ac:dyDescent="0.2">
      <c r="A16" s="111" t="s">
        <v>137</v>
      </c>
      <c r="B16" s="110" t="s">
        <v>153</v>
      </c>
      <c r="C16" s="113">
        <f>+FACTURACIÓN!C16+FACTURACIÓN!D16+FACTURACIÓN!E16+FACTURACIÓN!F16+FACTURACIÓN!G16+FACTURACIÓN!H16+FACTURACIÓN!I16-'C&amp;A'!I16</f>
        <v>1908.173897131358</v>
      </c>
      <c r="D16" s="113">
        <v>0</v>
      </c>
      <c r="E16" s="18">
        <f t="shared" si="0"/>
        <v>1908.173897131358</v>
      </c>
      <c r="F16" s="18" t="e">
        <f>+FACTURACIÓN!#REF!</f>
        <v>#REF!</v>
      </c>
      <c r="G16" s="18">
        <f>+FACTURACIÓN!K16</f>
        <v>0</v>
      </c>
      <c r="H16" s="18">
        <f>+FACTURACIÓN!L16</f>
        <v>45.15</v>
      </c>
      <c r="I16" s="18">
        <f>+FACTURACIÓN!M16</f>
        <v>0</v>
      </c>
      <c r="J16" s="18">
        <f>+FACTURACIÓN!N16</f>
        <v>0</v>
      </c>
      <c r="K16" s="18">
        <f>+FACTURACIÓN!O16</f>
        <v>0</v>
      </c>
      <c r="L16" s="18">
        <f>+FACTURACIÓN!P16</f>
        <v>0</v>
      </c>
      <c r="M16" s="21">
        <v>0</v>
      </c>
      <c r="N16" s="18" t="e">
        <f t="shared" si="1"/>
        <v>#REF!</v>
      </c>
      <c r="O16" s="18" t="e">
        <f t="shared" si="2"/>
        <v>#REF!</v>
      </c>
      <c r="P16" s="110" t="str">
        <f t="shared" si="3"/>
        <v>SI</v>
      </c>
      <c r="Q16" s="111" t="s">
        <v>137</v>
      </c>
      <c r="R16" s="110" t="s">
        <v>153</v>
      </c>
      <c r="S16" s="18">
        <v>1908.18</v>
      </c>
      <c r="T16" s="110" t="s">
        <v>349</v>
      </c>
    </row>
    <row r="17" spans="1:20" x14ac:dyDescent="0.2">
      <c r="A17" s="111" t="s">
        <v>39</v>
      </c>
      <c r="B17" s="110" t="s">
        <v>40</v>
      </c>
      <c r="C17" s="113">
        <f>+FACTURACIÓN!C17+FACTURACIÓN!D17+FACTURACIÓN!E17+FACTURACIÓN!F17+FACTURACIÓN!G17+FACTURACIÓN!H17+FACTURACIÓN!I17-'C&amp;A'!I17</f>
        <v>1453.1763632955849</v>
      </c>
      <c r="D17" s="113">
        <v>0</v>
      </c>
      <c r="E17" s="18">
        <f t="shared" si="0"/>
        <v>1453.1763632955849</v>
      </c>
      <c r="F17" s="18" t="e">
        <f>+FACTURACIÓN!#REF!</f>
        <v>#REF!</v>
      </c>
      <c r="G17" s="18">
        <f>+FACTURACIÓN!K17</f>
        <v>0</v>
      </c>
      <c r="H17" s="18">
        <f>+FACTURACIÓN!L17</f>
        <v>45.15</v>
      </c>
      <c r="I17" s="18">
        <f>+FACTURACIÓN!M17</f>
        <v>0</v>
      </c>
      <c r="J17" s="18">
        <f>+FACTURACIÓN!N17</f>
        <v>0</v>
      </c>
      <c r="K17" s="18">
        <f>+FACTURACIÓN!O17</f>
        <v>0</v>
      </c>
      <c r="L17" s="18">
        <f>+FACTURACIÓN!P17</f>
        <v>316.81</v>
      </c>
      <c r="M17" s="21">
        <v>0</v>
      </c>
      <c r="N17" s="18" t="e">
        <f t="shared" si="1"/>
        <v>#REF!</v>
      </c>
      <c r="O17" s="18" t="e">
        <f t="shared" si="2"/>
        <v>#REF!</v>
      </c>
      <c r="P17" s="110" t="str">
        <f t="shared" si="3"/>
        <v>SI</v>
      </c>
      <c r="Q17" s="111" t="s">
        <v>39</v>
      </c>
      <c r="R17" s="110" t="s">
        <v>40</v>
      </c>
      <c r="S17" s="18">
        <v>420.63999999999993</v>
      </c>
      <c r="T17" s="110" t="s">
        <v>308</v>
      </c>
    </row>
    <row r="18" spans="1:20" x14ac:dyDescent="0.2">
      <c r="A18" s="111" t="s">
        <v>41</v>
      </c>
      <c r="B18" s="110" t="s">
        <v>42</v>
      </c>
      <c r="C18" s="113">
        <f>+FACTURACIÓN!C18+FACTURACIÓN!D18+FACTURACIÓN!E18+FACTURACIÓN!F18+FACTURACIÓN!G18+FACTURACIÓN!H18+FACTURACIÓN!I18-'C&amp;A'!I18</f>
        <v>4318.8</v>
      </c>
      <c r="D18" s="113">
        <v>0</v>
      </c>
      <c r="E18" s="18">
        <f t="shared" si="0"/>
        <v>4318.8</v>
      </c>
      <c r="F18" s="18" t="e">
        <f>+FACTURACIÓN!#REF!</f>
        <v>#REF!</v>
      </c>
      <c r="G18" s="18">
        <f>+FACTURACIÓN!K18</f>
        <v>0</v>
      </c>
      <c r="H18" s="18">
        <f>+FACTURACIÓN!L18</f>
        <v>45.15</v>
      </c>
      <c r="I18" s="18">
        <f>+FACTURACIÓN!M18</f>
        <v>0</v>
      </c>
      <c r="J18" s="18">
        <f>+FACTURACIÓN!N18</f>
        <v>0</v>
      </c>
      <c r="K18" s="18">
        <f>+FACTURACIÓN!O18</f>
        <v>0</v>
      </c>
      <c r="L18" s="18">
        <f>+FACTURACIÓN!P18</f>
        <v>0</v>
      </c>
      <c r="M18" s="21">
        <v>555.6</v>
      </c>
      <c r="N18" s="18" t="e">
        <f t="shared" si="1"/>
        <v>#REF!</v>
      </c>
      <c r="O18" s="18" t="e">
        <f t="shared" si="2"/>
        <v>#REF!</v>
      </c>
      <c r="P18" s="110" t="str">
        <f t="shared" si="3"/>
        <v>SI</v>
      </c>
      <c r="Q18" s="111" t="s">
        <v>41</v>
      </c>
      <c r="R18" s="110" t="s">
        <v>42</v>
      </c>
      <c r="S18" s="18">
        <v>3262.8</v>
      </c>
      <c r="T18" s="110" t="s">
        <v>345</v>
      </c>
    </row>
    <row r="19" spans="1:20" x14ac:dyDescent="0.2">
      <c r="A19" s="111" t="s">
        <v>43</v>
      </c>
      <c r="B19" s="110" t="s">
        <v>44</v>
      </c>
      <c r="C19" s="113" t="e">
        <f>+FACTURACIÓN!C68+FACTURACIÓN!D68+FACTURACIÓN!E68+FACTURACIÓN!F68+FACTURACIÓN!G68+FACTURACIÓN!H68+FACTURACIÓN!I68-'C&amp;A'!#REF!</f>
        <v>#REF!</v>
      </c>
      <c r="D19" s="113">
        <v>0</v>
      </c>
      <c r="E19" s="18" t="e">
        <f t="shared" si="0"/>
        <v>#REF!</v>
      </c>
      <c r="F19" s="18" t="e">
        <f>+FACTURACIÓN!#REF!</f>
        <v>#REF!</v>
      </c>
      <c r="G19" s="18">
        <f>+FACTURACIÓN!K68</f>
        <v>0</v>
      </c>
      <c r="H19" s="18" t="e">
        <f>+FACTURACIÓN!L68</f>
        <v>#REF!</v>
      </c>
      <c r="I19" s="18" t="e">
        <f>+FACTURACIÓN!M68</f>
        <v>#REF!</v>
      </c>
      <c r="J19" s="18" t="e">
        <f>+FACTURACIÓN!N68</f>
        <v>#REF!</v>
      </c>
      <c r="K19" s="18">
        <f>+FACTURACIÓN!O68</f>
        <v>0</v>
      </c>
      <c r="L19" s="18" t="e">
        <f>+FACTURACIÓN!P68</f>
        <v>#REF!</v>
      </c>
      <c r="M19" s="21">
        <v>0</v>
      </c>
      <c r="N19" s="18" t="e">
        <f t="shared" si="1"/>
        <v>#REF!</v>
      </c>
      <c r="O19" s="18" t="e">
        <f t="shared" si="2"/>
        <v>#REF!</v>
      </c>
      <c r="P19" s="110" t="str">
        <f t="shared" si="3"/>
        <v>SI</v>
      </c>
      <c r="Q19" s="111" t="s">
        <v>43</v>
      </c>
      <c r="R19" s="110" t="s">
        <v>44</v>
      </c>
      <c r="S19" s="18">
        <v>3181.2700000000004</v>
      </c>
      <c r="T19" s="110" t="s">
        <v>349</v>
      </c>
    </row>
    <row r="20" spans="1:20" x14ac:dyDescent="0.2">
      <c r="A20" s="111" t="s">
        <v>45</v>
      </c>
      <c r="B20" s="110" t="s">
        <v>46</v>
      </c>
      <c r="C20" s="113">
        <f>+FACTURACIÓN!C19+FACTURACIÓN!D19+FACTURACIÓN!E19+FACTURACIÓN!F19+FACTURACIÓN!G19+FACTURACIÓN!H19+FACTURACIÓN!I19-'C&amp;A'!I19</f>
        <v>2762.8</v>
      </c>
      <c r="D20" s="113">
        <v>0</v>
      </c>
      <c r="E20" s="18">
        <f t="shared" si="0"/>
        <v>2762.8</v>
      </c>
      <c r="F20" s="18" t="e">
        <f>+FACTURACIÓN!#REF!</f>
        <v>#REF!</v>
      </c>
      <c r="G20" s="18">
        <f>+FACTURACIÓN!K19</f>
        <v>0</v>
      </c>
      <c r="H20" s="18">
        <f>+FACTURACIÓN!L19</f>
        <v>45.15</v>
      </c>
      <c r="I20" s="18">
        <f>+FACTURACIÓN!M19</f>
        <v>0</v>
      </c>
      <c r="J20" s="18">
        <f>+FACTURACIÓN!N19</f>
        <v>0</v>
      </c>
      <c r="K20" s="18">
        <f>+FACTURACIÓN!O19</f>
        <v>0</v>
      </c>
      <c r="L20" s="18">
        <f>+FACTURACIÓN!P19</f>
        <v>906.77</v>
      </c>
      <c r="M20" s="21">
        <v>0</v>
      </c>
      <c r="N20" s="18" t="e">
        <f t="shared" si="1"/>
        <v>#REF!</v>
      </c>
      <c r="O20" s="18" t="e">
        <f t="shared" si="2"/>
        <v>#REF!</v>
      </c>
      <c r="P20" s="110" t="str">
        <f t="shared" si="3"/>
        <v>SI</v>
      </c>
      <c r="Q20" s="111" t="s">
        <v>45</v>
      </c>
      <c r="R20" s="110" t="s">
        <v>46</v>
      </c>
      <c r="S20" s="18">
        <v>1810.9</v>
      </c>
      <c r="T20" s="110" t="s">
        <v>329</v>
      </c>
    </row>
    <row r="21" spans="1:20" x14ac:dyDescent="0.2">
      <c r="A21" s="111" t="s">
        <v>47</v>
      </c>
      <c r="B21" s="110" t="s">
        <v>48</v>
      </c>
      <c r="C21" s="113">
        <f>+FACTURACIÓN!C20+FACTURACIÓN!D20+FACTURACIÓN!E20+FACTURACIÓN!F20+FACTURACIÓN!G20+FACTURACIÓN!H20+FACTURACIÓN!I20-'C&amp;A'!I20</f>
        <v>5344.6500000000005</v>
      </c>
      <c r="D21" s="113">
        <v>0</v>
      </c>
      <c r="E21" s="18">
        <f t="shared" si="0"/>
        <v>5344.6500000000005</v>
      </c>
      <c r="F21" s="18" t="e">
        <f>+FACTURACIÓN!#REF!</f>
        <v>#REF!</v>
      </c>
      <c r="G21" s="18">
        <f>+FACTURACIÓN!K20</f>
        <v>0</v>
      </c>
      <c r="H21" s="18">
        <f>+FACTURACIÓN!L20</f>
        <v>45.15</v>
      </c>
      <c r="I21" s="18">
        <f>+FACTURACIÓN!M20</f>
        <v>0</v>
      </c>
      <c r="J21" s="18">
        <f>+FACTURACIÓN!N20</f>
        <v>0</v>
      </c>
      <c r="K21" s="18">
        <f>+FACTURACIÓN!O20</f>
        <v>0</v>
      </c>
      <c r="L21" s="18">
        <f>+FACTURACIÓN!P20</f>
        <v>0</v>
      </c>
      <c r="M21" s="21">
        <v>0</v>
      </c>
      <c r="N21" s="18" t="e">
        <f t="shared" si="1"/>
        <v>#REF!</v>
      </c>
      <c r="O21" s="18" t="e">
        <f t="shared" si="2"/>
        <v>#REF!</v>
      </c>
      <c r="P21" s="110" t="str">
        <f t="shared" si="3"/>
        <v>SI</v>
      </c>
      <c r="Q21" s="111" t="s">
        <v>47</v>
      </c>
      <c r="R21" s="110" t="s">
        <v>48</v>
      </c>
      <c r="S21" s="18">
        <v>5765.0250000000005</v>
      </c>
      <c r="T21" s="110" t="s">
        <v>317</v>
      </c>
    </row>
    <row r="22" spans="1:20" x14ac:dyDescent="0.2">
      <c r="A22" s="111" t="s">
        <v>49</v>
      </c>
      <c r="B22" s="110" t="s">
        <v>50</v>
      </c>
      <c r="C22" s="113">
        <f>+FACTURACIÓN!C21+FACTURACIÓN!D21+FACTURACIÓN!E21+FACTURACIÓN!F21+FACTURACIÓN!G21+FACTURACIÓN!H21+FACTURACIÓN!I21-'C&amp;A'!I21</f>
        <v>14123.64</v>
      </c>
      <c r="D22" s="113">
        <v>0</v>
      </c>
      <c r="E22" s="18">
        <f t="shared" si="0"/>
        <v>14123.64</v>
      </c>
      <c r="F22" s="18" t="e">
        <f>+FACTURACIÓN!#REF!</f>
        <v>#REF!</v>
      </c>
      <c r="G22" s="18">
        <f>+FACTURACIÓN!K21</f>
        <v>0</v>
      </c>
      <c r="H22" s="18">
        <f>+FACTURACIÓN!L21</f>
        <v>45.15</v>
      </c>
      <c r="I22" s="18">
        <f>+FACTURACIÓN!M21</f>
        <v>0</v>
      </c>
      <c r="J22" s="18">
        <f>+FACTURACIÓN!N21</f>
        <v>0</v>
      </c>
      <c r="K22" s="18">
        <f>+FACTURACIÓN!O21</f>
        <v>0</v>
      </c>
      <c r="L22" s="18">
        <f>+FACTURACIÓN!P21</f>
        <v>0</v>
      </c>
      <c r="M22" s="21">
        <v>0</v>
      </c>
      <c r="N22" s="18" t="e">
        <f t="shared" si="1"/>
        <v>#REF!</v>
      </c>
      <c r="O22" s="18" t="e">
        <f t="shared" si="2"/>
        <v>#REF!</v>
      </c>
      <c r="P22" s="110" t="str">
        <f t="shared" si="3"/>
        <v>SI</v>
      </c>
      <c r="Q22" s="111" t="s">
        <v>49</v>
      </c>
      <c r="R22" s="110" t="s">
        <v>50</v>
      </c>
      <c r="S22" s="18">
        <v>9928.0470000000005</v>
      </c>
      <c r="T22" s="110" t="s">
        <v>340</v>
      </c>
    </row>
    <row r="23" spans="1:20" x14ac:dyDescent="0.2">
      <c r="A23" s="111" t="s">
        <v>51</v>
      </c>
      <c r="B23" s="110" t="s">
        <v>52</v>
      </c>
      <c r="C23" s="113">
        <f>+FACTURACIÓN!C22+FACTURACIÓN!D22+FACTURACIÓN!E22+FACTURACIÓN!F22+FACTURACIÓN!G22+FACTURACIÓN!H22+FACTURACIÓN!I22-'C&amp;A'!I22</f>
        <v>37954.39</v>
      </c>
      <c r="D23" s="113">
        <v>0</v>
      </c>
      <c r="E23" s="18">
        <f t="shared" si="0"/>
        <v>37954.39</v>
      </c>
      <c r="F23" s="18" t="e">
        <f>+FACTURACIÓN!#REF!</f>
        <v>#REF!</v>
      </c>
      <c r="G23" s="18">
        <f>+FACTURACIÓN!K22</f>
        <v>500</v>
      </c>
      <c r="H23" s="18">
        <f>+FACTURACIÓN!L22</f>
        <v>45.15</v>
      </c>
      <c r="I23" s="18">
        <f>+FACTURACIÓN!M22</f>
        <v>0</v>
      </c>
      <c r="J23" s="18">
        <f>+FACTURACIÓN!N22</f>
        <v>0</v>
      </c>
      <c r="K23" s="18">
        <f>+FACTURACIÓN!O22</f>
        <v>0</v>
      </c>
      <c r="L23" s="18">
        <f>+FACTURACIÓN!P22</f>
        <v>345.44</v>
      </c>
      <c r="M23" s="21">
        <v>500</v>
      </c>
      <c r="N23" s="18" t="e">
        <f t="shared" si="1"/>
        <v>#REF!</v>
      </c>
      <c r="O23" s="18" t="e">
        <f t="shared" si="2"/>
        <v>#REF!</v>
      </c>
      <c r="P23" s="110" t="str">
        <f t="shared" si="3"/>
        <v>SI</v>
      </c>
      <c r="Q23" s="111" t="s">
        <v>51</v>
      </c>
      <c r="R23" s="110" t="s">
        <v>52</v>
      </c>
      <c r="S23" s="18">
        <v>25260.635999999999</v>
      </c>
      <c r="T23" s="110" t="s">
        <v>310</v>
      </c>
    </row>
    <row r="24" spans="1:20" x14ac:dyDescent="0.2">
      <c r="A24" s="111" t="s">
        <v>53</v>
      </c>
      <c r="B24" s="110" t="s">
        <v>54</v>
      </c>
      <c r="C24" s="113">
        <f>+FACTURACIÓN!C23+FACTURACIÓN!D23+FACTURACIÓN!E23+FACTURACIÓN!F23+FACTURACIÓN!G23+FACTURACIÓN!H23+FACTURACIÓN!I23-'C&amp;A'!I23</f>
        <v>3262.8</v>
      </c>
      <c r="D24" s="113">
        <v>0</v>
      </c>
      <c r="E24" s="18">
        <f t="shared" si="0"/>
        <v>3262.8</v>
      </c>
      <c r="F24" s="18" t="e">
        <f>+FACTURACIÓN!#REF!</f>
        <v>#REF!</v>
      </c>
      <c r="G24" s="18">
        <f>+FACTURACIÓN!K23</f>
        <v>0</v>
      </c>
      <c r="H24" s="18">
        <f>+FACTURACIÓN!L23</f>
        <v>45.15</v>
      </c>
      <c r="I24" s="18">
        <f>+FACTURACIÓN!M23</f>
        <v>0</v>
      </c>
      <c r="J24" s="18">
        <f>+FACTURACIÓN!N23</f>
        <v>0</v>
      </c>
      <c r="K24" s="18">
        <f>+FACTURACIÓN!O23</f>
        <v>0</v>
      </c>
      <c r="L24" s="18">
        <f>+FACTURACIÓN!P23</f>
        <v>0</v>
      </c>
      <c r="M24" s="21">
        <v>0</v>
      </c>
      <c r="N24" s="18" t="e">
        <f t="shared" si="1"/>
        <v>#REF!</v>
      </c>
      <c r="O24" s="18" t="e">
        <f t="shared" si="2"/>
        <v>#REF!</v>
      </c>
      <c r="P24" s="110" t="str">
        <f t="shared" si="3"/>
        <v>SI</v>
      </c>
      <c r="Q24" s="111" t="s">
        <v>53</v>
      </c>
      <c r="R24" s="110" t="s">
        <v>54</v>
      </c>
      <c r="S24" s="18">
        <v>3703.3100000000004</v>
      </c>
      <c r="T24" s="110" t="s">
        <v>347</v>
      </c>
    </row>
    <row r="25" spans="1:20" x14ac:dyDescent="0.2">
      <c r="A25" s="111" t="s">
        <v>55</v>
      </c>
      <c r="B25" s="110" t="s">
        <v>56</v>
      </c>
      <c r="C25" s="113">
        <f>+FACTURACIÓN!C24+FACTURACIÓN!D24+FACTURACIÓN!E24+FACTURACIÓN!F24+FACTURACIÓN!G24+FACTURACIÓN!H24+FACTURACIÓN!I24-'C&amp;A'!I24</f>
        <v>12762.8</v>
      </c>
      <c r="D25" s="113">
        <v>0</v>
      </c>
      <c r="E25" s="18">
        <f t="shared" si="0"/>
        <v>12762.8</v>
      </c>
      <c r="F25" s="18" t="e">
        <f>+FACTURACIÓN!#REF!</f>
        <v>#REF!</v>
      </c>
      <c r="G25" s="18">
        <f>+FACTURACIÓN!K24</f>
        <v>0</v>
      </c>
      <c r="H25" s="18">
        <f>+FACTURACIÓN!L24</f>
        <v>45.15</v>
      </c>
      <c r="I25" s="18">
        <f>+FACTURACIÓN!M24</f>
        <v>355.82</v>
      </c>
      <c r="J25" s="18">
        <f>+FACTURACIÓN!N24</f>
        <v>0</v>
      </c>
      <c r="K25" s="18">
        <f>+FACTURACIÓN!O24</f>
        <v>0</v>
      </c>
      <c r="L25" s="18">
        <f>+FACTURACIÓN!P24</f>
        <v>0</v>
      </c>
      <c r="M25" s="21">
        <v>0</v>
      </c>
      <c r="N25" s="18" t="e">
        <f t="shared" si="1"/>
        <v>#REF!</v>
      </c>
      <c r="O25" s="18" t="e">
        <f t="shared" si="2"/>
        <v>#REF!</v>
      </c>
      <c r="P25" s="110" t="str">
        <f t="shared" si="3"/>
        <v>SI</v>
      </c>
      <c r="Q25" s="111" t="s">
        <v>55</v>
      </c>
      <c r="R25" s="110" t="s">
        <v>56</v>
      </c>
      <c r="S25" s="18">
        <v>11875.152</v>
      </c>
      <c r="T25" s="110" t="s">
        <v>336</v>
      </c>
    </row>
    <row r="26" spans="1:20" x14ac:dyDescent="0.2">
      <c r="A26" s="111" t="s">
        <v>13</v>
      </c>
      <c r="B26" s="110" t="s">
        <v>57</v>
      </c>
      <c r="C26" s="113" t="e">
        <f>+FACTURACIÓN!C69+FACTURACIÓN!D69+FACTURACIÓN!E69+FACTURACIÓN!F69+FACTURACIÓN!G69+FACTURACIÓN!H69+FACTURACIÓN!I69-'C&amp;A'!#REF!</f>
        <v>#REF!</v>
      </c>
      <c r="D26" s="113">
        <v>0</v>
      </c>
      <c r="E26" s="18" t="e">
        <f t="shared" si="0"/>
        <v>#REF!</v>
      </c>
      <c r="F26" s="18" t="e">
        <f>+FACTURACIÓN!#REF!</f>
        <v>#REF!</v>
      </c>
      <c r="G26" s="18">
        <f>+FACTURACIÓN!K69</f>
        <v>0</v>
      </c>
      <c r="H26" s="18" t="e">
        <f>+FACTURACIÓN!L69</f>
        <v>#REF!</v>
      </c>
      <c r="I26" s="18" t="e">
        <f>+FACTURACIÓN!M69</f>
        <v>#REF!</v>
      </c>
      <c r="J26" s="18" t="e">
        <f>+FACTURACIÓN!N69</f>
        <v>#REF!</v>
      </c>
      <c r="K26" s="18">
        <f>+FACTURACIÓN!O69</f>
        <v>0</v>
      </c>
      <c r="L26" s="18" t="e">
        <f>+FACTURACIÓN!P69</f>
        <v>#REF!</v>
      </c>
      <c r="M26" s="21">
        <v>0</v>
      </c>
      <c r="N26" s="18" t="e">
        <f t="shared" si="1"/>
        <v>#REF!</v>
      </c>
      <c r="O26" s="18" t="e">
        <f t="shared" si="2"/>
        <v>#REF!</v>
      </c>
      <c r="P26" s="110" t="str">
        <f t="shared" si="3"/>
        <v>SI</v>
      </c>
      <c r="Q26" s="111" t="s">
        <v>13</v>
      </c>
      <c r="R26" s="110" t="s">
        <v>57</v>
      </c>
      <c r="S26" s="18">
        <v>480.36000000000013</v>
      </c>
      <c r="T26" s="110" t="s">
        <v>346</v>
      </c>
    </row>
    <row r="27" spans="1:20" x14ac:dyDescent="0.2">
      <c r="A27" s="111" t="s">
        <v>58</v>
      </c>
      <c r="B27" s="110" t="s">
        <v>59</v>
      </c>
      <c r="C27" s="113">
        <f>+FACTURACIÓN!C25+FACTURACIÓN!D25+FACTURACIÓN!E25+FACTURACIÓN!F25+FACTURACIÓN!G25+FACTURACIÓN!H25+FACTURACIÓN!I25-'C&amp;A'!I25</f>
        <v>17312.8</v>
      </c>
      <c r="D27" s="113">
        <v>0</v>
      </c>
      <c r="E27" s="18">
        <f t="shared" si="0"/>
        <v>17312.8</v>
      </c>
      <c r="F27" s="18" t="e">
        <f>+FACTURACIÓN!#REF!</f>
        <v>#REF!</v>
      </c>
      <c r="G27" s="18">
        <f>+FACTURACIÓN!K25</f>
        <v>0</v>
      </c>
      <c r="H27" s="18">
        <f>+FACTURACIÓN!L25</f>
        <v>45.15</v>
      </c>
      <c r="I27" s="18">
        <f>+FACTURACIÓN!M25</f>
        <v>310.19</v>
      </c>
      <c r="J27" s="18">
        <f>+FACTURACIÓN!N25</f>
        <v>0</v>
      </c>
      <c r="K27" s="18">
        <f>+FACTURACIÓN!O25</f>
        <v>0</v>
      </c>
      <c r="L27" s="18">
        <f>+FACTURACIÓN!P25</f>
        <v>0</v>
      </c>
      <c r="M27" s="21">
        <v>500</v>
      </c>
      <c r="N27" s="18" t="e">
        <f t="shared" si="1"/>
        <v>#REF!</v>
      </c>
      <c r="O27" s="18" t="e">
        <f t="shared" si="2"/>
        <v>#REF!</v>
      </c>
      <c r="P27" s="110" t="str">
        <f t="shared" si="3"/>
        <v>SI</v>
      </c>
      <c r="Q27" s="111" t="s">
        <v>58</v>
      </c>
      <c r="R27" s="110" t="s">
        <v>59</v>
      </c>
      <c r="S27" s="18">
        <v>3452.6100000000006</v>
      </c>
      <c r="T27" s="110" t="s">
        <v>313</v>
      </c>
    </row>
    <row r="28" spans="1:20" x14ac:dyDescent="0.2">
      <c r="A28" s="111" t="s">
        <v>60</v>
      </c>
      <c r="B28" s="110" t="s">
        <v>61</v>
      </c>
      <c r="C28" s="113">
        <f>+FACTURACIÓN!C26+FACTURACIÓN!D26+FACTURACIÓN!E26+FACTURACIÓN!F26+FACTURACIÓN!G26+FACTURACIÓN!H26+FACTURACIÓN!I26-'C&amp;A'!I26</f>
        <v>3012.8</v>
      </c>
      <c r="D28" s="113">
        <v>0</v>
      </c>
      <c r="E28" s="18">
        <f t="shared" si="0"/>
        <v>3012.8</v>
      </c>
      <c r="F28" s="18" t="e">
        <f>+FACTURACIÓN!#REF!</f>
        <v>#REF!</v>
      </c>
      <c r="G28" s="18">
        <f>+FACTURACIÓN!K26</f>
        <v>0</v>
      </c>
      <c r="H28" s="18">
        <f>+FACTURACIÓN!L26</f>
        <v>45.15</v>
      </c>
      <c r="I28" s="18">
        <f>+FACTURACIÓN!M26</f>
        <v>0</v>
      </c>
      <c r="J28" s="18">
        <f>+FACTURACIÓN!N26</f>
        <v>0</v>
      </c>
      <c r="K28" s="18">
        <f>+FACTURACIÓN!O26</f>
        <v>0</v>
      </c>
      <c r="L28" s="18">
        <f>+FACTURACIÓN!P26</f>
        <v>837.96</v>
      </c>
      <c r="M28" s="21">
        <v>0</v>
      </c>
      <c r="N28" s="18" t="e">
        <f t="shared" si="1"/>
        <v>#REF!</v>
      </c>
      <c r="O28" s="18" t="e">
        <f t="shared" si="2"/>
        <v>#REF!</v>
      </c>
      <c r="P28" s="110" t="str">
        <f t="shared" si="3"/>
        <v>SI</v>
      </c>
      <c r="Q28" s="111" t="s">
        <v>60</v>
      </c>
      <c r="R28" s="110" t="s">
        <v>61</v>
      </c>
      <c r="S28" s="18">
        <v>3922.8060000000005</v>
      </c>
      <c r="T28" s="110" t="s">
        <v>331</v>
      </c>
    </row>
    <row r="29" spans="1:20" x14ac:dyDescent="0.2">
      <c r="A29" s="111" t="s">
        <v>62</v>
      </c>
      <c r="B29" s="110" t="s">
        <v>63</v>
      </c>
      <c r="C29" s="113">
        <f>+FACTURACIÓN!C27+FACTURACIÓN!D27+FACTURACIÓN!E27+FACTURACIÓN!F27+FACTURACIÓN!G27+FACTURACIÓN!H27+FACTURACIÓN!I27-'C&amp;A'!I27</f>
        <v>9426.5</v>
      </c>
      <c r="D29" s="113">
        <v>0</v>
      </c>
      <c r="E29" s="18">
        <f t="shared" si="0"/>
        <v>9426.5</v>
      </c>
      <c r="F29" s="18" t="e">
        <f>+FACTURACIÓN!#REF!</f>
        <v>#REF!</v>
      </c>
      <c r="G29" s="18">
        <f>+FACTURACIÓN!K27</f>
        <v>0</v>
      </c>
      <c r="H29" s="18">
        <f>+FACTURACIÓN!L27</f>
        <v>45.15</v>
      </c>
      <c r="I29" s="18">
        <f>+FACTURACIÓN!M27</f>
        <v>0</v>
      </c>
      <c r="J29" s="18">
        <f>+FACTURACIÓN!N27</f>
        <v>0</v>
      </c>
      <c r="K29" s="18">
        <f>+FACTURACIÓN!O27</f>
        <v>0</v>
      </c>
      <c r="L29" s="18">
        <f>+FACTURACIÓN!P27</f>
        <v>0</v>
      </c>
      <c r="M29" s="21">
        <v>0</v>
      </c>
      <c r="N29" s="18" t="e">
        <f t="shared" si="1"/>
        <v>#REF!</v>
      </c>
      <c r="O29" s="18" t="e">
        <f t="shared" si="2"/>
        <v>#REF!</v>
      </c>
      <c r="P29" s="110" t="str">
        <f t="shared" si="3"/>
        <v>SI</v>
      </c>
      <c r="Q29" s="111" t="s">
        <v>62</v>
      </c>
      <c r="R29" s="110" t="s">
        <v>63</v>
      </c>
      <c r="S29" s="18">
        <v>12189.638999999999</v>
      </c>
      <c r="T29" s="110" t="s">
        <v>314</v>
      </c>
    </row>
    <row r="30" spans="1:20" x14ac:dyDescent="0.2">
      <c r="A30" s="111" t="s">
        <v>64</v>
      </c>
      <c r="B30" s="110" t="s">
        <v>65</v>
      </c>
      <c r="C30" s="113">
        <f>+FACTURACIÓN!C28+FACTURACIÓN!D28+FACTURACIÓN!E28+FACTURACIÓN!F28+FACTURACIÓN!G28+FACTURACIÓN!H28+FACTURACIÓN!I28-'C&amp;A'!I28</f>
        <v>5262.8</v>
      </c>
      <c r="D30" s="113">
        <v>0</v>
      </c>
      <c r="E30" s="18">
        <f t="shared" si="0"/>
        <v>5262.8</v>
      </c>
      <c r="F30" s="18" t="e">
        <f>+FACTURACIÓN!#REF!</f>
        <v>#REF!</v>
      </c>
      <c r="G30" s="18">
        <f>+FACTURACIÓN!K28</f>
        <v>0</v>
      </c>
      <c r="H30" s="18">
        <f>+FACTURACIÓN!L28</f>
        <v>45.15</v>
      </c>
      <c r="I30" s="18">
        <f>+FACTURACIÓN!M28</f>
        <v>0</v>
      </c>
      <c r="J30" s="18">
        <f>+FACTURACIÓN!N28</f>
        <v>0</v>
      </c>
      <c r="K30" s="18">
        <f>+FACTURACIÓN!O28</f>
        <v>0</v>
      </c>
      <c r="L30" s="18">
        <f>+FACTURACIÓN!P28</f>
        <v>0</v>
      </c>
      <c r="M30" s="21">
        <v>0</v>
      </c>
      <c r="N30" s="18" t="e">
        <f t="shared" si="1"/>
        <v>#REF!</v>
      </c>
      <c r="O30" s="18" t="e">
        <f t="shared" si="2"/>
        <v>#REF!</v>
      </c>
      <c r="P30" s="110" t="str">
        <f t="shared" si="3"/>
        <v>SI</v>
      </c>
      <c r="Q30" s="111" t="s">
        <v>64</v>
      </c>
      <c r="R30" s="110" t="s">
        <v>65</v>
      </c>
      <c r="S30" s="18">
        <v>1908.18</v>
      </c>
      <c r="T30" s="110" t="s">
        <v>343</v>
      </c>
    </row>
    <row r="31" spans="1:20" x14ac:dyDescent="0.2">
      <c r="A31" s="111" t="s">
        <v>66</v>
      </c>
      <c r="B31" s="110" t="s">
        <v>67</v>
      </c>
      <c r="C31" s="113">
        <f>+FACTURACIÓN!C29+FACTURACIÓN!D29+FACTURACIÓN!E29+FACTURACIÓN!F29+FACTURACIÓN!G29+FACTURACIÓN!H29+FACTURACIÓN!I29-'C&amp;A'!I29</f>
        <v>5433.8</v>
      </c>
      <c r="D31" s="113">
        <v>0</v>
      </c>
      <c r="E31" s="18">
        <f t="shared" si="0"/>
        <v>5433.8</v>
      </c>
      <c r="F31" s="18" t="e">
        <f>+FACTURACIÓN!#REF!</f>
        <v>#REF!</v>
      </c>
      <c r="G31" s="18">
        <f>+FACTURACIÓN!K29</f>
        <v>0</v>
      </c>
      <c r="H31" s="18">
        <f>+FACTURACIÓN!L29</f>
        <v>45.15</v>
      </c>
      <c r="I31" s="18">
        <f>+FACTURACIÓN!M29</f>
        <v>0</v>
      </c>
      <c r="J31" s="18">
        <f>+FACTURACIÓN!N29</f>
        <v>0</v>
      </c>
      <c r="K31" s="18">
        <f>+FACTURACIÓN!O29</f>
        <v>0</v>
      </c>
      <c r="L31" s="18">
        <f>+FACTURACIÓN!P29</f>
        <v>0</v>
      </c>
      <c r="M31" s="21">
        <v>0</v>
      </c>
      <c r="N31" s="18" t="e">
        <f t="shared" si="1"/>
        <v>#REF!</v>
      </c>
      <c r="O31" s="18" t="e">
        <f t="shared" si="2"/>
        <v>#REF!</v>
      </c>
      <c r="P31" s="110" t="str">
        <f t="shared" si="3"/>
        <v>SI</v>
      </c>
      <c r="Q31" s="111" t="s">
        <v>66</v>
      </c>
      <c r="R31" s="110" t="s">
        <v>67</v>
      </c>
      <c r="S31" s="18">
        <v>4980.1530000000002</v>
      </c>
      <c r="T31" s="110" t="s">
        <v>341</v>
      </c>
    </row>
    <row r="32" spans="1:20" x14ac:dyDescent="0.2">
      <c r="A32" s="111" t="s">
        <v>68</v>
      </c>
      <c r="B32" s="110" t="s">
        <v>69</v>
      </c>
      <c r="C32" s="113">
        <f>+FACTURACIÓN!C30+FACTURACIÓN!D30+FACTURACIÓN!E30+FACTURACIÓN!F30+FACTURACIÓN!G30+FACTURACIÓN!H30+FACTURACIÓN!I30-'C&amp;A'!I30</f>
        <v>2602.8000000000002</v>
      </c>
      <c r="D32" s="113">
        <v>0</v>
      </c>
      <c r="E32" s="18">
        <f t="shared" si="0"/>
        <v>2602.8000000000002</v>
      </c>
      <c r="F32" s="18" t="e">
        <f>+FACTURACIÓN!#REF!</f>
        <v>#REF!</v>
      </c>
      <c r="G32" s="18">
        <f>+FACTURACIÓN!K30</f>
        <v>0</v>
      </c>
      <c r="H32" s="18">
        <f>+FACTURACIÓN!L30</f>
        <v>45.15</v>
      </c>
      <c r="I32" s="18">
        <f>+FACTURACIÓN!M30</f>
        <v>0</v>
      </c>
      <c r="J32" s="18">
        <f>+FACTURACIÓN!N30</f>
        <v>0</v>
      </c>
      <c r="K32" s="18">
        <f>+FACTURACIÓN!O30</f>
        <v>0</v>
      </c>
      <c r="L32" s="18">
        <f>+FACTURACIÓN!P30</f>
        <v>1075.52</v>
      </c>
      <c r="M32" s="21">
        <v>0</v>
      </c>
      <c r="N32" s="18" t="e">
        <f t="shared" si="1"/>
        <v>#REF!</v>
      </c>
      <c r="O32" s="18" t="e">
        <f t="shared" si="2"/>
        <v>#REF!</v>
      </c>
      <c r="P32" s="110" t="str">
        <f t="shared" si="3"/>
        <v>SI</v>
      </c>
      <c r="Q32" s="111" t="s">
        <v>68</v>
      </c>
      <c r="R32" s="110" t="s">
        <v>69</v>
      </c>
      <c r="S32" s="18">
        <v>2807.5800000000004</v>
      </c>
      <c r="T32" s="110" t="s">
        <v>322</v>
      </c>
    </row>
    <row r="33" spans="1:20" x14ac:dyDescent="0.2">
      <c r="A33" s="111" t="s">
        <v>74</v>
      </c>
      <c r="B33" s="110" t="s">
        <v>75</v>
      </c>
      <c r="C33" s="113">
        <f>+FACTURACIÓN!C31+FACTURACIÓN!D31+FACTURACIÓN!E31+FACTURACIÓN!F31+FACTURACIÓN!G31+FACTURACIÓN!H31+FACTURACIÓN!I31-'C&amp;A'!I31</f>
        <v>2762.8</v>
      </c>
      <c r="D33" s="113">
        <v>0</v>
      </c>
      <c r="E33" s="18">
        <f t="shared" si="0"/>
        <v>2762.8</v>
      </c>
      <c r="F33" s="18" t="e">
        <f>+FACTURACIÓN!#REF!</f>
        <v>#REF!</v>
      </c>
      <c r="G33" s="18">
        <f>+FACTURACIÓN!K31</f>
        <v>0</v>
      </c>
      <c r="H33" s="18">
        <f>+FACTURACIÓN!L31</f>
        <v>45.15</v>
      </c>
      <c r="I33" s="18">
        <f>+FACTURACIÓN!M31</f>
        <v>0</v>
      </c>
      <c r="J33" s="18">
        <f>+FACTURACIÓN!N31</f>
        <v>0</v>
      </c>
      <c r="K33" s="18">
        <f>+FACTURACIÓN!O31</f>
        <v>0</v>
      </c>
      <c r="L33" s="18">
        <f>+FACTURACIÓN!P31</f>
        <v>1146.5999999999999</v>
      </c>
      <c r="M33" s="21">
        <v>0</v>
      </c>
      <c r="N33" s="18" t="e">
        <f t="shared" si="1"/>
        <v>#REF!</v>
      </c>
      <c r="O33" s="18" t="e">
        <f t="shared" si="2"/>
        <v>#REF!</v>
      </c>
      <c r="P33" s="110" t="str">
        <f t="shared" si="3"/>
        <v>SI</v>
      </c>
      <c r="Q33" s="111" t="s">
        <v>74</v>
      </c>
      <c r="R33" s="110" t="s">
        <v>75</v>
      </c>
      <c r="S33" s="18">
        <v>1571.6699999999998</v>
      </c>
      <c r="T33" s="110" t="s">
        <v>299</v>
      </c>
    </row>
    <row r="34" spans="1:20" x14ac:dyDescent="0.2">
      <c r="A34" s="111" t="s">
        <v>70</v>
      </c>
      <c r="B34" s="110" t="s">
        <v>71</v>
      </c>
      <c r="C34" s="113">
        <f>+FACTURACIÓN!C32+FACTURACIÓN!D32+FACTURACIÓN!E32+FACTURACIÓN!F32+FACTURACIÓN!G32+FACTURACIÓN!H32+FACTURACIÓN!I32-'C&amp;A'!I32</f>
        <v>2512.8000000000002</v>
      </c>
      <c r="D34" s="113">
        <v>0</v>
      </c>
      <c r="E34" s="18">
        <f t="shared" si="0"/>
        <v>2512.8000000000002</v>
      </c>
      <c r="F34" s="18" t="e">
        <f>+FACTURACIÓN!#REF!</f>
        <v>#REF!</v>
      </c>
      <c r="G34" s="18">
        <f>+FACTURACIÓN!K32</f>
        <v>0</v>
      </c>
      <c r="H34" s="18">
        <f>+FACTURACIÓN!L32</f>
        <v>45.15</v>
      </c>
      <c r="I34" s="18">
        <f>+FACTURACIÓN!M32</f>
        <v>0</v>
      </c>
      <c r="J34" s="18">
        <f>+FACTURACIÓN!N32</f>
        <v>0</v>
      </c>
      <c r="K34" s="18">
        <f>+FACTURACIÓN!O32</f>
        <v>0</v>
      </c>
      <c r="L34" s="18">
        <f>+FACTURACIÓN!P32</f>
        <v>0</v>
      </c>
      <c r="M34" s="21">
        <v>0</v>
      </c>
      <c r="N34" s="18" t="e">
        <f t="shared" si="1"/>
        <v>#REF!</v>
      </c>
      <c r="O34" s="18" t="e">
        <f t="shared" si="2"/>
        <v>#REF!</v>
      </c>
      <c r="P34" s="110" t="str">
        <f t="shared" si="3"/>
        <v>SI</v>
      </c>
      <c r="Q34" s="111" t="s">
        <v>70</v>
      </c>
      <c r="R34" s="110" t="s">
        <v>71</v>
      </c>
      <c r="S34" s="18">
        <v>3392.0219999999999</v>
      </c>
      <c r="T34" s="110" t="s">
        <v>326</v>
      </c>
    </row>
    <row r="35" spans="1:20" x14ac:dyDescent="0.2">
      <c r="A35" s="111" t="s">
        <v>72</v>
      </c>
      <c r="B35" s="110" t="s">
        <v>73</v>
      </c>
      <c r="C35" s="113">
        <f>+FACTURACIÓN!C33+FACTURACIÓN!D33+FACTURACIÓN!E33+FACTURACIÓN!F33+FACTURACIÓN!G33+FACTURACIÓN!H33+FACTURACIÓN!I33-'C&amp;A'!I33</f>
        <v>1908.173897131358</v>
      </c>
      <c r="D35" s="113">
        <v>0</v>
      </c>
      <c r="E35" s="18">
        <f t="shared" si="0"/>
        <v>1908.173897131358</v>
      </c>
      <c r="F35" s="18" t="e">
        <f>+FACTURACIÓN!#REF!</f>
        <v>#REF!</v>
      </c>
      <c r="G35" s="18">
        <f>+FACTURACIÓN!K33</f>
        <v>0</v>
      </c>
      <c r="H35" s="18">
        <f>+FACTURACIÓN!L33</f>
        <v>45.15</v>
      </c>
      <c r="I35" s="18">
        <f>+FACTURACIÓN!M33</f>
        <v>0</v>
      </c>
      <c r="J35" s="18">
        <f>+FACTURACIÓN!N33</f>
        <v>0</v>
      </c>
      <c r="K35" s="18">
        <f>+FACTURACIÓN!O33</f>
        <v>0</v>
      </c>
      <c r="L35" s="18">
        <f>+FACTURACIÓN!P33</f>
        <v>0</v>
      </c>
      <c r="M35" s="21">
        <v>0</v>
      </c>
      <c r="N35" s="18" t="e">
        <f t="shared" si="1"/>
        <v>#REF!</v>
      </c>
      <c r="O35" s="18" t="e">
        <f t="shared" si="2"/>
        <v>#REF!</v>
      </c>
      <c r="P35" s="110" t="str">
        <f t="shared" si="3"/>
        <v>SI</v>
      </c>
      <c r="Q35" s="111" t="s">
        <v>72</v>
      </c>
      <c r="R35" s="110" t="s">
        <v>73</v>
      </c>
      <c r="S35" s="18">
        <v>1758.18</v>
      </c>
      <c r="T35" s="110" t="s">
        <v>324</v>
      </c>
    </row>
    <row r="36" spans="1:20" x14ac:dyDescent="0.2">
      <c r="A36" s="111" t="s">
        <v>76</v>
      </c>
      <c r="B36" s="110" t="s">
        <v>77</v>
      </c>
      <c r="C36" s="113">
        <f>+FACTURACIÓN!C34+FACTURACIÓN!D34+FACTURACIÓN!E34+FACTURACIÓN!F34+FACTURACIÓN!G34+FACTURACIÓN!H34+FACTURACIÓN!I34-'C&amp;A'!I34</f>
        <v>17128.91</v>
      </c>
      <c r="D36" s="113">
        <v>0</v>
      </c>
      <c r="E36" s="18">
        <f t="shared" si="0"/>
        <v>17128.91</v>
      </c>
      <c r="F36" s="18" t="e">
        <f>+FACTURACIÓN!#REF!</f>
        <v>#REF!</v>
      </c>
      <c r="G36" s="18">
        <f>+FACTURACIÓN!K34</f>
        <v>0</v>
      </c>
      <c r="H36" s="18">
        <f>+FACTURACIÓN!L34</f>
        <v>45.15</v>
      </c>
      <c r="I36" s="18">
        <f>+FACTURACIÓN!M34</f>
        <v>58.19</v>
      </c>
      <c r="J36" s="18">
        <f>+FACTURACIÓN!N34</f>
        <v>0</v>
      </c>
      <c r="K36" s="18">
        <f>+FACTURACIÓN!O34</f>
        <v>0</v>
      </c>
      <c r="L36" s="18">
        <f>+FACTURACIÓN!P34</f>
        <v>0</v>
      </c>
      <c r="M36" s="21">
        <v>0</v>
      </c>
      <c r="N36" s="18" t="e">
        <f t="shared" si="1"/>
        <v>#REF!</v>
      </c>
      <c r="O36" s="18" t="e">
        <f t="shared" si="2"/>
        <v>#REF!</v>
      </c>
      <c r="P36" s="110" t="str">
        <f t="shared" si="3"/>
        <v>SI</v>
      </c>
      <c r="Q36" s="111" t="s">
        <v>76</v>
      </c>
      <c r="R36" s="110" t="s">
        <v>77</v>
      </c>
      <c r="S36" s="18">
        <v>12804.411</v>
      </c>
      <c r="T36" s="110" t="s">
        <v>311</v>
      </c>
    </row>
    <row r="37" spans="1:20" x14ac:dyDescent="0.2">
      <c r="A37" s="111" t="s">
        <v>78</v>
      </c>
      <c r="B37" s="110" t="s">
        <v>79</v>
      </c>
      <c r="C37" s="113">
        <f>+FACTURACIÓN!C35+FACTURACIÓN!D35+FACTURACIÓN!E35+FACTURACIÓN!F35+FACTURACIÓN!G35+FACTURACIÓN!H35+FACTURACIÓN!I35-'C&amp;A'!I35</f>
        <v>8826.5400000000009</v>
      </c>
      <c r="D37" s="113">
        <v>0</v>
      </c>
      <c r="E37" s="18">
        <f t="shared" si="0"/>
        <v>8826.5400000000009</v>
      </c>
      <c r="F37" s="18" t="e">
        <f>+FACTURACIÓN!#REF!</f>
        <v>#REF!</v>
      </c>
      <c r="G37" s="18">
        <f>+FACTURACIÓN!K35</f>
        <v>0</v>
      </c>
      <c r="H37" s="18">
        <f>+FACTURACIÓN!L35</f>
        <v>45.15</v>
      </c>
      <c r="I37" s="18">
        <f>+FACTURACIÓN!M35</f>
        <v>0</v>
      </c>
      <c r="J37" s="18">
        <f>+FACTURACIÓN!N35</f>
        <v>0</v>
      </c>
      <c r="K37" s="18">
        <f>+FACTURACIÓN!O35</f>
        <v>0</v>
      </c>
      <c r="L37" s="18">
        <f>+FACTURACIÓN!P35</f>
        <v>1045.54</v>
      </c>
      <c r="M37" s="21">
        <v>0</v>
      </c>
      <c r="N37" s="18" t="e">
        <f t="shared" si="1"/>
        <v>#REF!</v>
      </c>
      <c r="O37" s="18" t="e">
        <f t="shared" si="2"/>
        <v>#REF!</v>
      </c>
      <c r="P37" s="110" t="str">
        <f t="shared" si="3"/>
        <v>SI</v>
      </c>
      <c r="Q37" s="111" t="s">
        <v>78</v>
      </c>
      <c r="R37" s="110" t="s">
        <v>79</v>
      </c>
      <c r="S37" s="18">
        <v>6704.6069999999991</v>
      </c>
      <c r="T37" s="110" t="s">
        <v>318</v>
      </c>
    </row>
    <row r="38" spans="1:20" x14ac:dyDescent="0.2">
      <c r="A38" s="111" t="s">
        <v>80</v>
      </c>
      <c r="B38" s="110" t="s">
        <v>81</v>
      </c>
      <c r="C38" s="113">
        <f>+FACTURACIÓN!C36+FACTURACIÓN!D36+FACTURACIÓN!E36+FACTURACIÓN!F36+FACTURACIÓN!G36+FACTURACIÓN!H36+FACTURACIÓN!I36-'C&amp;A'!I36</f>
        <v>5594.85</v>
      </c>
      <c r="D38" s="113">
        <v>0</v>
      </c>
      <c r="E38" s="18">
        <f t="shared" si="0"/>
        <v>5594.85</v>
      </c>
      <c r="F38" s="18" t="e">
        <f>+FACTURACIÓN!#REF!</f>
        <v>#REF!</v>
      </c>
      <c r="G38" s="18">
        <f>+FACTURACIÓN!K36</f>
        <v>0</v>
      </c>
      <c r="H38" s="18">
        <f>+FACTURACIÓN!L36</f>
        <v>45.15</v>
      </c>
      <c r="I38" s="18">
        <f>+FACTURACIÓN!M36</f>
        <v>0</v>
      </c>
      <c r="J38" s="18">
        <f>+FACTURACIÓN!N36</f>
        <v>0</v>
      </c>
      <c r="K38" s="18">
        <f>+FACTURACIÓN!O36</f>
        <v>0</v>
      </c>
      <c r="L38" s="18">
        <f>+FACTURACIÓN!P36</f>
        <v>0</v>
      </c>
      <c r="M38" s="21">
        <v>0</v>
      </c>
      <c r="N38" s="18" t="e">
        <f t="shared" si="1"/>
        <v>#REF!</v>
      </c>
      <c r="O38" s="18" t="e">
        <f t="shared" si="2"/>
        <v>#REF!</v>
      </c>
      <c r="P38" s="110" t="str">
        <f t="shared" si="3"/>
        <v>SI</v>
      </c>
      <c r="Q38" s="111" t="s">
        <v>80</v>
      </c>
      <c r="R38" s="110" t="s">
        <v>81</v>
      </c>
      <c r="S38" s="18">
        <v>6891.6449999999995</v>
      </c>
      <c r="T38" s="110" t="s">
        <v>327</v>
      </c>
    </row>
    <row r="39" spans="1:20" x14ac:dyDescent="0.2">
      <c r="A39" s="111" t="s">
        <v>82</v>
      </c>
      <c r="B39" s="110" t="s">
        <v>83</v>
      </c>
      <c r="C39" s="113">
        <f>+FACTURACIÓN!C37+FACTURACIÓN!D37+FACTURACIÓN!E37+FACTURACIÓN!F37+FACTURACIÓN!G37+FACTURACIÓN!H37+FACTURACIÓN!I37-'C&amp;A'!I37</f>
        <v>10612.8</v>
      </c>
      <c r="D39" s="113">
        <v>0</v>
      </c>
      <c r="E39" s="18">
        <f t="shared" si="0"/>
        <v>10612.8</v>
      </c>
      <c r="F39" s="18" t="e">
        <f>+FACTURACIÓN!#REF!</f>
        <v>#REF!</v>
      </c>
      <c r="G39" s="18">
        <f>+FACTURACIÓN!K37</f>
        <v>0</v>
      </c>
      <c r="H39" s="18">
        <f>+FACTURACIÓN!L37</f>
        <v>45.15</v>
      </c>
      <c r="I39" s="18">
        <f>+FACTURACIÓN!M37</f>
        <v>0</v>
      </c>
      <c r="J39" s="18">
        <f>+FACTURACIÓN!N37</f>
        <v>0</v>
      </c>
      <c r="K39" s="18">
        <f>+FACTURACIÓN!O37</f>
        <v>0</v>
      </c>
      <c r="L39" s="18">
        <f>+FACTURACIÓN!P37</f>
        <v>1200.08</v>
      </c>
      <c r="M39" s="21">
        <v>994</v>
      </c>
      <c r="N39" s="18" t="e">
        <f t="shared" si="1"/>
        <v>#REF!</v>
      </c>
      <c r="O39" s="18" t="e">
        <f t="shared" si="2"/>
        <v>#REF!</v>
      </c>
      <c r="P39" s="110" t="str">
        <f t="shared" si="3"/>
        <v>SI</v>
      </c>
      <c r="Q39" s="111" t="s">
        <v>82</v>
      </c>
      <c r="R39" s="110" t="s">
        <v>83</v>
      </c>
      <c r="S39" s="18">
        <v>9471.7109999999993</v>
      </c>
      <c r="T39" s="110" t="s">
        <v>315</v>
      </c>
    </row>
    <row r="40" spans="1:20" x14ac:dyDescent="0.2">
      <c r="A40" s="111" t="s">
        <v>84</v>
      </c>
      <c r="B40" s="110" t="s">
        <v>85</v>
      </c>
      <c r="C40" s="113">
        <f>+FACTURACIÓN!C38+FACTURACIÓN!D38+FACTURACIÓN!E38+FACTURACIÓN!F38+FACTURACIÓN!G38+FACTURACIÓN!H38+FACTURACIÓN!I38-'C&amp;A'!I38</f>
        <v>3262.8</v>
      </c>
      <c r="D40" s="113">
        <v>0</v>
      </c>
      <c r="E40" s="18">
        <f t="shared" si="0"/>
        <v>3262.8</v>
      </c>
      <c r="F40" s="18" t="e">
        <f>+FACTURACIÓN!#REF!</f>
        <v>#REF!</v>
      </c>
      <c r="G40" s="18">
        <f>+FACTURACIÓN!K38</f>
        <v>0</v>
      </c>
      <c r="H40" s="18">
        <f>+FACTURACIÓN!L38</f>
        <v>45.15</v>
      </c>
      <c r="I40" s="18">
        <f>+FACTURACIÓN!M38</f>
        <v>0</v>
      </c>
      <c r="J40" s="18">
        <f>+FACTURACIÓN!N38</f>
        <v>0</v>
      </c>
      <c r="K40" s="18">
        <f>+FACTURACIÓN!O38</f>
        <v>0</v>
      </c>
      <c r="L40" s="18">
        <f>+FACTURACIÓN!P38</f>
        <v>887.44</v>
      </c>
      <c r="M40" s="21">
        <v>1030</v>
      </c>
      <c r="N40" s="18" t="e">
        <f t="shared" si="1"/>
        <v>#REF!</v>
      </c>
      <c r="O40" s="18" t="e">
        <f t="shared" si="2"/>
        <v>#REF!</v>
      </c>
      <c r="P40" s="110" t="str">
        <f t="shared" si="3"/>
        <v>SI</v>
      </c>
      <c r="Q40" s="111" t="s">
        <v>84</v>
      </c>
      <c r="R40" s="110" t="s">
        <v>85</v>
      </c>
      <c r="S40" s="18">
        <v>1980.23</v>
      </c>
      <c r="T40" s="110" t="s">
        <v>316</v>
      </c>
    </row>
    <row r="41" spans="1:20" x14ac:dyDescent="0.2">
      <c r="A41" s="111" t="s">
        <v>86</v>
      </c>
      <c r="B41" s="110" t="s">
        <v>87</v>
      </c>
      <c r="C41" s="113">
        <f>+FACTURACIÓN!C39+FACTURACIÓN!D39+FACTURACIÓN!E39+FACTURACIÓN!F39+FACTURACIÓN!G39+FACTURACIÓN!H39+FACTURACIÓN!I39-'C&amp;A'!I39</f>
        <v>2112.9205678096514</v>
      </c>
      <c r="D41" s="113">
        <v>0</v>
      </c>
      <c r="E41" s="18">
        <f t="shared" si="0"/>
        <v>2112.9205678096514</v>
      </c>
      <c r="F41" s="18" t="e">
        <f>+FACTURACIÓN!#REF!</f>
        <v>#REF!</v>
      </c>
      <c r="G41" s="18">
        <f>+FACTURACIÓN!K39</f>
        <v>0</v>
      </c>
      <c r="H41" s="18">
        <f>+FACTURACIÓN!L39</f>
        <v>45.15</v>
      </c>
      <c r="I41" s="18">
        <f>+FACTURACIÓN!M39</f>
        <v>0</v>
      </c>
      <c r="J41" s="18">
        <f>+FACTURACIÓN!N39</f>
        <v>0</v>
      </c>
      <c r="K41" s="18">
        <f>+FACTURACIÓN!O39</f>
        <v>0</v>
      </c>
      <c r="L41" s="18">
        <f>+FACTURACIÓN!P39</f>
        <v>0</v>
      </c>
      <c r="M41" s="21">
        <v>0</v>
      </c>
      <c r="N41" s="18" t="e">
        <f t="shared" si="1"/>
        <v>#REF!</v>
      </c>
      <c r="O41" s="18" t="e">
        <f t="shared" si="2"/>
        <v>#REF!</v>
      </c>
      <c r="P41" s="110" t="str">
        <f t="shared" si="3"/>
        <v>SI</v>
      </c>
      <c r="Q41" s="111" t="s">
        <v>86</v>
      </c>
      <c r="R41" s="110" t="s">
        <v>87</v>
      </c>
      <c r="S41" s="18">
        <v>3343.3</v>
      </c>
      <c r="T41" s="110" t="s">
        <v>302</v>
      </c>
    </row>
    <row r="42" spans="1:20" x14ac:dyDescent="0.2">
      <c r="A42" s="111" t="s">
        <v>88</v>
      </c>
      <c r="B42" s="110" t="s">
        <v>89</v>
      </c>
      <c r="C42" s="113">
        <f>+FACTURACIÓN!C40+FACTURACIÓN!D40+FACTURACIÓN!E40+FACTURACIÓN!F40+FACTURACIÓN!G40+FACTURACIÓN!H40+FACTURACIÓN!I40-'C&amp;A'!I40</f>
        <v>3381.4700000000003</v>
      </c>
      <c r="D42" s="113">
        <v>0</v>
      </c>
      <c r="E42" s="18">
        <f t="shared" si="0"/>
        <v>3381.4700000000003</v>
      </c>
      <c r="F42" s="18" t="e">
        <f>+FACTURACIÓN!#REF!</f>
        <v>#REF!</v>
      </c>
      <c r="G42" s="18">
        <f>+FACTURACIÓN!K40</f>
        <v>0</v>
      </c>
      <c r="H42" s="18">
        <f>+FACTURACIÓN!L40</f>
        <v>45.15</v>
      </c>
      <c r="I42" s="18">
        <f>+FACTURACIÓN!M40</f>
        <v>0</v>
      </c>
      <c r="J42" s="18">
        <f>+FACTURACIÓN!N40</f>
        <v>0</v>
      </c>
      <c r="K42" s="18">
        <f>+FACTURACIÓN!O40</f>
        <v>0</v>
      </c>
      <c r="L42" s="18">
        <f>+FACTURACIÓN!P40</f>
        <v>0</v>
      </c>
      <c r="M42" s="21">
        <v>0</v>
      </c>
      <c r="N42" s="18" t="e">
        <f t="shared" si="1"/>
        <v>#REF!</v>
      </c>
      <c r="O42" s="18" t="e">
        <f t="shared" si="2"/>
        <v>#REF!</v>
      </c>
      <c r="P42" s="110" t="str">
        <f t="shared" si="3"/>
        <v>SI</v>
      </c>
      <c r="Q42" s="111" t="s">
        <v>88</v>
      </c>
      <c r="R42" s="110" t="s">
        <v>89</v>
      </c>
      <c r="S42" s="18">
        <v>2823.6499999999996</v>
      </c>
      <c r="T42" s="110" t="s">
        <v>323</v>
      </c>
    </row>
    <row r="43" spans="1:20" x14ac:dyDescent="0.2">
      <c r="A43" s="111" t="s">
        <v>90</v>
      </c>
      <c r="B43" s="110" t="s">
        <v>91</v>
      </c>
      <c r="C43" s="113">
        <f>+FACTURACIÓN!C41+FACTURACIÓN!D41+FACTURACIÓN!E41+FACTURACIÓN!F41+FACTURACIÓN!G41+FACTURACIÓN!H41+FACTURACIÓN!I41-'C&amp;A'!I41</f>
        <v>1473.1763632955849</v>
      </c>
      <c r="D43" s="113">
        <v>0</v>
      </c>
      <c r="E43" s="18">
        <f t="shared" si="0"/>
        <v>1473.1763632955849</v>
      </c>
      <c r="F43" s="18" t="e">
        <f>+FACTURACIÓN!#REF!</f>
        <v>#REF!</v>
      </c>
      <c r="G43" s="18">
        <f>+FACTURACIÓN!K41</f>
        <v>0</v>
      </c>
      <c r="H43" s="18">
        <f>+FACTURACIÓN!L41</f>
        <v>45.15</v>
      </c>
      <c r="I43" s="18">
        <f>+FACTURACIÓN!M41</f>
        <v>0</v>
      </c>
      <c r="J43" s="18">
        <f>+FACTURACIÓN!N41</f>
        <v>0</v>
      </c>
      <c r="K43" s="18">
        <f>+FACTURACIÓN!O41</f>
        <v>0</v>
      </c>
      <c r="L43" s="18">
        <f>+FACTURACIÓN!P41</f>
        <v>0</v>
      </c>
      <c r="M43" s="21">
        <v>0</v>
      </c>
      <c r="N43" s="18" t="e">
        <f t="shared" si="1"/>
        <v>#REF!</v>
      </c>
      <c r="O43" s="18" t="e">
        <f t="shared" si="2"/>
        <v>#REF!</v>
      </c>
      <c r="P43" s="110" t="str">
        <f t="shared" si="3"/>
        <v>SI</v>
      </c>
      <c r="Q43" s="111" t="s">
        <v>90</v>
      </c>
      <c r="R43" s="110" t="s">
        <v>91</v>
      </c>
      <c r="S43" s="18">
        <v>1227.97</v>
      </c>
      <c r="T43" s="110" t="s">
        <v>321</v>
      </c>
    </row>
    <row r="44" spans="1:20" x14ac:dyDescent="0.2">
      <c r="A44" s="111" t="s">
        <v>154</v>
      </c>
      <c r="B44" s="110" t="s">
        <v>155</v>
      </c>
      <c r="C44" s="113">
        <f>+FACTURACIÓN!C42+FACTURACIÓN!D42+FACTURACIÓN!E42+FACTURACIÓN!F42+FACTURACIÓN!G42+FACTURACIÓN!H42+FACTURACIÓN!I42-'C&amp;A'!I42</f>
        <v>17926.079999999998</v>
      </c>
      <c r="D44" s="113">
        <v>0</v>
      </c>
      <c r="E44" s="18">
        <f t="shared" si="0"/>
        <v>17926.079999999998</v>
      </c>
      <c r="F44" s="18" t="e">
        <f>+FACTURACIÓN!#REF!</f>
        <v>#REF!</v>
      </c>
      <c r="G44" s="18">
        <f>+FACTURACIÓN!K42</f>
        <v>0</v>
      </c>
      <c r="H44" s="18">
        <f>+FACTURACIÓN!L42</f>
        <v>45.15</v>
      </c>
      <c r="I44" s="18">
        <f>+FACTURACIÓN!M42</f>
        <v>0</v>
      </c>
      <c r="J44" s="18">
        <f>+FACTURACIÓN!N42</f>
        <v>0</v>
      </c>
      <c r="K44" s="18">
        <f>+FACTURACIÓN!O42</f>
        <v>0</v>
      </c>
      <c r="L44" s="18">
        <f>+FACTURACIÓN!P42</f>
        <v>0</v>
      </c>
      <c r="M44" s="21">
        <v>0</v>
      </c>
      <c r="N44" s="18" t="e">
        <f t="shared" si="1"/>
        <v>#REF!</v>
      </c>
      <c r="O44" s="18" t="e">
        <f t="shared" si="2"/>
        <v>#REF!</v>
      </c>
      <c r="P44" s="110" t="str">
        <f t="shared" si="3"/>
        <v>SI</v>
      </c>
      <c r="Q44" s="111" t="s">
        <v>154</v>
      </c>
      <c r="R44" s="110" t="s">
        <v>155</v>
      </c>
      <c r="S44" s="18">
        <v>17291.090999999997</v>
      </c>
      <c r="T44" s="110" t="s">
        <v>349</v>
      </c>
    </row>
    <row r="45" spans="1:20" x14ac:dyDescent="0.2">
      <c r="A45" s="111" t="s">
        <v>92</v>
      </c>
      <c r="B45" s="110" t="s">
        <v>93</v>
      </c>
      <c r="C45" s="113" t="e">
        <f>+FACTURACIÓN!C70+FACTURACIÓN!D70+FACTURACIÓN!E70+FACTURACIÓN!F70+FACTURACIÓN!G70+FACTURACIÓN!H70+FACTURACIÓN!I70-'C&amp;A'!#REF!</f>
        <v>#REF!</v>
      </c>
      <c r="D45" s="113">
        <v>0</v>
      </c>
      <c r="E45" s="18" t="e">
        <f t="shared" si="0"/>
        <v>#REF!</v>
      </c>
      <c r="F45" s="18" t="e">
        <f>+FACTURACIÓN!#REF!</f>
        <v>#REF!</v>
      </c>
      <c r="G45" s="18">
        <f>+FACTURACIÓN!K70</f>
        <v>0</v>
      </c>
      <c r="H45" s="18" t="e">
        <f>+FACTURACIÓN!L70</f>
        <v>#REF!</v>
      </c>
      <c r="I45" s="18" t="e">
        <f>+FACTURACIÓN!M70</f>
        <v>#REF!</v>
      </c>
      <c r="J45" s="18" t="e">
        <f>+FACTURACIÓN!N70</f>
        <v>#REF!</v>
      </c>
      <c r="K45" s="18">
        <f>+FACTURACIÓN!O70</f>
        <v>0</v>
      </c>
      <c r="L45" s="18" t="e">
        <f>+FACTURACIÓN!P70</f>
        <v>#REF!</v>
      </c>
      <c r="M45" s="21">
        <v>0</v>
      </c>
      <c r="N45" s="18" t="e">
        <f t="shared" si="1"/>
        <v>#REF!</v>
      </c>
      <c r="O45" s="18" t="e">
        <f t="shared" si="2"/>
        <v>#REF!</v>
      </c>
      <c r="P45" s="110" t="str">
        <f t="shared" si="3"/>
        <v>SI</v>
      </c>
      <c r="Q45" s="111" t="s">
        <v>92</v>
      </c>
      <c r="R45" s="110" t="s">
        <v>93</v>
      </c>
      <c r="S45" s="18">
        <v>1708.18</v>
      </c>
      <c r="T45" s="110" t="s">
        <v>332</v>
      </c>
    </row>
    <row r="46" spans="1:20" x14ac:dyDescent="0.2">
      <c r="A46" s="111" t="s">
        <v>94</v>
      </c>
      <c r="B46" s="110" t="s">
        <v>95</v>
      </c>
      <c r="C46" s="113">
        <f>+FACTURACIÓN!C43+FACTURACIÓN!D43+FACTURACIÓN!E43+FACTURACIÓN!F43+FACTURACIÓN!G43+FACTURACIÓN!H43+FACTURACIÓN!I43-'C&amp;A'!I43</f>
        <v>2137.9205678096519</v>
      </c>
      <c r="D46" s="113">
        <v>0</v>
      </c>
      <c r="E46" s="18">
        <f t="shared" si="0"/>
        <v>2137.9205678096519</v>
      </c>
      <c r="F46" s="18" t="e">
        <f>+FACTURACIÓN!#REF!</f>
        <v>#REF!</v>
      </c>
      <c r="G46" s="18">
        <f>+FACTURACIÓN!K43</f>
        <v>0</v>
      </c>
      <c r="H46" s="18">
        <f>+FACTURACIÓN!L43</f>
        <v>45.15</v>
      </c>
      <c r="I46" s="18">
        <f>+FACTURACIÓN!M43</f>
        <v>0</v>
      </c>
      <c r="J46" s="18">
        <f>+FACTURACIÓN!N43</f>
        <v>0</v>
      </c>
      <c r="K46" s="18">
        <f>+FACTURACIÓN!O43</f>
        <v>0</v>
      </c>
      <c r="L46" s="18">
        <f>+FACTURACIÓN!P43</f>
        <v>0</v>
      </c>
      <c r="M46" s="21">
        <v>498.33333333333331</v>
      </c>
      <c r="N46" s="18" t="e">
        <f t="shared" si="1"/>
        <v>#REF!</v>
      </c>
      <c r="O46" s="18" t="e">
        <f t="shared" si="2"/>
        <v>#REF!</v>
      </c>
      <c r="P46" s="110" t="str">
        <f t="shared" si="3"/>
        <v>SI</v>
      </c>
      <c r="Q46" s="111" t="s">
        <v>94</v>
      </c>
      <c r="R46" s="110" t="s">
        <v>95</v>
      </c>
      <c r="S46" s="18">
        <v>1737.8999999999999</v>
      </c>
      <c r="T46" s="110" t="s">
        <v>309</v>
      </c>
    </row>
    <row r="47" spans="1:20" x14ac:dyDescent="0.2">
      <c r="A47" s="111" t="s">
        <v>96</v>
      </c>
      <c r="B47" s="110" t="s">
        <v>97</v>
      </c>
      <c r="C47" s="113">
        <f>+FACTURACIÓN!C44+FACTURACIÓN!D44+FACTURACIÓN!E44+FACTURACIÓN!F44+FACTURACIÓN!G44+FACTURACIÓN!H44+FACTURACIÓN!I44-'C&amp;A'!I44</f>
        <v>2037.9205678096519</v>
      </c>
      <c r="D47" s="113">
        <v>0</v>
      </c>
      <c r="E47" s="18">
        <f t="shared" si="0"/>
        <v>2037.9205678096519</v>
      </c>
      <c r="F47" s="18" t="e">
        <f>+FACTURACIÓN!#REF!</f>
        <v>#REF!</v>
      </c>
      <c r="G47" s="18">
        <f>+FACTURACIÓN!K44</f>
        <v>0</v>
      </c>
      <c r="H47" s="18">
        <f>+FACTURACIÓN!L44</f>
        <v>45.15</v>
      </c>
      <c r="I47" s="18">
        <f>+FACTURACIÓN!M44</f>
        <v>0</v>
      </c>
      <c r="J47" s="18">
        <f>+FACTURACIÓN!N44</f>
        <v>0</v>
      </c>
      <c r="K47" s="18">
        <f>+FACTURACIÓN!O44</f>
        <v>0</v>
      </c>
      <c r="L47" s="18">
        <f>+FACTURACIÓN!P44</f>
        <v>0</v>
      </c>
      <c r="M47" s="21">
        <v>0</v>
      </c>
      <c r="N47" s="18" t="e">
        <f t="shared" si="1"/>
        <v>#REF!</v>
      </c>
      <c r="O47" s="18" t="e">
        <f t="shared" si="2"/>
        <v>#REF!</v>
      </c>
      <c r="P47" s="110" t="str">
        <f t="shared" si="3"/>
        <v>SI</v>
      </c>
      <c r="Q47" s="111" t="s">
        <v>96</v>
      </c>
      <c r="R47" s="110" t="s">
        <v>97</v>
      </c>
      <c r="S47" s="18">
        <v>2037.8999999999999</v>
      </c>
      <c r="T47" s="110" t="s">
        <v>342</v>
      </c>
    </row>
    <row r="48" spans="1:20" x14ac:dyDescent="0.2">
      <c r="A48" s="111" t="s">
        <v>100</v>
      </c>
      <c r="B48" s="110" t="s">
        <v>101</v>
      </c>
      <c r="C48" s="113">
        <f>+FACTURACIÓN!C45+FACTURACIÓN!D45+FACTURACIÓN!E45+FACTURACIÓN!F45+FACTURACIÓN!G45+FACTURACIÓN!H45+FACTURACIÓN!I45-'C&amp;A'!I45</f>
        <v>14661.84</v>
      </c>
      <c r="D48" s="113">
        <v>0</v>
      </c>
      <c r="E48" s="18">
        <f t="shared" si="0"/>
        <v>14661.84</v>
      </c>
      <c r="F48" s="18" t="e">
        <f>+FACTURACIÓN!#REF!</f>
        <v>#REF!</v>
      </c>
      <c r="G48" s="18">
        <f>+FACTURACIÓN!K45</f>
        <v>0</v>
      </c>
      <c r="H48" s="18">
        <f>+FACTURACIÓN!L45</f>
        <v>45.15</v>
      </c>
      <c r="I48" s="18">
        <f>+FACTURACIÓN!M45</f>
        <v>0</v>
      </c>
      <c r="J48" s="18">
        <f>+FACTURACIÓN!N45</f>
        <v>0</v>
      </c>
      <c r="K48" s="18">
        <f>+FACTURACIÓN!O45</f>
        <v>0</v>
      </c>
      <c r="L48" s="18">
        <f>+FACTURACIÓN!P45</f>
        <v>0</v>
      </c>
      <c r="M48" s="21">
        <v>0</v>
      </c>
      <c r="N48" s="18" t="e">
        <f t="shared" si="1"/>
        <v>#REF!</v>
      </c>
      <c r="O48" s="18" t="e">
        <f t="shared" si="2"/>
        <v>#REF!</v>
      </c>
      <c r="P48" s="110" t="str">
        <f t="shared" si="3"/>
        <v>SI</v>
      </c>
      <c r="Q48" s="111" t="s">
        <v>100</v>
      </c>
      <c r="R48" s="110" t="s">
        <v>101</v>
      </c>
      <c r="S48" s="18">
        <v>12865.611000000001</v>
      </c>
      <c r="T48" s="110" t="s">
        <v>333</v>
      </c>
    </row>
    <row r="49" spans="1:20" x14ac:dyDescent="0.2">
      <c r="A49" s="111" t="s">
        <v>98</v>
      </c>
      <c r="B49" s="110" t="s">
        <v>99</v>
      </c>
      <c r="C49" s="113">
        <f>+FACTURACIÓN!C46+FACTURACIÓN!D46+FACTURACIÓN!E46+FACTURACIÓN!F46+FACTURACIÓN!G46+FACTURACIÓN!H46+FACTURACIÓN!I46-'C&amp;A'!I46</f>
        <v>9326.74</v>
      </c>
      <c r="D49" s="113">
        <v>0</v>
      </c>
      <c r="E49" s="18">
        <f t="shared" si="0"/>
        <v>9326.74</v>
      </c>
      <c r="F49" s="18" t="e">
        <f>+FACTURACIÓN!#REF!</f>
        <v>#REF!</v>
      </c>
      <c r="G49" s="18">
        <f>+FACTURACIÓN!K46</f>
        <v>0</v>
      </c>
      <c r="H49" s="18">
        <f>+FACTURACIÓN!L46</f>
        <v>45.15</v>
      </c>
      <c r="I49" s="18">
        <f>+FACTURACIÓN!M46</f>
        <v>0</v>
      </c>
      <c r="J49" s="18">
        <f>+FACTURACIÓN!N46</f>
        <v>0</v>
      </c>
      <c r="K49" s="18">
        <f>+FACTURACIÓN!O46</f>
        <v>0</v>
      </c>
      <c r="L49" s="18">
        <f>+FACTURACIÓN!P46</f>
        <v>395.88</v>
      </c>
      <c r="M49" s="21">
        <v>0</v>
      </c>
      <c r="N49" s="18" t="e">
        <f t="shared" si="1"/>
        <v>#REF!</v>
      </c>
      <c r="O49" s="18" t="e">
        <f t="shared" si="2"/>
        <v>#REF!</v>
      </c>
      <c r="P49" s="110" t="str">
        <f t="shared" si="3"/>
        <v>SI</v>
      </c>
      <c r="Q49" s="111" t="s">
        <v>98</v>
      </c>
      <c r="R49" s="110" t="s">
        <v>99</v>
      </c>
      <c r="S49" s="18">
        <v>7626.0629999999992</v>
      </c>
      <c r="T49" s="110" t="s">
        <v>338</v>
      </c>
    </row>
    <row r="50" spans="1:20" x14ac:dyDescent="0.2">
      <c r="A50" s="111" t="s">
        <v>102</v>
      </c>
      <c r="B50" s="110" t="s">
        <v>103</v>
      </c>
      <c r="C50" s="113">
        <f>+FACTURACIÓN!C47+FACTURACIÓN!D47+FACTURACIÓN!E47+FACTURACIÓN!F47+FACTURACIÓN!G47+FACTURACIÓN!H47+FACTURACIÓN!I47-'C&amp;A'!I47</f>
        <v>1908.173897131358</v>
      </c>
      <c r="D50" s="113">
        <v>0</v>
      </c>
      <c r="E50" s="18">
        <f t="shared" si="0"/>
        <v>1908.173897131358</v>
      </c>
      <c r="F50" s="18" t="e">
        <f>+FACTURACIÓN!#REF!</f>
        <v>#REF!</v>
      </c>
      <c r="G50" s="18">
        <f>+FACTURACIÓN!K47</f>
        <v>0</v>
      </c>
      <c r="H50" s="18">
        <f>+FACTURACIÓN!L47</f>
        <v>45.15</v>
      </c>
      <c r="I50" s="18">
        <f>+FACTURACIÓN!M47</f>
        <v>0</v>
      </c>
      <c r="J50" s="18">
        <f>+FACTURACIÓN!N47</f>
        <v>0</v>
      </c>
      <c r="K50" s="18">
        <f>+FACTURACIÓN!O47</f>
        <v>0</v>
      </c>
      <c r="L50" s="18">
        <f>+FACTURACIÓN!P47</f>
        <v>0</v>
      </c>
      <c r="M50" s="21">
        <v>0</v>
      </c>
      <c r="N50" s="18" t="e">
        <f t="shared" si="1"/>
        <v>#REF!</v>
      </c>
      <c r="O50" s="18" t="e">
        <f t="shared" si="2"/>
        <v>#REF!</v>
      </c>
      <c r="P50" s="110" t="str">
        <f t="shared" si="3"/>
        <v>SI</v>
      </c>
      <c r="Q50" s="111" t="s">
        <v>102</v>
      </c>
      <c r="R50" s="110" t="s">
        <v>103</v>
      </c>
      <c r="S50" s="18">
        <v>1908.18</v>
      </c>
      <c r="T50" s="110" t="s">
        <v>349</v>
      </c>
    </row>
    <row r="51" spans="1:20" x14ac:dyDescent="0.2">
      <c r="A51" s="111" t="s">
        <v>104</v>
      </c>
      <c r="B51" s="110" t="s">
        <v>105</v>
      </c>
      <c r="C51" s="113">
        <f>+FACTURACIÓN!C48+FACTURACIÓN!D48+FACTURACIÓN!E48+FACTURACIÓN!F48+FACTURACIÓN!G48+FACTURACIÓN!H48+FACTURACIÓN!I48-'C&amp;A'!I48</f>
        <v>5762.8</v>
      </c>
      <c r="D51" s="113">
        <v>0</v>
      </c>
      <c r="E51" s="18">
        <f t="shared" si="0"/>
        <v>5762.8</v>
      </c>
      <c r="F51" s="18" t="e">
        <f>+FACTURACIÓN!#REF!</f>
        <v>#REF!</v>
      </c>
      <c r="G51" s="18">
        <f>+FACTURACIÓN!K48</f>
        <v>0</v>
      </c>
      <c r="H51" s="18">
        <f>+FACTURACIÓN!L48</f>
        <v>45.15</v>
      </c>
      <c r="I51" s="18">
        <f>+FACTURACIÓN!M48</f>
        <v>0</v>
      </c>
      <c r="J51" s="18">
        <f>+FACTURACIÓN!N48</f>
        <v>0</v>
      </c>
      <c r="K51" s="18">
        <f>+FACTURACIÓN!O48</f>
        <v>0</v>
      </c>
      <c r="L51" s="18">
        <f>+FACTURACIÓN!P48</f>
        <v>0</v>
      </c>
      <c r="M51" s="21">
        <v>0</v>
      </c>
      <c r="N51" s="18" t="e">
        <f t="shared" si="1"/>
        <v>#REF!</v>
      </c>
      <c r="O51" s="18" t="e">
        <f t="shared" si="2"/>
        <v>#REF!</v>
      </c>
      <c r="P51" s="110" t="str">
        <f t="shared" si="3"/>
        <v>SI</v>
      </c>
      <c r="Q51" s="111" t="s">
        <v>104</v>
      </c>
      <c r="R51" s="110" t="s">
        <v>105</v>
      </c>
      <c r="S51" s="18">
        <v>5472.183</v>
      </c>
      <c r="T51" s="110" t="s">
        <v>328</v>
      </c>
    </row>
    <row r="52" spans="1:20" x14ac:dyDescent="0.2">
      <c r="A52" s="111" t="s">
        <v>106</v>
      </c>
      <c r="B52" s="110" t="s">
        <v>107</v>
      </c>
      <c r="C52" s="113">
        <f>+FACTURACIÓN!C49+FACTURACIÓN!D49+FACTURACIÓN!E49+FACTURACIÓN!F49+FACTURACIÓN!G49+FACTURACIÓN!H49+FACTURACIÓN!I49-'C&amp;A'!I49</f>
        <v>1908.173897131358</v>
      </c>
      <c r="D52" s="113">
        <v>0</v>
      </c>
      <c r="E52" s="18">
        <f t="shared" si="0"/>
        <v>1908.173897131358</v>
      </c>
      <c r="F52" s="18" t="e">
        <f>+FACTURACIÓN!#REF!</f>
        <v>#REF!</v>
      </c>
      <c r="G52" s="18">
        <f>+FACTURACIÓN!K49</f>
        <v>0</v>
      </c>
      <c r="H52" s="18">
        <f>+FACTURACIÓN!L49</f>
        <v>45.15</v>
      </c>
      <c r="I52" s="18">
        <f>+FACTURACIÓN!M49</f>
        <v>0</v>
      </c>
      <c r="J52" s="18">
        <f>+FACTURACIÓN!N49</f>
        <v>0</v>
      </c>
      <c r="K52" s="18">
        <f>+FACTURACIÓN!O49</f>
        <v>0</v>
      </c>
      <c r="L52" s="18">
        <f>+FACTURACIÓN!P49</f>
        <v>0</v>
      </c>
      <c r="M52" s="21">
        <v>0</v>
      </c>
      <c r="N52" s="18" t="e">
        <f t="shared" si="1"/>
        <v>#REF!</v>
      </c>
      <c r="O52" s="18" t="e">
        <f t="shared" si="2"/>
        <v>#REF!</v>
      </c>
      <c r="P52" s="110" t="str">
        <f t="shared" si="3"/>
        <v>SI</v>
      </c>
      <c r="Q52" s="111" t="s">
        <v>106</v>
      </c>
      <c r="R52" s="110" t="s">
        <v>107</v>
      </c>
      <c r="S52" s="18">
        <v>1713.05</v>
      </c>
      <c r="T52" s="110" t="s">
        <v>319</v>
      </c>
    </row>
    <row r="53" spans="1:20" x14ac:dyDescent="0.2">
      <c r="A53" s="111" t="s">
        <v>108</v>
      </c>
      <c r="B53" s="110" t="s">
        <v>109</v>
      </c>
      <c r="C53" s="113">
        <f>+FACTURACIÓN!C50+FACTURACIÓN!D50+FACTURACIÓN!E50+FACTURACIÓN!F50+FACTURACIÓN!G50+FACTURACIÓN!H50+FACTURACIÓN!I50-'C&amp;A'!I50</f>
        <v>6962.8</v>
      </c>
      <c r="D53" s="113">
        <v>0</v>
      </c>
      <c r="E53" s="18">
        <f t="shared" si="0"/>
        <v>6962.8</v>
      </c>
      <c r="F53" s="18" t="e">
        <f>+FACTURACIÓN!#REF!</f>
        <v>#REF!</v>
      </c>
      <c r="G53" s="18">
        <f>+FACTURACIÓN!K50</f>
        <v>0</v>
      </c>
      <c r="H53" s="18">
        <f>+FACTURACIÓN!L50</f>
        <v>45.15</v>
      </c>
      <c r="I53" s="18">
        <f>+FACTURACIÓN!M50</f>
        <v>0</v>
      </c>
      <c r="J53" s="18">
        <f>+FACTURACIÓN!N50</f>
        <v>0</v>
      </c>
      <c r="K53" s="18">
        <f>+FACTURACIÓN!O50</f>
        <v>0</v>
      </c>
      <c r="L53" s="18">
        <f>+FACTURACIÓN!P50</f>
        <v>0</v>
      </c>
      <c r="M53" s="21">
        <v>600</v>
      </c>
      <c r="N53" s="18" t="e">
        <f t="shared" si="1"/>
        <v>#REF!</v>
      </c>
      <c r="O53" s="18" t="e">
        <f t="shared" si="2"/>
        <v>#REF!</v>
      </c>
      <c r="P53" s="110" t="str">
        <f t="shared" si="3"/>
        <v>SI</v>
      </c>
      <c r="Q53" s="111" t="s">
        <v>108</v>
      </c>
      <c r="R53" s="110" t="s">
        <v>109</v>
      </c>
      <c r="S53" s="18">
        <v>3312.183</v>
      </c>
      <c r="T53" s="110" t="s">
        <v>330</v>
      </c>
    </row>
    <row r="54" spans="1:20" x14ac:dyDescent="0.2">
      <c r="A54" s="111" t="s">
        <v>110</v>
      </c>
      <c r="B54" s="110" t="s">
        <v>111</v>
      </c>
      <c r="C54" s="113" t="e">
        <f>+FACTURACIÓN!#REF!+FACTURACIÓN!#REF!+FACTURACIÓN!#REF!+FACTURACIÓN!#REF!+FACTURACIÓN!#REF!+FACTURACIÓN!#REF!+FACTURACIÓN!#REF!-'C&amp;A'!I52</f>
        <v>#REF!</v>
      </c>
      <c r="D54" s="113">
        <v>0</v>
      </c>
      <c r="E54" s="18" t="e">
        <f t="shared" si="0"/>
        <v>#REF!</v>
      </c>
      <c r="F54" s="18" t="e">
        <f>+FACTURACIÓN!#REF!</f>
        <v>#REF!</v>
      </c>
      <c r="G54" s="18" t="e">
        <f>+FACTURACIÓN!#REF!</f>
        <v>#REF!</v>
      </c>
      <c r="H54" s="18" t="e">
        <f>+FACTURACIÓN!#REF!</f>
        <v>#REF!</v>
      </c>
      <c r="I54" s="18" t="e">
        <f>+FACTURACIÓN!#REF!</f>
        <v>#REF!</v>
      </c>
      <c r="J54" s="18" t="e">
        <f>+FACTURACIÓN!#REF!</f>
        <v>#REF!</v>
      </c>
      <c r="K54" s="18" t="e">
        <f>+FACTURACIÓN!#REF!</f>
        <v>#REF!</v>
      </c>
      <c r="L54" s="18" t="e">
        <f>+FACTURACIÓN!#REF!</f>
        <v>#REF!</v>
      </c>
      <c r="M54" s="21">
        <v>0</v>
      </c>
      <c r="N54" s="18" t="e">
        <f t="shared" si="1"/>
        <v>#REF!</v>
      </c>
      <c r="O54" s="18" t="e">
        <f t="shared" si="2"/>
        <v>#REF!</v>
      </c>
      <c r="P54" s="110" t="str">
        <f t="shared" si="3"/>
        <v>SI</v>
      </c>
      <c r="Q54" s="111" t="s">
        <v>110</v>
      </c>
      <c r="R54" s="110" t="s">
        <v>111</v>
      </c>
      <c r="S54" s="18">
        <v>1459.6900000000003</v>
      </c>
      <c r="T54" s="110" t="s">
        <v>334</v>
      </c>
    </row>
    <row r="55" spans="1:20" x14ac:dyDescent="0.2">
      <c r="A55" s="111" t="s">
        <v>112</v>
      </c>
      <c r="B55" s="110" t="s">
        <v>113</v>
      </c>
      <c r="C55" s="113">
        <f>+FACTURACIÓN!C53+FACTURACIÓN!D53+FACTURACIÓN!E53+FACTURACIÓN!F53+FACTURACIÓN!G53+FACTURACIÓN!H53+FACTURACIÓN!I53-'C&amp;A'!I53</f>
        <v>6183.8</v>
      </c>
      <c r="D55" s="113">
        <v>0</v>
      </c>
      <c r="E55" s="18">
        <f t="shared" si="0"/>
        <v>6183.8</v>
      </c>
      <c r="F55" s="18" t="e">
        <f>+FACTURACIÓN!#REF!</f>
        <v>#REF!</v>
      </c>
      <c r="G55" s="18">
        <f>+FACTURACIÓN!K53</f>
        <v>0</v>
      </c>
      <c r="H55" s="18">
        <f>+FACTURACIÓN!L53</f>
        <v>45.15</v>
      </c>
      <c r="I55" s="18">
        <f>+FACTURACIÓN!M53</f>
        <v>0</v>
      </c>
      <c r="J55" s="18">
        <f>+FACTURACIÓN!N53</f>
        <v>0</v>
      </c>
      <c r="K55" s="18">
        <f>+FACTURACIÓN!O53</f>
        <v>0</v>
      </c>
      <c r="L55" s="18">
        <f>+FACTURACIÓN!P53</f>
        <v>1041.05</v>
      </c>
      <c r="M55" s="21">
        <v>0</v>
      </c>
      <c r="N55" s="18" t="e">
        <f t="shared" si="1"/>
        <v>#REF!</v>
      </c>
      <c r="O55" s="18" t="e">
        <f t="shared" si="2"/>
        <v>#REF!</v>
      </c>
      <c r="P55" s="110" t="str">
        <f t="shared" si="3"/>
        <v>SI</v>
      </c>
      <c r="Q55" s="111" t="s">
        <v>112</v>
      </c>
      <c r="R55" s="110" t="s">
        <v>113</v>
      </c>
      <c r="S55" s="18">
        <v>4686.5280000000002</v>
      </c>
      <c r="T55" s="110" t="s">
        <v>304</v>
      </c>
    </row>
    <row r="56" spans="1:20" x14ac:dyDescent="0.2">
      <c r="A56" s="111" t="s">
        <v>114</v>
      </c>
      <c r="B56" s="110" t="s">
        <v>115</v>
      </c>
      <c r="C56" s="113">
        <f>+FACTURACIÓN!C54+FACTURACIÓN!D54+FACTURACIÓN!E54+FACTURACIÓN!F54+FACTURACIÓN!G54+FACTURACIÓN!H54+FACTURACIÓN!I54-'C&amp;A'!I54</f>
        <v>2682.8</v>
      </c>
      <c r="D56" s="113">
        <v>0</v>
      </c>
      <c r="E56" s="18">
        <f t="shared" si="0"/>
        <v>2682.8</v>
      </c>
      <c r="F56" s="18" t="e">
        <f>+FACTURACIÓN!#REF!</f>
        <v>#REF!</v>
      </c>
      <c r="G56" s="18">
        <f>+FACTURACIÓN!K54</f>
        <v>0</v>
      </c>
      <c r="H56" s="18">
        <f>+FACTURACIÓN!L54</f>
        <v>45.15</v>
      </c>
      <c r="I56" s="18">
        <f>+FACTURACIÓN!M54</f>
        <v>0</v>
      </c>
      <c r="J56" s="18">
        <f>+FACTURACIÓN!N54</f>
        <v>0</v>
      </c>
      <c r="K56" s="18">
        <f>+FACTURACIÓN!O54</f>
        <v>0</v>
      </c>
      <c r="L56" s="18">
        <f>+FACTURACIÓN!P54</f>
        <v>0</v>
      </c>
      <c r="M56" s="21">
        <v>0</v>
      </c>
      <c r="N56" s="18" t="e">
        <f t="shared" si="1"/>
        <v>#REF!</v>
      </c>
      <c r="O56" s="18" t="e">
        <f t="shared" si="2"/>
        <v>#REF!</v>
      </c>
      <c r="P56" s="110" t="str">
        <f t="shared" si="3"/>
        <v>SI</v>
      </c>
      <c r="Q56" s="111" t="s">
        <v>114</v>
      </c>
      <c r="R56" s="110" t="s">
        <v>115</v>
      </c>
      <c r="S56" s="18">
        <v>437.07000000000039</v>
      </c>
      <c r="T56" s="110" t="s">
        <v>344</v>
      </c>
    </row>
    <row r="57" spans="1:20" x14ac:dyDescent="0.2">
      <c r="A57" s="111" t="s">
        <v>116</v>
      </c>
      <c r="B57" s="110" t="s">
        <v>117</v>
      </c>
      <c r="C57" s="113">
        <f>+FACTURACIÓN!C55+FACTURACIÓN!D55+FACTURACIÓN!E55+FACTURACIÓN!F55+FACTURACIÓN!G55+FACTURACIÓN!H55+FACTURACIÓN!I55-'C&amp;A'!I55</f>
        <v>11762.8</v>
      </c>
      <c r="D57" s="113">
        <v>0</v>
      </c>
      <c r="E57" s="18">
        <f t="shared" si="0"/>
        <v>11762.8</v>
      </c>
      <c r="F57" s="18" t="e">
        <f>+FACTURACIÓN!#REF!</f>
        <v>#REF!</v>
      </c>
      <c r="G57" s="18">
        <f>+FACTURACIÓN!K55</f>
        <v>0</v>
      </c>
      <c r="H57" s="18">
        <f>+FACTURACIÓN!L55</f>
        <v>45.15</v>
      </c>
      <c r="I57" s="18">
        <f>+FACTURACIÓN!M55</f>
        <v>0</v>
      </c>
      <c r="J57" s="18">
        <f>+FACTURACIÓN!N55</f>
        <v>0</v>
      </c>
      <c r="K57" s="18">
        <f>+FACTURACIÓN!O55</f>
        <v>0</v>
      </c>
      <c r="L57" s="18">
        <f>+FACTURACIÓN!P55</f>
        <v>462.61</v>
      </c>
      <c r="M57" s="21">
        <v>0</v>
      </c>
      <c r="N57" s="18" t="e">
        <f t="shared" si="1"/>
        <v>#REF!</v>
      </c>
      <c r="O57" s="18" t="e">
        <f t="shared" si="2"/>
        <v>#REF!</v>
      </c>
      <c r="P57" s="110" t="str">
        <f t="shared" si="3"/>
        <v>SI</v>
      </c>
      <c r="Q57" s="111" t="s">
        <v>116</v>
      </c>
      <c r="R57" s="110" t="s">
        <v>117</v>
      </c>
      <c r="S57" s="18">
        <v>14659.040999999997</v>
      </c>
      <c r="T57" s="110" t="s">
        <v>312</v>
      </c>
    </row>
    <row r="58" spans="1:20" x14ac:dyDescent="0.2">
      <c r="A58" s="111" t="s">
        <v>118</v>
      </c>
      <c r="B58" s="110" t="s">
        <v>119</v>
      </c>
      <c r="C58" s="113">
        <f>+FACTURACIÓN!C56+FACTURACIÓN!D56+FACTURACIÓN!E56+FACTURACIÓN!F56+FACTURACIÓN!G56+FACTURACIÓN!H56+FACTURACIÓN!I56-'C&amp;A'!I56</f>
        <v>1708.173897131358</v>
      </c>
      <c r="D58" s="113">
        <v>0</v>
      </c>
      <c r="E58" s="18">
        <f t="shared" si="0"/>
        <v>1708.173897131358</v>
      </c>
      <c r="F58" s="18" t="e">
        <f>+FACTURACIÓN!#REF!</f>
        <v>#REF!</v>
      </c>
      <c r="G58" s="18">
        <f>+FACTURACIÓN!K56</f>
        <v>0</v>
      </c>
      <c r="H58" s="18">
        <f>+FACTURACIÓN!L56</f>
        <v>45.15</v>
      </c>
      <c r="I58" s="18">
        <f>+FACTURACIÓN!M56</f>
        <v>0</v>
      </c>
      <c r="J58" s="18">
        <f>+FACTURACIÓN!N56</f>
        <v>0</v>
      </c>
      <c r="K58" s="18">
        <f>+FACTURACIÓN!O56</f>
        <v>0</v>
      </c>
      <c r="L58" s="18">
        <f>+FACTURACIÓN!P56</f>
        <v>0</v>
      </c>
      <c r="M58" s="21">
        <v>0</v>
      </c>
      <c r="N58" s="18" t="e">
        <f t="shared" si="1"/>
        <v>#REF!</v>
      </c>
      <c r="O58" s="18" t="e">
        <f t="shared" si="2"/>
        <v>#REF!</v>
      </c>
      <c r="P58" s="110" t="str">
        <f t="shared" si="3"/>
        <v>SI</v>
      </c>
      <c r="Q58" s="111" t="s">
        <v>118</v>
      </c>
      <c r="R58" s="110" t="s">
        <v>119</v>
      </c>
      <c r="S58" s="18">
        <v>1708.18</v>
      </c>
      <c r="T58" s="110" t="s">
        <v>337</v>
      </c>
    </row>
    <row r="59" spans="1:20" x14ac:dyDescent="0.2">
      <c r="A59" s="111" t="s">
        <v>120</v>
      </c>
      <c r="B59" s="110" t="s">
        <v>121</v>
      </c>
      <c r="C59" s="113">
        <f>+FACTURACIÓN!C57+FACTURACIÓN!D57+FACTURACIÓN!E57+FACTURACIÓN!F57+FACTURACIÓN!G57+FACTURACIÓN!H57+FACTURACIÓN!I57-'C&amp;A'!I57</f>
        <v>6262.8</v>
      </c>
      <c r="D59" s="113">
        <v>0</v>
      </c>
      <c r="E59" s="18">
        <f t="shared" si="0"/>
        <v>6262.8</v>
      </c>
      <c r="F59" s="18" t="e">
        <f>+FACTURACIÓN!#REF!</f>
        <v>#REF!</v>
      </c>
      <c r="G59" s="18">
        <f>+FACTURACIÓN!K57</f>
        <v>0</v>
      </c>
      <c r="H59" s="18">
        <f>+FACTURACIÓN!L57</f>
        <v>45.15</v>
      </c>
      <c r="I59" s="18">
        <f>+FACTURACIÓN!M57</f>
        <v>0</v>
      </c>
      <c r="J59" s="18">
        <f>+FACTURACIÓN!N57</f>
        <v>0</v>
      </c>
      <c r="K59" s="18">
        <f>+FACTURACIÓN!O57</f>
        <v>0</v>
      </c>
      <c r="L59" s="18">
        <f>+FACTURACIÓN!P57</f>
        <v>0</v>
      </c>
      <c r="M59" s="21">
        <v>650</v>
      </c>
      <c r="N59" s="18" t="e">
        <f t="shared" si="1"/>
        <v>#REF!</v>
      </c>
      <c r="O59" s="18" t="e">
        <f t="shared" si="2"/>
        <v>#REF!</v>
      </c>
      <c r="P59" s="110" t="str">
        <f t="shared" si="3"/>
        <v>SI</v>
      </c>
      <c r="Q59" s="111" t="s">
        <v>120</v>
      </c>
      <c r="R59" s="110" t="s">
        <v>121</v>
      </c>
      <c r="S59" s="18">
        <v>5472.183</v>
      </c>
      <c r="T59" s="110" t="s">
        <v>348</v>
      </c>
    </row>
    <row r="60" spans="1:20" x14ac:dyDescent="0.2">
      <c r="A60" s="111" t="s">
        <v>122</v>
      </c>
      <c r="B60" s="110" t="s">
        <v>123</v>
      </c>
      <c r="C60" s="113">
        <f>+FACTURACIÓN!C58+FACTURACIÓN!D58+FACTURACIÓN!E58+FACTURACIÓN!F58+FACTURACIÓN!G58+FACTURACIÓN!H58+FACTURACIÓN!I58-'C&amp;A'!I58</f>
        <v>1908.173897131358</v>
      </c>
      <c r="D60" s="113">
        <v>0</v>
      </c>
      <c r="E60" s="18">
        <f t="shared" si="0"/>
        <v>1908.173897131358</v>
      </c>
      <c r="F60" s="18" t="e">
        <f>+FACTURACIÓN!#REF!</f>
        <v>#REF!</v>
      </c>
      <c r="G60" s="18">
        <f>+FACTURACIÓN!K58</f>
        <v>0</v>
      </c>
      <c r="H60" s="18">
        <f>+FACTURACIÓN!L58</f>
        <v>45.15</v>
      </c>
      <c r="I60" s="18">
        <f>+FACTURACIÓN!M58</f>
        <v>0</v>
      </c>
      <c r="J60" s="18">
        <f>+FACTURACIÓN!N58</f>
        <v>0</v>
      </c>
      <c r="K60" s="18">
        <f>+FACTURACIÓN!O58</f>
        <v>317.80500000000001</v>
      </c>
      <c r="L60" s="18">
        <f>+FACTURACIÓN!P58</f>
        <v>0</v>
      </c>
      <c r="M60" s="21">
        <v>0</v>
      </c>
      <c r="N60" s="18" t="e">
        <f t="shared" si="1"/>
        <v>#REF!</v>
      </c>
      <c r="O60" s="18" t="e">
        <f t="shared" si="2"/>
        <v>#REF!</v>
      </c>
      <c r="P60" s="110" t="str">
        <f t="shared" si="3"/>
        <v>SI</v>
      </c>
      <c r="Q60" s="111" t="s">
        <v>122</v>
      </c>
      <c r="R60" s="110" t="s">
        <v>123</v>
      </c>
      <c r="S60" s="18">
        <v>1908.18</v>
      </c>
      <c r="T60" s="110" t="s">
        <v>303</v>
      </c>
    </row>
    <row r="61" spans="1:20" x14ac:dyDescent="0.2">
      <c r="A61" s="111" t="s">
        <v>124</v>
      </c>
      <c r="B61" s="110" t="s">
        <v>125</v>
      </c>
      <c r="C61" s="113">
        <f>+FACTURACIÓN!C59+FACTURACIÓN!D59+FACTURACIÓN!E59+FACTURACIÓN!F59+FACTURACIÓN!G59+FACTURACIÓN!H59+FACTURACIÓN!I59-'C&amp;A'!I59</f>
        <v>2762.8</v>
      </c>
      <c r="D61" s="113">
        <v>0</v>
      </c>
      <c r="E61" s="18">
        <f t="shared" si="0"/>
        <v>2762.8</v>
      </c>
      <c r="F61" s="18" t="e">
        <f>+FACTURACIÓN!#REF!</f>
        <v>#REF!</v>
      </c>
      <c r="G61" s="18">
        <f>+FACTURACIÓN!K59</f>
        <v>0</v>
      </c>
      <c r="H61" s="18">
        <f>+FACTURACIÓN!L59</f>
        <v>45.15</v>
      </c>
      <c r="I61" s="18">
        <f>+FACTURACIÓN!M59</f>
        <v>0</v>
      </c>
      <c r="J61" s="18">
        <f>+FACTURACIÓN!N59</f>
        <v>0</v>
      </c>
      <c r="K61" s="18">
        <f>+FACTURACIÓN!O59</f>
        <v>0</v>
      </c>
      <c r="L61" s="18">
        <f>+FACTURACIÓN!P59</f>
        <v>1309.77</v>
      </c>
      <c r="M61" s="21">
        <v>0</v>
      </c>
      <c r="N61" s="18" t="e">
        <f t="shared" si="1"/>
        <v>#REF!</v>
      </c>
      <c r="O61" s="18" t="e">
        <f t="shared" si="2"/>
        <v>#REF!</v>
      </c>
      <c r="P61" s="110" t="str">
        <f t="shared" si="3"/>
        <v>SI</v>
      </c>
      <c r="Q61" s="111" t="s">
        <v>124</v>
      </c>
      <c r="R61" s="110" t="s">
        <v>125</v>
      </c>
      <c r="S61" s="18">
        <v>1408.1</v>
      </c>
      <c r="T61" s="110" t="s">
        <v>339</v>
      </c>
    </row>
    <row r="62" spans="1:20" ht="15" x14ac:dyDescent="0.25">
      <c r="A62" s="111" t="s">
        <v>159</v>
      </c>
      <c r="B62" s="110" t="s">
        <v>14</v>
      </c>
      <c r="C62" s="113">
        <f>+FACTURACIÓN!C60+FACTURACIÓN!D60+FACTURACIÓN!E60+FACTURACIÓN!F60+FACTURACIÓN!G60+FACTURACIÓN!H60+FACTURACIÓN!I60-'C&amp;A'!I60</f>
        <v>4318.8</v>
      </c>
      <c r="D62" s="113">
        <v>0</v>
      </c>
      <c r="E62" s="18">
        <f t="shared" si="0"/>
        <v>4318.8</v>
      </c>
      <c r="F62" s="18" t="e">
        <f>+FACTURACIÓN!#REF!</f>
        <v>#REF!</v>
      </c>
      <c r="G62" s="18">
        <f>+FACTURACIÓN!K60</f>
        <v>0</v>
      </c>
      <c r="H62" s="18">
        <f>+FACTURACIÓN!L60</f>
        <v>45.15</v>
      </c>
      <c r="I62" s="18">
        <f>+FACTURACIÓN!M60</f>
        <v>0</v>
      </c>
      <c r="J62" s="18">
        <f>+FACTURACIÓN!N60</f>
        <v>0</v>
      </c>
      <c r="K62" s="18">
        <f>+FACTURACIÓN!O60</f>
        <v>0</v>
      </c>
      <c r="L62" s="18">
        <f>+FACTURACIÓN!P60</f>
        <v>0</v>
      </c>
      <c r="M62" s="21">
        <v>555.6</v>
      </c>
      <c r="N62" s="18" t="e">
        <f t="shared" si="1"/>
        <v>#REF!</v>
      </c>
      <c r="O62" s="18" t="e">
        <f t="shared" si="2"/>
        <v>#REF!</v>
      </c>
      <c r="P62" s="110" t="str">
        <f t="shared" si="3"/>
        <v>SI</v>
      </c>
      <c r="Q62" s="111" t="s">
        <v>159</v>
      </c>
      <c r="R62" s="110" t="s">
        <v>14</v>
      </c>
      <c r="S62" s="18">
        <v>3262.8</v>
      </c>
      <c r="T62" s="117">
        <v>2952243423</v>
      </c>
    </row>
    <row r="63" spans="1:20" x14ac:dyDescent="0.2">
      <c r="A63" s="111" t="s">
        <v>126</v>
      </c>
      <c r="B63" s="110" t="s">
        <v>127</v>
      </c>
      <c r="C63" s="113">
        <f>+FACTURACIÓN!C61+FACTURACIÓN!D61+FACTURACIÓN!E61+FACTURACIÓN!F61+FACTURACIÓN!G61+FACTURACIÓN!H61+FACTURACIÓN!I61-'C&amp;A'!I61</f>
        <v>5887.8</v>
      </c>
      <c r="D63" s="113">
        <v>0</v>
      </c>
      <c r="E63" s="18">
        <f t="shared" si="0"/>
        <v>5887.8</v>
      </c>
      <c r="F63" s="18" t="e">
        <f>+FACTURACIÓN!#REF!</f>
        <v>#REF!</v>
      </c>
      <c r="G63" s="18">
        <f>+FACTURACIÓN!K61</f>
        <v>0</v>
      </c>
      <c r="H63" s="18">
        <f>+FACTURACIÓN!L61</f>
        <v>45.15</v>
      </c>
      <c r="I63" s="18">
        <f>+FACTURACIÓN!M61</f>
        <v>0</v>
      </c>
      <c r="J63" s="18">
        <f>+FACTURACIÓN!N61</f>
        <v>0</v>
      </c>
      <c r="K63" s="18">
        <f>+FACTURACIÓN!O61</f>
        <v>0</v>
      </c>
      <c r="L63" s="18">
        <f>+FACTURACIÓN!P61</f>
        <v>288.38</v>
      </c>
      <c r="M63" s="21">
        <v>693.5</v>
      </c>
      <c r="N63" s="18" t="e">
        <f t="shared" si="1"/>
        <v>#REF!</v>
      </c>
      <c r="O63" s="18" t="e">
        <f t="shared" si="2"/>
        <v>#REF!</v>
      </c>
      <c r="P63" s="110" t="str">
        <f t="shared" si="3"/>
        <v>SI</v>
      </c>
      <c r="Q63" s="111" t="s">
        <v>126</v>
      </c>
      <c r="R63" s="110" t="s">
        <v>127</v>
      </c>
      <c r="S63" s="18">
        <v>4925.7480000000005</v>
      </c>
      <c r="T63" s="110" t="s">
        <v>305</v>
      </c>
    </row>
    <row r="64" spans="1:20" x14ac:dyDescent="0.2">
      <c r="A64" s="111" t="s">
        <v>128</v>
      </c>
      <c r="B64" s="110" t="s">
        <v>129</v>
      </c>
      <c r="C64" s="113">
        <f>+FACTURACIÓN!C62+FACTURACIÓN!D62+FACTURACIÓN!E62+FACTURACIÓN!F62+FACTURACIÓN!G62+FACTURACIÓN!H62+FACTURACIÓN!I62-'C&amp;A'!I62</f>
        <v>91289.090000000011</v>
      </c>
      <c r="D64" s="113">
        <v>0</v>
      </c>
      <c r="E64" s="18">
        <f t="shared" si="0"/>
        <v>91289.090000000011</v>
      </c>
      <c r="F64" s="18" t="e">
        <f>+FACTURACIÓN!#REF!</f>
        <v>#REF!</v>
      </c>
      <c r="G64" s="18">
        <f>+FACTURACIÓN!K62</f>
        <v>3000</v>
      </c>
      <c r="H64" s="18">
        <f>+FACTURACIÓN!L62</f>
        <v>45.15</v>
      </c>
      <c r="I64" s="18">
        <f>+FACTURACIÓN!M62</f>
        <v>491.57</v>
      </c>
      <c r="J64" s="18">
        <f>+FACTURACIÓN!N62</f>
        <v>0</v>
      </c>
      <c r="K64" s="18">
        <f>+FACTURACIÓN!O62</f>
        <v>0</v>
      </c>
      <c r="L64" s="18">
        <f>+FACTURACIÓN!P62</f>
        <v>92.96</v>
      </c>
      <c r="M64" s="21">
        <v>2000</v>
      </c>
      <c r="N64" s="18" t="e">
        <f t="shared" si="1"/>
        <v>#REF!</v>
      </c>
      <c r="O64" s="18" t="e">
        <f t="shared" si="2"/>
        <v>#REF!</v>
      </c>
      <c r="P64" s="110" t="str">
        <f t="shared" si="3"/>
        <v>SI</v>
      </c>
      <c r="Q64" s="111" t="s">
        <v>128</v>
      </c>
      <c r="R64" s="110" t="s">
        <v>129</v>
      </c>
      <c r="S64" s="18">
        <v>131509.55499999999</v>
      </c>
      <c r="T64" s="110" t="s">
        <v>300</v>
      </c>
    </row>
    <row r="65" spans="1:15" x14ac:dyDescent="0.2">
      <c r="A65" s="45"/>
      <c r="B65" s="110"/>
      <c r="C65" s="44"/>
      <c r="D65" s="44"/>
      <c r="E65" s="44"/>
      <c r="F65" s="44"/>
      <c r="G65" s="44"/>
      <c r="K65" s="11"/>
      <c r="L65" s="11"/>
      <c r="M65" s="11"/>
      <c r="N65" s="113"/>
      <c r="O65" s="113"/>
    </row>
    <row r="66" spans="1:15" x14ac:dyDescent="0.2">
      <c r="K66" s="11"/>
      <c r="L66" s="11"/>
      <c r="M66" s="11"/>
      <c r="N66" s="11"/>
      <c r="O66" s="11"/>
    </row>
    <row r="67" spans="1:15" x14ac:dyDescent="0.2">
      <c r="A67" s="42"/>
      <c r="B67" s="39"/>
      <c r="C67" s="39" t="s">
        <v>15</v>
      </c>
      <c r="D67" s="39" t="s">
        <v>15</v>
      </c>
      <c r="E67" s="39" t="s">
        <v>15</v>
      </c>
      <c r="F67" s="39" t="s">
        <v>15</v>
      </c>
      <c r="G67" s="39" t="s">
        <v>15</v>
      </c>
      <c r="H67" s="39" t="s">
        <v>15</v>
      </c>
      <c r="I67" s="39" t="s">
        <v>15</v>
      </c>
      <c r="J67" s="39" t="s">
        <v>15</v>
      </c>
      <c r="K67" s="39" t="s">
        <v>15</v>
      </c>
      <c r="L67" s="39" t="s">
        <v>15</v>
      </c>
      <c r="M67" s="39" t="s">
        <v>15</v>
      </c>
      <c r="N67" s="39" t="s">
        <v>15</v>
      </c>
      <c r="O67" s="39" t="s">
        <v>15</v>
      </c>
    </row>
    <row r="68" spans="1:15" x14ac:dyDescent="0.2">
      <c r="A68" s="45" t="s">
        <v>16</v>
      </c>
      <c r="B68" s="110" t="s">
        <v>17</v>
      </c>
      <c r="C68" s="44" t="e">
        <f>SUM(C10:C67)</f>
        <v>#REF!</v>
      </c>
      <c r="D68" s="44">
        <f t="shared" ref="D68:O68" si="4">SUM(D10:D67)</f>
        <v>0</v>
      </c>
      <c r="E68" s="44" t="e">
        <f t="shared" si="4"/>
        <v>#REF!</v>
      </c>
      <c r="F68" s="44" t="e">
        <f t="shared" si="4"/>
        <v>#REF!</v>
      </c>
      <c r="G68" s="44" t="e">
        <f t="shared" si="4"/>
        <v>#REF!</v>
      </c>
      <c r="H68" s="44" t="e">
        <f t="shared" si="4"/>
        <v>#REF!</v>
      </c>
      <c r="I68" s="44" t="e">
        <f t="shared" si="4"/>
        <v>#REF!</v>
      </c>
      <c r="J68" s="44" t="e">
        <f t="shared" si="4"/>
        <v>#REF!</v>
      </c>
      <c r="K68" s="44" t="e">
        <f t="shared" si="4"/>
        <v>#REF!</v>
      </c>
      <c r="L68" s="44" t="e">
        <f t="shared" si="4"/>
        <v>#REF!</v>
      </c>
      <c r="M68" s="44">
        <f t="shared" si="4"/>
        <v>9727.0333333333328</v>
      </c>
      <c r="N68" s="44" t="e">
        <f t="shared" si="4"/>
        <v>#REF!</v>
      </c>
      <c r="O68" s="44" t="e">
        <f t="shared" si="4"/>
        <v>#REF!</v>
      </c>
    </row>
    <row r="69" spans="1:15" s="39" customForma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s="1" customFormat="1" ht="15" x14ac:dyDescent="0.25">
      <c r="A70" s="54"/>
      <c r="B70" s="54"/>
      <c r="C70" s="110" t="s">
        <v>17</v>
      </c>
      <c r="D70" s="110" t="s">
        <v>17</v>
      </c>
      <c r="E70" s="110" t="s">
        <v>17</v>
      </c>
      <c r="F70" s="110"/>
      <c r="G70" s="110"/>
      <c r="H70" s="110" t="s">
        <v>17</v>
      </c>
      <c r="I70" s="110"/>
      <c r="J70" s="110"/>
      <c r="K70" s="110"/>
      <c r="L70" s="110" t="s">
        <v>17</v>
      </c>
      <c r="M70" s="110"/>
      <c r="N70" s="110" t="s">
        <v>17</v>
      </c>
      <c r="O70" s="110" t="s">
        <v>17</v>
      </c>
    </row>
    <row r="71" spans="1:15" x14ac:dyDescent="0.2">
      <c r="A71" s="111" t="s">
        <v>17</v>
      </c>
      <c r="B71" s="110" t="s">
        <v>17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</row>
    <row r="72" spans="1:15" x14ac:dyDescent="0.2">
      <c r="K72" s="11"/>
      <c r="L72" s="11"/>
      <c r="M72" s="11"/>
      <c r="N72" s="11"/>
      <c r="O72" s="11"/>
    </row>
    <row r="73" spans="1:15" x14ac:dyDescent="0.2">
      <c r="K73" s="11"/>
      <c r="L73" s="11"/>
      <c r="M73" s="11"/>
      <c r="N73" s="11"/>
      <c r="O73" s="11"/>
    </row>
    <row r="74" spans="1:15" x14ac:dyDescent="0.2">
      <c r="K74" s="11"/>
      <c r="L74" s="11"/>
      <c r="M74" s="11"/>
    </row>
    <row r="75" spans="1:15" x14ac:dyDescent="0.2">
      <c r="K75" s="11"/>
      <c r="L75" s="11"/>
    </row>
    <row r="76" spans="1:15" x14ac:dyDescent="0.2">
      <c r="K76" s="11"/>
      <c r="L76" s="11"/>
    </row>
    <row r="78" spans="1:15" x14ac:dyDescent="0.2">
      <c r="L78" s="39"/>
      <c r="M78" s="39"/>
      <c r="N78" s="39"/>
    </row>
    <row r="79" spans="1:15" ht="14.25" x14ac:dyDescent="0.2">
      <c r="L79" s="1"/>
      <c r="M79" s="1"/>
      <c r="N79" s="1"/>
    </row>
  </sheetData>
  <mergeCells count="1">
    <mergeCell ref="B1:C1"/>
  </mergeCells>
  <pageMargins left="0.42" right="0.70866141732283472" top="0.42" bottom="0.46" header="0.31496062992125984" footer="0.31496062992125984"/>
  <pageSetup scale="6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workbookViewId="0">
      <pane xSplit="2" ySplit="9" topLeftCell="O12" activePane="bottomRight" state="frozen"/>
      <selection pane="topRight" activeCell="C1" sqref="C1"/>
      <selection pane="bottomLeft" activeCell="A10" sqref="A10"/>
      <selection pane="bottomRight" activeCell="T10" sqref="T10:T58"/>
    </sheetView>
  </sheetViews>
  <sheetFormatPr baseColWidth="10" defaultRowHeight="11.25" x14ac:dyDescent="0.2"/>
  <cols>
    <col min="1" max="1" width="11.42578125" style="11"/>
    <col min="2" max="2" width="26.5703125" style="11" bestFit="1" customWidth="1"/>
    <col min="3" max="3" width="11.42578125" style="11" hidden="1" customWidth="1"/>
    <col min="4" max="4" width="13" style="11" hidden="1" customWidth="1"/>
    <col min="5" max="5" width="14.85546875" style="11" hidden="1" customWidth="1"/>
    <col min="6" max="6" width="0" style="11" hidden="1" customWidth="1"/>
    <col min="7" max="10" width="9.28515625" style="11" hidden="1" customWidth="1"/>
    <col min="11" max="12" width="9.28515625" style="110" hidden="1" customWidth="1"/>
    <col min="13" max="13" width="8.85546875" style="110" hidden="1" customWidth="1"/>
    <col min="14" max="14" width="0" style="110" hidden="1" customWidth="1"/>
    <col min="15" max="15" width="11.85546875" style="110" bestFit="1" customWidth="1"/>
    <col min="16" max="19" width="11.42578125" style="110" hidden="1" customWidth="1"/>
    <col min="20" max="16384" width="11.42578125" style="110"/>
  </cols>
  <sheetData>
    <row r="1" spans="1:20" ht="18" customHeight="1" x14ac:dyDescent="0.25">
      <c r="A1" s="35" t="s">
        <v>0</v>
      </c>
      <c r="B1" s="145" t="s">
        <v>17</v>
      </c>
      <c r="C1" s="146"/>
      <c r="D1" s="54"/>
      <c r="E1" s="54"/>
      <c r="F1" s="54"/>
      <c r="G1" s="54"/>
      <c r="H1" s="54"/>
      <c r="I1" s="54"/>
      <c r="J1" s="54"/>
    </row>
    <row r="2" spans="1:20" ht="24.95" customHeight="1" x14ac:dyDescent="0.25">
      <c r="A2" s="36" t="s">
        <v>1</v>
      </c>
      <c r="B2" s="4" t="s">
        <v>156</v>
      </c>
      <c r="C2" s="5"/>
      <c r="D2" s="54"/>
      <c r="E2" s="54"/>
      <c r="F2" s="54"/>
      <c r="G2" s="54"/>
      <c r="H2" s="54"/>
      <c r="I2" s="54"/>
      <c r="J2" s="54"/>
    </row>
    <row r="3" spans="1:20" ht="15.75" x14ac:dyDescent="0.25">
      <c r="A3" s="54"/>
      <c r="B3" s="53" t="s">
        <v>2</v>
      </c>
      <c r="C3" s="116"/>
      <c r="D3" s="54"/>
      <c r="E3" s="54"/>
      <c r="F3" s="54"/>
      <c r="G3" s="54"/>
      <c r="H3" s="54"/>
      <c r="I3" s="54"/>
      <c r="J3" s="54"/>
    </row>
    <row r="4" spans="1:20" ht="15" x14ac:dyDescent="0.25">
      <c r="A4" s="54"/>
      <c r="B4" s="6" t="str">
        <f>+FACTURACIÓN!B4</f>
        <v>Periodo 5 al 5 Quincenal del 01/03/2016 al 15/03/2016</v>
      </c>
      <c r="C4" s="116"/>
      <c r="D4" s="54"/>
      <c r="E4" s="54"/>
      <c r="F4" s="54"/>
      <c r="G4" s="54"/>
      <c r="H4" s="54"/>
      <c r="I4" s="54"/>
      <c r="J4" s="54"/>
    </row>
    <row r="5" spans="1:20" ht="15" x14ac:dyDescent="0.25">
      <c r="A5" s="54"/>
      <c r="B5" s="38" t="s">
        <v>157</v>
      </c>
      <c r="C5" s="54"/>
      <c r="D5" s="54"/>
      <c r="E5" s="54"/>
      <c r="F5" s="54"/>
      <c r="G5" s="54"/>
      <c r="H5" s="56"/>
      <c r="I5" s="54"/>
      <c r="J5" s="54"/>
    </row>
    <row r="6" spans="1:20" ht="15" x14ac:dyDescent="0.25">
      <c r="A6" s="54"/>
      <c r="B6" s="38" t="s">
        <v>3</v>
      </c>
      <c r="C6" s="54"/>
      <c r="D6" s="54"/>
      <c r="E6" s="54"/>
      <c r="F6" s="54"/>
      <c r="G6" s="54"/>
      <c r="H6" s="56"/>
      <c r="I6" s="54"/>
      <c r="J6" s="54"/>
    </row>
    <row r="8" spans="1:20" s="48" customFormat="1" ht="34.5" thickBot="1" x14ac:dyDescent="0.3">
      <c r="A8" s="46" t="s">
        <v>4</v>
      </c>
      <c r="B8" s="8" t="s">
        <v>5</v>
      </c>
      <c r="C8" s="8" t="s">
        <v>162</v>
      </c>
      <c r="D8" s="7" t="s">
        <v>158</v>
      </c>
      <c r="E8" s="7" t="s">
        <v>7</v>
      </c>
      <c r="F8" s="17" t="s">
        <v>296</v>
      </c>
      <c r="G8" s="17" t="s">
        <v>293</v>
      </c>
      <c r="H8" s="17" t="s">
        <v>27</v>
      </c>
      <c r="I8" s="17" t="s">
        <v>187</v>
      </c>
      <c r="J8" s="17" t="s">
        <v>290</v>
      </c>
      <c r="K8" s="17" t="s">
        <v>289</v>
      </c>
      <c r="L8" s="17" t="s">
        <v>152</v>
      </c>
      <c r="M8" s="17" t="s">
        <v>23</v>
      </c>
      <c r="N8" s="7" t="s">
        <v>10</v>
      </c>
      <c r="O8" s="47" t="s">
        <v>11</v>
      </c>
    </row>
    <row r="9" spans="1:20" ht="15.75" thickTop="1" x14ac:dyDescent="0.2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20" x14ac:dyDescent="0.2">
      <c r="A10" s="111" t="s">
        <v>159</v>
      </c>
      <c r="B10" s="110" t="s">
        <v>14</v>
      </c>
      <c r="C10" s="113">
        <f>+FACTURACIÓN!C60+FACTURACIÓN!D60+FACTURACIÓN!E60+FACTURACIÓN!F60+FACTURACIÓN!G60+FACTURACIÓN!H60+FACTURACIÓN!I60-'C&amp;A'!I60</f>
        <v>4318.8</v>
      </c>
      <c r="D10" s="113">
        <v>0</v>
      </c>
      <c r="E10" s="18">
        <f t="shared" ref="E10:E41" si="0">SUM(C10:D10)</f>
        <v>4318.8</v>
      </c>
      <c r="F10" s="18" t="e">
        <f>+FACTURACIÓN!#REF!</f>
        <v>#REF!</v>
      </c>
      <c r="G10" s="18">
        <f>+FACTURACIÓN!K60</f>
        <v>0</v>
      </c>
      <c r="H10" s="18">
        <f>+FACTURACIÓN!L60</f>
        <v>45.15</v>
      </c>
      <c r="I10" s="18">
        <f>+FACTURACIÓN!M60</f>
        <v>0</v>
      </c>
      <c r="J10" s="18">
        <f>+FACTURACIÓN!N60</f>
        <v>0</v>
      </c>
      <c r="K10" s="18">
        <f>+FACTURACIÓN!O60</f>
        <v>0</v>
      </c>
      <c r="L10" s="18">
        <f>+FACTURACIÓN!P60</f>
        <v>0</v>
      </c>
      <c r="M10" s="21">
        <v>555.6</v>
      </c>
      <c r="N10" s="18" t="e">
        <f t="shared" ref="N10:N41" si="1">SUM(F10:M10)</f>
        <v>#REF!</v>
      </c>
      <c r="O10" s="18" t="e">
        <f t="shared" ref="O10:O41" si="2">+E10-N10</f>
        <v>#REF!</v>
      </c>
      <c r="P10" s="110" t="str">
        <f t="shared" ref="P10:P41" si="3">IF(A10=Q10,"SI","NO")</f>
        <v>SI</v>
      </c>
      <c r="Q10" s="111" t="s">
        <v>159</v>
      </c>
      <c r="R10" s="110" t="s">
        <v>14</v>
      </c>
      <c r="S10" s="18">
        <v>3262.8</v>
      </c>
      <c r="T10" s="38">
        <v>2952243423</v>
      </c>
    </row>
    <row r="11" spans="1:20" x14ac:dyDescent="0.2">
      <c r="A11" s="111" t="s">
        <v>74</v>
      </c>
      <c r="B11" s="110" t="s">
        <v>75</v>
      </c>
      <c r="C11" s="113">
        <f>+FACTURACIÓN!C31+FACTURACIÓN!D31+FACTURACIÓN!E31+FACTURACIÓN!F31+FACTURACIÓN!G31+FACTURACIÓN!H31+FACTURACIÓN!I31-'C&amp;A'!I31</f>
        <v>2762.8</v>
      </c>
      <c r="D11" s="113">
        <v>0</v>
      </c>
      <c r="E11" s="18">
        <f t="shared" si="0"/>
        <v>2762.8</v>
      </c>
      <c r="F11" s="18" t="e">
        <f>+FACTURACIÓN!#REF!</f>
        <v>#REF!</v>
      </c>
      <c r="G11" s="18">
        <f>+FACTURACIÓN!K31</f>
        <v>0</v>
      </c>
      <c r="H11" s="18">
        <f>+FACTURACIÓN!L31</f>
        <v>45.15</v>
      </c>
      <c r="I11" s="18">
        <f>+FACTURACIÓN!M31</f>
        <v>0</v>
      </c>
      <c r="J11" s="18">
        <f>+FACTURACIÓN!N31</f>
        <v>0</v>
      </c>
      <c r="K11" s="18">
        <f>+FACTURACIÓN!O31</f>
        <v>0</v>
      </c>
      <c r="L11" s="18">
        <f>+FACTURACIÓN!P31</f>
        <v>1146.5999999999999</v>
      </c>
      <c r="M11" s="21">
        <v>0</v>
      </c>
      <c r="N11" s="18" t="e">
        <f t="shared" si="1"/>
        <v>#REF!</v>
      </c>
      <c r="O11" s="18" t="e">
        <f t="shared" si="2"/>
        <v>#REF!</v>
      </c>
      <c r="P11" s="110" t="str">
        <f t="shared" si="3"/>
        <v>SI</v>
      </c>
      <c r="Q11" s="111" t="s">
        <v>74</v>
      </c>
      <c r="R11" s="110" t="s">
        <v>75</v>
      </c>
      <c r="S11" s="18">
        <v>1571.6699999999998</v>
      </c>
      <c r="T11" s="110" t="s">
        <v>299</v>
      </c>
    </row>
    <row r="12" spans="1:20" x14ac:dyDescent="0.2">
      <c r="A12" s="111" t="s">
        <v>128</v>
      </c>
      <c r="B12" s="110" t="s">
        <v>129</v>
      </c>
      <c r="C12" s="113">
        <f>+FACTURACIÓN!C62+FACTURACIÓN!D62+FACTURACIÓN!E62+FACTURACIÓN!F62+FACTURACIÓN!G62+FACTURACIÓN!H62+FACTURACIÓN!I62-'C&amp;A'!I62</f>
        <v>91289.090000000011</v>
      </c>
      <c r="D12" s="113">
        <v>0</v>
      </c>
      <c r="E12" s="18">
        <f t="shared" si="0"/>
        <v>91289.090000000011</v>
      </c>
      <c r="F12" s="18" t="e">
        <f>+FACTURACIÓN!#REF!</f>
        <v>#REF!</v>
      </c>
      <c r="G12" s="18">
        <f>+FACTURACIÓN!K62</f>
        <v>3000</v>
      </c>
      <c r="H12" s="18">
        <f>+FACTURACIÓN!L62</f>
        <v>45.15</v>
      </c>
      <c r="I12" s="18">
        <f>+FACTURACIÓN!M62</f>
        <v>491.57</v>
      </c>
      <c r="J12" s="18">
        <f>+FACTURACIÓN!N62</f>
        <v>0</v>
      </c>
      <c r="K12" s="18">
        <f>+FACTURACIÓN!O62</f>
        <v>0</v>
      </c>
      <c r="L12" s="18">
        <f>+FACTURACIÓN!P62</f>
        <v>92.96</v>
      </c>
      <c r="M12" s="21">
        <v>2000</v>
      </c>
      <c r="N12" s="18" t="e">
        <f t="shared" si="1"/>
        <v>#REF!</v>
      </c>
      <c r="O12" s="18" t="e">
        <f t="shared" si="2"/>
        <v>#REF!</v>
      </c>
      <c r="P12" s="110" t="str">
        <f t="shared" si="3"/>
        <v>SI</v>
      </c>
      <c r="Q12" s="111" t="s">
        <v>128</v>
      </c>
      <c r="R12" s="110" t="s">
        <v>129</v>
      </c>
      <c r="S12" s="18">
        <v>131509.55499999999</v>
      </c>
      <c r="T12" s="110" t="s">
        <v>300</v>
      </c>
    </row>
    <row r="13" spans="1:20" x14ac:dyDescent="0.2">
      <c r="A13" s="111" t="s">
        <v>28</v>
      </c>
      <c r="B13" s="110" t="s">
        <v>166</v>
      </c>
      <c r="C13" s="113">
        <f>+FACTURACIÓN!C10+FACTURACIÓN!D10+FACTURACIÓN!E10+FACTURACIÓN!F10+FACTURACIÓN!G10+FACTURACIÓN!H10+FACTURACIÓN!I10-'C&amp;A'!I10</f>
        <v>4766.7</v>
      </c>
      <c r="D13" s="113">
        <v>0</v>
      </c>
      <c r="E13" s="18">
        <f t="shared" si="0"/>
        <v>4766.7</v>
      </c>
      <c r="F13" s="18" t="e">
        <f>+FACTURACIÓN!#REF!</f>
        <v>#REF!</v>
      </c>
      <c r="G13" s="18">
        <f>+FACTURACIÓN!K10</f>
        <v>0</v>
      </c>
      <c r="H13" s="18">
        <f>+FACTURACIÓN!L10</f>
        <v>45.15</v>
      </c>
      <c r="I13" s="18">
        <f>+FACTURACIÓN!M10</f>
        <v>0</v>
      </c>
      <c r="J13" s="18">
        <f>+FACTURACIÓN!N10</f>
        <v>0</v>
      </c>
      <c r="K13" s="18">
        <f>+FACTURACIÓN!O10</f>
        <v>0</v>
      </c>
      <c r="L13" s="18">
        <f>+FACTURACIÓN!P10</f>
        <v>957.82</v>
      </c>
      <c r="M13" s="21">
        <v>0</v>
      </c>
      <c r="N13" s="18" t="e">
        <f t="shared" si="1"/>
        <v>#REF!</v>
      </c>
      <c r="O13" s="18" t="e">
        <f t="shared" si="2"/>
        <v>#REF!</v>
      </c>
      <c r="P13" s="110" t="str">
        <f t="shared" si="3"/>
        <v>SI</v>
      </c>
      <c r="Q13" s="111" t="s">
        <v>28</v>
      </c>
      <c r="R13" s="110" t="s">
        <v>29</v>
      </c>
      <c r="S13" s="18">
        <v>4383.9120000000003</v>
      </c>
      <c r="T13" s="110" t="s">
        <v>301</v>
      </c>
    </row>
    <row r="14" spans="1:20" x14ac:dyDescent="0.2">
      <c r="A14" s="111" t="s">
        <v>86</v>
      </c>
      <c r="B14" s="110" t="s">
        <v>87</v>
      </c>
      <c r="C14" s="113">
        <f>+FACTURACIÓN!C39+FACTURACIÓN!D39+FACTURACIÓN!E39+FACTURACIÓN!F39+FACTURACIÓN!G39+FACTURACIÓN!H39+FACTURACIÓN!I39-'C&amp;A'!I39</f>
        <v>2112.9205678096514</v>
      </c>
      <c r="D14" s="113">
        <v>0</v>
      </c>
      <c r="E14" s="18">
        <f t="shared" si="0"/>
        <v>2112.9205678096514</v>
      </c>
      <c r="F14" s="18" t="e">
        <f>+FACTURACIÓN!#REF!</f>
        <v>#REF!</v>
      </c>
      <c r="G14" s="18">
        <f>+FACTURACIÓN!K39</f>
        <v>0</v>
      </c>
      <c r="H14" s="18">
        <f>+FACTURACIÓN!L39</f>
        <v>45.15</v>
      </c>
      <c r="I14" s="18">
        <f>+FACTURACIÓN!M39</f>
        <v>0</v>
      </c>
      <c r="J14" s="18">
        <f>+FACTURACIÓN!N39</f>
        <v>0</v>
      </c>
      <c r="K14" s="18">
        <f>+FACTURACIÓN!O39</f>
        <v>0</v>
      </c>
      <c r="L14" s="18">
        <f>+FACTURACIÓN!P39</f>
        <v>0</v>
      </c>
      <c r="M14" s="21">
        <v>0</v>
      </c>
      <c r="N14" s="18" t="e">
        <f t="shared" si="1"/>
        <v>#REF!</v>
      </c>
      <c r="O14" s="18" t="e">
        <f t="shared" si="2"/>
        <v>#REF!</v>
      </c>
      <c r="P14" s="110" t="str">
        <f t="shared" si="3"/>
        <v>SI</v>
      </c>
      <c r="Q14" s="111" t="s">
        <v>86</v>
      </c>
      <c r="R14" s="110" t="s">
        <v>87</v>
      </c>
      <c r="S14" s="18">
        <v>3343.3</v>
      </c>
      <c r="T14" s="110" t="s">
        <v>302</v>
      </c>
    </row>
    <row r="15" spans="1:20" x14ac:dyDescent="0.2">
      <c r="A15" s="111" t="s">
        <v>122</v>
      </c>
      <c r="B15" s="110" t="s">
        <v>123</v>
      </c>
      <c r="C15" s="113">
        <f>+FACTURACIÓN!C58+FACTURACIÓN!D58+FACTURACIÓN!E58+FACTURACIÓN!F58+FACTURACIÓN!G58+FACTURACIÓN!H58+FACTURACIÓN!I58-'C&amp;A'!I58</f>
        <v>1908.173897131358</v>
      </c>
      <c r="D15" s="113">
        <v>0</v>
      </c>
      <c r="E15" s="18">
        <f t="shared" si="0"/>
        <v>1908.173897131358</v>
      </c>
      <c r="F15" s="18" t="e">
        <f>+FACTURACIÓN!#REF!</f>
        <v>#REF!</v>
      </c>
      <c r="G15" s="18">
        <f>+FACTURACIÓN!K58</f>
        <v>0</v>
      </c>
      <c r="H15" s="18">
        <f>+FACTURACIÓN!L58</f>
        <v>45.15</v>
      </c>
      <c r="I15" s="18">
        <f>+FACTURACIÓN!M58</f>
        <v>0</v>
      </c>
      <c r="J15" s="18">
        <f>+FACTURACIÓN!N58</f>
        <v>0</v>
      </c>
      <c r="K15" s="18">
        <f>+FACTURACIÓN!O58</f>
        <v>317.80500000000001</v>
      </c>
      <c r="L15" s="18">
        <f>+FACTURACIÓN!P58</f>
        <v>0</v>
      </c>
      <c r="M15" s="21">
        <v>0</v>
      </c>
      <c r="N15" s="18" t="e">
        <f t="shared" si="1"/>
        <v>#REF!</v>
      </c>
      <c r="O15" s="18" t="e">
        <f t="shared" si="2"/>
        <v>#REF!</v>
      </c>
      <c r="P15" s="110" t="str">
        <f t="shared" si="3"/>
        <v>SI</v>
      </c>
      <c r="Q15" s="111" t="s">
        <v>122</v>
      </c>
      <c r="R15" s="110" t="s">
        <v>123</v>
      </c>
      <c r="S15" s="18">
        <v>1908.18</v>
      </c>
      <c r="T15" s="110" t="s">
        <v>303</v>
      </c>
    </row>
    <row r="16" spans="1:20" x14ac:dyDescent="0.2">
      <c r="A16" s="111" t="s">
        <v>112</v>
      </c>
      <c r="B16" s="110" t="s">
        <v>113</v>
      </c>
      <c r="C16" s="113">
        <f>+FACTURACIÓN!C53+FACTURACIÓN!D53+FACTURACIÓN!E53+FACTURACIÓN!F53+FACTURACIÓN!G53+FACTURACIÓN!H53+FACTURACIÓN!I53-'C&amp;A'!I53</f>
        <v>6183.8</v>
      </c>
      <c r="D16" s="113">
        <v>0</v>
      </c>
      <c r="E16" s="18">
        <f t="shared" si="0"/>
        <v>6183.8</v>
      </c>
      <c r="F16" s="18" t="e">
        <f>+FACTURACIÓN!#REF!</f>
        <v>#REF!</v>
      </c>
      <c r="G16" s="18">
        <f>+FACTURACIÓN!K53</f>
        <v>0</v>
      </c>
      <c r="H16" s="18">
        <f>+FACTURACIÓN!L53</f>
        <v>45.15</v>
      </c>
      <c r="I16" s="18">
        <f>+FACTURACIÓN!M53</f>
        <v>0</v>
      </c>
      <c r="J16" s="18">
        <f>+FACTURACIÓN!N53</f>
        <v>0</v>
      </c>
      <c r="K16" s="18">
        <f>+FACTURACIÓN!O53</f>
        <v>0</v>
      </c>
      <c r="L16" s="18">
        <f>+FACTURACIÓN!P53</f>
        <v>1041.05</v>
      </c>
      <c r="M16" s="21">
        <v>0</v>
      </c>
      <c r="N16" s="18" t="e">
        <f t="shared" si="1"/>
        <v>#REF!</v>
      </c>
      <c r="O16" s="18" t="e">
        <f t="shared" si="2"/>
        <v>#REF!</v>
      </c>
      <c r="P16" s="110" t="str">
        <f t="shared" si="3"/>
        <v>SI</v>
      </c>
      <c r="Q16" s="111" t="s">
        <v>112</v>
      </c>
      <c r="R16" s="110" t="s">
        <v>113</v>
      </c>
      <c r="S16" s="18">
        <v>4686.5280000000002</v>
      </c>
      <c r="T16" s="110" t="s">
        <v>304</v>
      </c>
    </row>
    <row r="17" spans="1:20" x14ac:dyDescent="0.2">
      <c r="A17" s="111" t="s">
        <v>126</v>
      </c>
      <c r="B17" s="110" t="s">
        <v>127</v>
      </c>
      <c r="C17" s="113">
        <f>+FACTURACIÓN!C61+FACTURACIÓN!D61+FACTURACIÓN!E61+FACTURACIÓN!F61+FACTURACIÓN!G61+FACTURACIÓN!H61+FACTURACIÓN!I61-'C&amp;A'!I61</f>
        <v>5887.8</v>
      </c>
      <c r="D17" s="113">
        <v>0</v>
      </c>
      <c r="E17" s="18">
        <f t="shared" si="0"/>
        <v>5887.8</v>
      </c>
      <c r="F17" s="18" t="e">
        <f>+FACTURACIÓN!#REF!</f>
        <v>#REF!</v>
      </c>
      <c r="G17" s="18">
        <f>+FACTURACIÓN!K61</f>
        <v>0</v>
      </c>
      <c r="H17" s="18">
        <f>+FACTURACIÓN!L61</f>
        <v>45.15</v>
      </c>
      <c r="I17" s="18">
        <f>+FACTURACIÓN!M61</f>
        <v>0</v>
      </c>
      <c r="J17" s="18">
        <f>+FACTURACIÓN!N61</f>
        <v>0</v>
      </c>
      <c r="K17" s="18">
        <f>+FACTURACIÓN!O61</f>
        <v>0</v>
      </c>
      <c r="L17" s="18">
        <f>+FACTURACIÓN!P61</f>
        <v>288.38</v>
      </c>
      <c r="M17" s="21">
        <v>693.5</v>
      </c>
      <c r="N17" s="18" t="e">
        <f t="shared" si="1"/>
        <v>#REF!</v>
      </c>
      <c r="O17" s="18" t="e">
        <f t="shared" si="2"/>
        <v>#REF!</v>
      </c>
      <c r="P17" s="110" t="str">
        <f t="shared" si="3"/>
        <v>SI</v>
      </c>
      <c r="Q17" s="111" t="s">
        <v>126</v>
      </c>
      <c r="R17" s="110" t="s">
        <v>127</v>
      </c>
      <c r="S17" s="18">
        <v>4925.7480000000005</v>
      </c>
      <c r="T17" s="110" t="s">
        <v>305</v>
      </c>
    </row>
    <row r="18" spans="1:20" x14ac:dyDescent="0.2">
      <c r="A18" s="111" t="s">
        <v>35</v>
      </c>
      <c r="B18" s="110" t="s">
        <v>36</v>
      </c>
      <c r="C18" s="113">
        <f>+FACTURACIÓN!C14+FACTURACIÓN!D14+FACTURACIÓN!E14+FACTURACIÓN!F14+FACTURACIÓN!G14+FACTURACIÓN!H14+FACTURACIÓN!I14-'C&amp;A'!I14</f>
        <v>2082.4205678096519</v>
      </c>
      <c r="D18" s="113">
        <v>0</v>
      </c>
      <c r="E18" s="18">
        <f t="shared" si="0"/>
        <v>2082.4205678096519</v>
      </c>
      <c r="F18" s="18" t="e">
        <f>+FACTURACIÓN!#REF!</f>
        <v>#REF!</v>
      </c>
      <c r="G18" s="18">
        <f>+FACTURACIÓN!K14</f>
        <v>0</v>
      </c>
      <c r="H18" s="18">
        <f>+FACTURACIÓN!L14</f>
        <v>45.15</v>
      </c>
      <c r="I18" s="18">
        <f>+FACTURACIÓN!M14</f>
        <v>0</v>
      </c>
      <c r="J18" s="18">
        <f>+FACTURACIÓN!N14</f>
        <v>0</v>
      </c>
      <c r="K18" s="18">
        <f>+FACTURACIÓN!O14</f>
        <v>0</v>
      </c>
      <c r="L18" s="18">
        <f>+FACTURACIÓN!P14</f>
        <v>0</v>
      </c>
      <c r="M18" s="21">
        <v>0</v>
      </c>
      <c r="N18" s="18" t="e">
        <f t="shared" si="1"/>
        <v>#REF!</v>
      </c>
      <c r="O18" s="18" t="e">
        <f t="shared" si="2"/>
        <v>#REF!</v>
      </c>
      <c r="P18" s="110" t="str">
        <f t="shared" si="3"/>
        <v>SI</v>
      </c>
      <c r="Q18" s="111" t="s">
        <v>35</v>
      </c>
      <c r="R18" s="110" t="s">
        <v>36</v>
      </c>
      <c r="S18" s="18">
        <v>1670.1699999999998</v>
      </c>
      <c r="T18" s="110" t="s">
        <v>306</v>
      </c>
    </row>
    <row r="19" spans="1:20" x14ac:dyDescent="0.2">
      <c r="A19" s="111" t="s">
        <v>37</v>
      </c>
      <c r="B19" s="110" t="s">
        <v>38</v>
      </c>
      <c r="C19" s="113">
        <f>+FACTURACIÓN!C15+FACTURACIÓN!D15+FACTURACIÓN!E15+FACTURACIÓN!F15+FACTURACIÓN!G15+FACTURACIÓN!H15+FACTURACIÓN!I15-'C&amp;A'!I15</f>
        <v>25762.799999999999</v>
      </c>
      <c r="D19" s="113">
        <v>0</v>
      </c>
      <c r="E19" s="18">
        <f t="shared" si="0"/>
        <v>25762.799999999999</v>
      </c>
      <c r="F19" s="18" t="e">
        <f>+FACTURACIÓN!#REF!</f>
        <v>#REF!</v>
      </c>
      <c r="G19" s="18">
        <f>+FACTURACIÓN!K15</f>
        <v>0</v>
      </c>
      <c r="H19" s="18">
        <f>+FACTURACIÓN!L15</f>
        <v>45.15</v>
      </c>
      <c r="I19" s="18">
        <f>+FACTURACIÓN!M15</f>
        <v>504.77</v>
      </c>
      <c r="J19" s="18">
        <f>+FACTURACIÓN!N15</f>
        <v>0</v>
      </c>
      <c r="K19" s="18">
        <f>+FACTURACIÓN!O15</f>
        <v>0</v>
      </c>
      <c r="L19" s="18">
        <f>+FACTURACIÓN!P15</f>
        <v>0</v>
      </c>
      <c r="M19" s="21">
        <v>1150</v>
      </c>
      <c r="N19" s="18" t="e">
        <f t="shared" si="1"/>
        <v>#REF!</v>
      </c>
      <c r="O19" s="18" t="e">
        <f t="shared" si="2"/>
        <v>#REF!</v>
      </c>
      <c r="P19" s="110" t="str">
        <f t="shared" si="3"/>
        <v>SI</v>
      </c>
      <c r="Q19" s="111" t="s">
        <v>37</v>
      </c>
      <c r="R19" s="110" t="s">
        <v>38</v>
      </c>
      <c r="S19" s="18">
        <v>3667.8900000000003</v>
      </c>
      <c r="T19" s="110" t="s">
        <v>307</v>
      </c>
    </row>
    <row r="20" spans="1:20" x14ac:dyDescent="0.2">
      <c r="A20" s="111" t="s">
        <v>39</v>
      </c>
      <c r="B20" s="110" t="s">
        <v>40</v>
      </c>
      <c r="C20" s="113">
        <f>+FACTURACIÓN!C17+FACTURACIÓN!D17+FACTURACIÓN!E17+FACTURACIÓN!F17+FACTURACIÓN!G17+FACTURACIÓN!H17+FACTURACIÓN!I17-'C&amp;A'!I17</f>
        <v>1453.1763632955849</v>
      </c>
      <c r="D20" s="113">
        <v>0</v>
      </c>
      <c r="E20" s="18">
        <f t="shared" si="0"/>
        <v>1453.1763632955849</v>
      </c>
      <c r="F20" s="18" t="e">
        <f>+FACTURACIÓN!#REF!</f>
        <v>#REF!</v>
      </c>
      <c r="G20" s="18">
        <f>+FACTURACIÓN!K17</f>
        <v>0</v>
      </c>
      <c r="H20" s="18">
        <f>+FACTURACIÓN!L17</f>
        <v>45.15</v>
      </c>
      <c r="I20" s="18">
        <f>+FACTURACIÓN!M17</f>
        <v>0</v>
      </c>
      <c r="J20" s="18">
        <f>+FACTURACIÓN!N17</f>
        <v>0</v>
      </c>
      <c r="K20" s="18">
        <f>+FACTURACIÓN!O17</f>
        <v>0</v>
      </c>
      <c r="L20" s="18">
        <f>+FACTURACIÓN!P17</f>
        <v>316.81</v>
      </c>
      <c r="M20" s="21">
        <v>0</v>
      </c>
      <c r="N20" s="18" t="e">
        <f t="shared" si="1"/>
        <v>#REF!</v>
      </c>
      <c r="O20" s="18" t="e">
        <f t="shared" si="2"/>
        <v>#REF!</v>
      </c>
      <c r="P20" s="110" t="str">
        <f t="shared" si="3"/>
        <v>SI</v>
      </c>
      <c r="Q20" s="111" t="s">
        <v>39</v>
      </c>
      <c r="R20" s="110" t="s">
        <v>40</v>
      </c>
      <c r="S20" s="18">
        <v>420.63999999999993</v>
      </c>
      <c r="T20" s="110" t="s">
        <v>308</v>
      </c>
    </row>
    <row r="21" spans="1:20" x14ac:dyDescent="0.2">
      <c r="A21" s="111" t="s">
        <v>94</v>
      </c>
      <c r="B21" s="110" t="s">
        <v>95</v>
      </c>
      <c r="C21" s="113">
        <f>+FACTURACIÓN!C43+FACTURACIÓN!D43+FACTURACIÓN!E43+FACTURACIÓN!F43+FACTURACIÓN!G43+FACTURACIÓN!H43+FACTURACIÓN!I43-'C&amp;A'!I43</f>
        <v>2137.9205678096519</v>
      </c>
      <c r="D21" s="113">
        <v>0</v>
      </c>
      <c r="E21" s="18">
        <f t="shared" si="0"/>
        <v>2137.9205678096519</v>
      </c>
      <c r="F21" s="18" t="e">
        <f>+FACTURACIÓN!#REF!</f>
        <v>#REF!</v>
      </c>
      <c r="G21" s="18">
        <f>+FACTURACIÓN!K43</f>
        <v>0</v>
      </c>
      <c r="H21" s="18">
        <f>+FACTURACIÓN!L43</f>
        <v>45.15</v>
      </c>
      <c r="I21" s="18">
        <f>+FACTURACIÓN!M43</f>
        <v>0</v>
      </c>
      <c r="J21" s="18">
        <f>+FACTURACIÓN!N43</f>
        <v>0</v>
      </c>
      <c r="K21" s="18">
        <f>+FACTURACIÓN!O43</f>
        <v>0</v>
      </c>
      <c r="L21" s="18">
        <f>+FACTURACIÓN!P43</f>
        <v>0</v>
      </c>
      <c r="M21" s="21">
        <v>498.33333333333331</v>
      </c>
      <c r="N21" s="18" t="e">
        <f t="shared" si="1"/>
        <v>#REF!</v>
      </c>
      <c r="O21" s="18" t="e">
        <f t="shared" si="2"/>
        <v>#REF!</v>
      </c>
      <c r="P21" s="110" t="str">
        <f t="shared" si="3"/>
        <v>SI</v>
      </c>
      <c r="Q21" s="111" t="s">
        <v>94</v>
      </c>
      <c r="R21" s="110" t="s">
        <v>95</v>
      </c>
      <c r="S21" s="18">
        <v>1737.8999999999999</v>
      </c>
      <c r="T21" s="110" t="s">
        <v>309</v>
      </c>
    </row>
    <row r="22" spans="1:20" x14ac:dyDescent="0.2">
      <c r="A22" s="111" t="s">
        <v>51</v>
      </c>
      <c r="B22" s="110" t="s">
        <v>52</v>
      </c>
      <c r="C22" s="113">
        <f>+FACTURACIÓN!C22+FACTURACIÓN!D22+FACTURACIÓN!E22+FACTURACIÓN!F22+FACTURACIÓN!G22+FACTURACIÓN!H22+FACTURACIÓN!I22-'C&amp;A'!I22</f>
        <v>37954.39</v>
      </c>
      <c r="D22" s="113">
        <v>0</v>
      </c>
      <c r="E22" s="18">
        <f t="shared" si="0"/>
        <v>37954.39</v>
      </c>
      <c r="F22" s="18" t="e">
        <f>+FACTURACIÓN!#REF!</f>
        <v>#REF!</v>
      </c>
      <c r="G22" s="18">
        <f>+FACTURACIÓN!K22</f>
        <v>500</v>
      </c>
      <c r="H22" s="18">
        <f>+FACTURACIÓN!L22</f>
        <v>45.15</v>
      </c>
      <c r="I22" s="18">
        <f>+FACTURACIÓN!M22</f>
        <v>0</v>
      </c>
      <c r="J22" s="18">
        <f>+FACTURACIÓN!N22</f>
        <v>0</v>
      </c>
      <c r="K22" s="18">
        <f>+FACTURACIÓN!O22</f>
        <v>0</v>
      </c>
      <c r="L22" s="18">
        <f>+FACTURACIÓN!P22</f>
        <v>345.44</v>
      </c>
      <c r="M22" s="21">
        <v>500</v>
      </c>
      <c r="N22" s="18" t="e">
        <f t="shared" si="1"/>
        <v>#REF!</v>
      </c>
      <c r="O22" s="18" t="e">
        <f t="shared" si="2"/>
        <v>#REF!</v>
      </c>
      <c r="P22" s="110" t="str">
        <f t="shared" si="3"/>
        <v>SI</v>
      </c>
      <c r="Q22" s="111" t="s">
        <v>51</v>
      </c>
      <c r="R22" s="110" t="s">
        <v>52</v>
      </c>
      <c r="S22" s="18">
        <v>25260.635999999999</v>
      </c>
      <c r="T22" s="110" t="s">
        <v>310</v>
      </c>
    </row>
    <row r="23" spans="1:20" x14ac:dyDescent="0.2">
      <c r="A23" s="111" t="s">
        <v>76</v>
      </c>
      <c r="B23" s="110" t="s">
        <v>77</v>
      </c>
      <c r="C23" s="113">
        <f>+FACTURACIÓN!C34+FACTURACIÓN!D34+FACTURACIÓN!E34+FACTURACIÓN!F34+FACTURACIÓN!G34+FACTURACIÓN!H34+FACTURACIÓN!I34-'C&amp;A'!I34</f>
        <v>17128.91</v>
      </c>
      <c r="D23" s="113">
        <v>0</v>
      </c>
      <c r="E23" s="18">
        <f t="shared" si="0"/>
        <v>17128.91</v>
      </c>
      <c r="F23" s="18" t="e">
        <f>+FACTURACIÓN!#REF!</f>
        <v>#REF!</v>
      </c>
      <c r="G23" s="18">
        <f>+FACTURACIÓN!K34</f>
        <v>0</v>
      </c>
      <c r="H23" s="18">
        <f>+FACTURACIÓN!L34</f>
        <v>45.15</v>
      </c>
      <c r="I23" s="18">
        <f>+FACTURACIÓN!M34</f>
        <v>58.19</v>
      </c>
      <c r="J23" s="18">
        <f>+FACTURACIÓN!N34</f>
        <v>0</v>
      </c>
      <c r="K23" s="18">
        <f>+FACTURACIÓN!O34</f>
        <v>0</v>
      </c>
      <c r="L23" s="18">
        <f>+FACTURACIÓN!P34</f>
        <v>0</v>
      </c>
      <c r="M23" s="21">
        <v>0</v>
      </c>
      <c r="N23" s="18" t="e">
        <f t="shared" si="1"/>
        <v>#REF!</v>
      </c>
      <c r="O23" s="18" t="e">
        <f t="shared" si="2"/>
        <v>#REF!</v>
      </c>
      <c r="P23" s="110" t="str">
        <f t="shared" si="3"/>
        <v>SI</v>
      </c>
      <c r="Q23" s="111" t="s">
        <v>76</v>
      </c>
      <c r="R23" s="110" t="s">
        <v>77</v>
      </c>
      <c r="S23" s="18">
        <v>12804.411</v>
      </c>
      <c r="T23" s="110" t="s">
        <v>311</v>
      </c>
    </row>
    <row r="24" spans="1:20" x14ac:dyDescent="0.2">
      <c r="A24" s="111" t="s">
        <v>116</v>
      </c>
      <c r="B24" s="110" t="s">
        <v>117</v>
      </c>
      <c r="C24" s="113">
        <f>+FACTURACIÓN!C55+FACTURACIÓN!D55+FACTURACIÓN!E55+FACTURACIÓN!F55+FACTURACIÓN!G55+FACTURACIÓN!H55+FACTURACIÓN!I55-'C&amp;A'!I55</f>
        <v>11762.8</v>
      </c>
      <c r="D24" s="113">
        <v>0</v>
      </c>
      <c r="E24" s="18">
        <f t="shared" si="0"/>
        <v>11762.8</v>
      </c>
      <c r="F24" s="18" t="e">
        <f>+FACTURACIÓN!#REF!</f>
        <v>#REF!</v>
      </c>
      <c r="G24" s="18">
        <f>+FACTURACIÓN!K55</f>
        <v>0</v>
      </c>
      <c r="H24" s="18">
        <f>+FACTURACIÓN!L55</f>
        <v>45.15</v>
      </c>
      <c r="I24" s="18">
        <f>+FACTURACIÓN!M55</f>
        <v>0</v>
      </c>
      <c r="J24" s="18">
        <f>+FACTURACIÓN!N55</f>
        <v>0</v>
      </c>
      <c r="K24" s="18">
        <f>+FACTURACIÓN!O55</f>
        <v>0</v>
      </c>
      <c r="L24" s="18">
        <f>+FACTURACIÓN!P55</f>
        <v>462.61</v>
      </c>
      <c r="M24" s="21">
        <v>0</v>
      </c>
      <c r="N24" s="18" t="e">
        <f t="shared" si="1"/>
        <v>#REF!</v>
      </c>
      <c r="O24" s="18" t="e">
        <f t="shared" si="2"/>
        <v>#REF!</v>
      </c>
      <c r="P24" s="110" t="str">
        <f t="shared" si="3"/>
        <v>SI</v>
      </c>
      <c r="Q24" s="111" t="s">
        <v>116</v>
      </c>
      <c r="R24" s="110" t="s">
        <v>117</v>
      </c>
      <c r="S24" s="18">
        <v>14659.040999999997</v>
      </c>
      <c r="T24" s="110" t="s">
        <v>312</v>
      </c>
    </row>
    <row r="25" spans="1:20" x14ac:dyDescent="0.2">
      <c r="A25" s="111" t="s">
        <v>58</v>
      </c>
      <c r="B25" s="110" t="s">
        <v>59</v>
      </c>
      <c r="C25" s="113">
        <f>+FACTURACIÓN!C25+FACTURACIÓN!D25+FACTURACIÓN!E25+FACTURACIÓN!F25+FACTURACIÓN!G25+FACTURACIÓN!H25+FACTURACIÓN!I25-'C&amp;A'!I25</f>
        <v>17312.8</v>
      </c>
      <c r="D25" s="113">
        <v>0</v>
      </c>
      <c r="E25" s="18">
        <f t="shared" si="0"/>
        <v>17312.8</v>
      </c>
      <c r="F25" s="18" t="e">
        <f>+FACTURACIÓN!#REF!</f>
        <v>#REF!</v>
      </c>
      <c r="G25" s="18">
        <f>+FACTURACIÓN!K25</f>
        <v>0</v>
      </c>
      <c r="H25" s="18">
        <f>+FACTURACIÓN!L25</f>
        <v>45.15</v>
      </c>
      <c r="I25" s="18">
        <f>+FACTURACIÓN!M25</f>
        <v>310.19</v>
      </c>
      <c r="J25" s="18">
        <f>+FACTURACIÓN!N25</f>
        <v>0</v>
      </c>
      <c r="K25" s="18">
        <f>+FACTURACIÓN!O25</f>
        <v>0</v>
      </c>
      <c r="L25" s="18">
        <f>+FACTURACIÓN!P25</f>
        <v>0</v>
      </c>
      <c r="M25" s="21">
        <v>500</v>
      </c>
      <c r="N25" s="18" t="e">
        <f t="shared" si="1"/>
        <v>#REF!</v>
      </c>
      <c r="O25" s="18" t="e">
        <f t="shared" si="2"/>
        <v>#REF!</v>
      </c>
      <c r="P25" s="110" t="str">
        <f t="shared" si="3"/>
        <v>SI</v>
      </c>
      <c r="Q25" s="111" t="s">
        <v>58</v>
      </c>
      <c r="R25" s="110" t="s">
        <v>59</v>
      </c>
      <c r="S25" s="18">
        <v>3452.6100000000006</v>
      </c>
      <c r="T25" s="110" t="s">
        <v>313</v>
      </c>
    </row>
    <row r="26" spans="1:20" x14ac:dyDescent="0.2">
      <c r="A26" s="111" t="s">
        <v>62</v>
      </c>
      <c r="B26" s="110" t="s">
        <v>63</v>
      </c>
      <c r="C26" s="113">
        <f>+FACTURACIÓN!C27+FACTURACIÓN!D27+FACTURACIÓN!E27+FACTURACIÓN!F27+FACTURACIÓN!G27+FACTURACIÓN!H27+FACTURACIÓN!I27-'C&amp;A'!I27</f>
        <v>9426.5</v>
      </c>
      <c r="D26" s="113">
        <v>0</v>
      </c>
      <c r="E26" s="18">
        <f t="shared" si="0"/>
        <v>9426.5</v>
      </c>
      <c r="F26" s="18" t="e">
        <f>+FACTURACIÓN!#REF!</f>
        <v>#REF!</v>
      </c>
      <c r="G26" s="18">
        <f>+FACTURACIÓN!K27</f>
        <v>0</v>
      </c>
      <c r="H26" s="18">
        <f>+FACTURACIÓN!L27</f>
        <v>45.15</v>
      </c>
      <c r="I26" s="18">
        <f>+FACTURACIÓN!M27</f>
        <v>0</v>
      </c>
      <c r="J26" s="18">
        <f>+FACTURACIÓN!N27</f>
        <v>0</v>
      </c>
      <c r="K26" s="18">
        <f>+FACTURACIÓN!O27</f>
        <v>0</v>
      </c>
      <c r="L26" s="18">
        <f>+FACTURACIÓN!P27</f>
        <v>0</v>
      </c>
      <c r="M26" s="21">
        <v>0</v>
      </c>
      <c r="N26" s="18" t="e">
        <f t="shared" si="1"/>
        <v>#REF!</v>
      </c>
      <c r="O26" s="18" t="e">
        <f t="shared" si="2"/>
        <v>#REF!</v>
      </c>
      <c r="P26" s="110" t="str">
        <f t="shared" si="3"/>
        <v>SI</v>
      </c>
      <c r="Q26" s="111" t="s">
        <v>62</v>
      </c>
      <c r="R26" s="110" t="s">
        <v>63</v>
      </c>
      <c r="S26" s="18">
        <v>12189.638999999999</v>
      </c>
      <c r="T26" s="110" t="s">
        <v>314</v>
      </c>
    </row>
    <row r="27" spans="1:20" x14ac:dyDescent="0.2">
      <c r="A27" s="111" t="s">
        <v>82</v>
      </c>
      <c r="B27" s="110" t="s">
        <v>83</v>
      </c>
      <c r="C27" s="113">
        <f>+FACTURACIÓN!C37+FACTURACIÓN!D37+FACTURACIÓN!E37+FACTURACIÓN!F37+FACTURACIÓN!G37+FACTURACIÓN!H37+FACTURACIÓN!I37-'C&amp;A'!I37</f>
        <v>10612.8</v>
      </c>
      <c r="D27" s="113">
        <v>0</v>
      </c>
      <c r="E27" s="18">
        <f t="shared" si="0"/>
        <v>10612.8</v>
      </c>
      <c r="F27" s="18" t="e">
        <f>+FACTURACIÓN!#REF!</f>
        <v>#REF!</v>
      </c>
      <c r="G27" s="18">
        <f>+FACTURACIÓN!K37</f>
        <v>0</v>
      </c>
      <c r="H27" s="18">
        <f>+FACTURACIÓN!L37</f>
        <v>45.15</v>
      </c>
      <c r="I27" s="18">
        <f>+FACTURACIÓN!M37</f>
        <v>0</v>
      </c>
      <c r="J27" s="18">
        <f>+FACTURACIÓN!N37</f>
        <v>0</v>
      </c>
      <c r="K27" s="18">
        <f>+FACTURACIÓN!O37</f>
        <v>0</v>
      </c>
      <c r="L27" s="18">
        <f>+FACTURACIÓN!P37</f>
        <v>1200.08</v>
      </c>
      <c r="M27" s="21">
        <v>994</v>
      </c>
      <c r="N27" s="18" t="e">
        <f t="shared" si="1"/>
        <v>#REF!</v>
      </c>
      <c r="O27" s="18" t="e">
        <f t="shared" si="2"/>
        <v>#REF!</v>
      </c>
      <c r="P27" s="110" t="str">
        <f t="shared" si="3"/>
        <v>SI</v>
      </c>
      <c r="Q27" s="111" t="s">
        <v>82</v>
      </c>
      <c r="R27" s="110" t="s">
        <v>83</v>
      </c>
      <c r="S27" s="18">
        <v>9471.7109999999993</v>
      </c>
      <c r="T27" s="110" t="s">
        <v>315</v>
      </c>
    </row>
    <row r="28" spans="1:20" x14ac:dyDescent="0.2">
      <c r="A28" s="111" t="s">
        <v>84</v>
      </c>
      <c r="B28" s="110" t="s">
        <v>85</v>
      </c>
      <c r="C28" s="113">
        <f>+FACTURACIÓN!C38+FACTURACIÓN!D38+FACTURACIÓN!E38+FACTURACIÓN!F38+FACTURACIÓN!G38+FACTURACIÓN!H38+FACTURACIÓN!I38-'C&amp;A'!I38</f>
        <v>3262.8</v>
      </c>
      <c r="D28" s="113">
        <v>0</v>
      </c>
      <c r="E28" s="18">
        <f t="shared" si="0"/>
        <v>3262.8</v>
      </c>
      <c r="F28" s="18" t="e">
        <f>+FACTURACIÓN!#REF!</f>
        <v>#REF!</v>
      </c>
      <c r="G28" s="18">
        <f>+FACTURACIÓN!K38</f>
        <v>0</v>
      </c>
      <c r="H28" s="18">
        <f>+FACTURACIÓN!L38</f>
        <v>45.15</v>
      </c>
      <c r="I28" s="18">
        <f>+FACTURACIÓN!M38</f>
        <v>0</v>
      </c>
      <c r="J28" s="18">
        <f>+FACTURACIÓN!N38</f>
        <v>0</v>
      </c>
      <c r="K28" s="18">
        <f>+FACTURACIÓN!O38</f>
        <v>0</v>
      </c>
      <c r="L28" s="18">
        <f>+FACTURACIÓN!P38</f>
        <v>887.44</v>
      </c>
      <c r="M28" s="21">
        <v>1030</v>
      </c>
      <c r="N28" s="18" t="e">
        <f t="shared" si="1"/>
        <v>#REF!</v>
      </c>
      <c r="O28" s="18" t="e">
        <f t="shared" si="2"/>
        <v>#REF!</v>
      </c>
      <c r="P28" s="110" t="str">
        <f t="shared" si="3"/>
        <v>SI</v>
      </c>
      <c r="Q28" s="111" t="s">
        <v>84</v>
      </c>
      <c r="R28" s="110" t="s">
        <v>85</v>
      </c>
      <c r="S28" s="18">
        <v>1980.23</v>
      </c>
      <c r="T28" s="110" t="s">
        <v>316</v>
      </c>
    </row>
    <row r="29" spans="1:20" x14ac:dyDescent="0.2">
      <c r="A29" s="111" t="s">
        <v>47</v>
      </c>
      <c r="B29" s="110" t="s">
        <v>48</v>
      </c>
      <c r="C29" s="113">
        <f>+FACTURACIÓN!C20+FACTURACIÓN!D20+FACTURACIÓN!E20+FACTURACIÓN!F20+FACTURACIÓN!G20+FACTURACIÓN!H20+FACTURACIÓN!I20-'C&amp;A'!I20</f>
        <v>5344.6500000000005</v>
      </c>
      <c r="D29" s="113">
        <v>0</v>
      </c>
      <c r="E29" s="18">
        <f t="shared" si="0"/>
        <v>5344.6500000000005</v>
      </c>
      <c r="F29" s="18" t="e">
        <f>+FACTURACIÓN!#REF!</f>
        <v>#REF!</v>
      </c>
      <c r="G29" s="18">
        <f>+FACTURACIÓN!K20</f>
        <v>0</v>
      </c>
      <c r="H29" s="18">
        <f>+FACTURACIÓN!L20</f>
        <v>45.15</v>
      </c>
      <c r="I29" s="18">
        <f>+FACTURACIÓN!M20</f>
        <v>0</v>
      </c>
      <c r="J29" s="18">
        <f>+FACTURACIÓN!N20</f>
        <v>0</v>
      </c>
      <c r="K29" s="18">
        <f>+FACTURACIÓN!O20</f>
        <v>0</v>
      </c>
      <c r="L29" s="18">
        <f>+FACTURACIÓN!P20</f>
        <v>0</v>
      </c>
      <c r="M29" s="21">
        <v>0</v>
      </c>
      <c r="N29" s="18" t="e">
        <f t="shared" si="1"/>
        <v>#REF!</v>
      </c>
      <c r="O29" s="18" t="e">
        <f t="shared" si="2"/>
        <v>#REF!</v>
      </c>
      <c r="P29" s="110" t="str">
        <f t="shared" si="3"/>
        <v>SI</v>
      </c>
      <c r="Q29" s="111" t="s">
        <v>47</v>
      </c>
      <c r="R29" s="110" t="s">
        <v>48</v>
      </c>
      <c r="S29" s="18">
        <v>5765.0250000000005</v>
      </c>
      <c r="T29" s="110" t="s">
        <v>317</v>
      </c>
    </row>
    <row r="30" spans="1:20" x14ac:dyDescent="0.2">
      <c r="A30" s="111" t="s">
        <v>78</v>
      </c>
      <c r="B30" s="110" t="s">
        <v>79</v>
      </c>
      <c r="C30" s="113">
        <f>+FACTURACIÓN!C35+FACTURACIÓN!D35+FACTURACIÓN!E35+FACTURACIÓN!F35+FACTURACIÓN!G35+FACTURACIÓN!H35+FACTURACIÓN!I35-'C&amp;A'!I35</f>
        <v>8826.5400000000009</v>
      </c>
      <c r="D30" s="113">
        <v>0</v>
      </c>
      <c r="E30" s="18">
        <f t="shared" si="0"/>
        <v>8826.5400000000009</v>
      </c>
      <c r="F30" s="18" t="e">
        <f>+FACTURACIÓN!#REF!</f>
        <v>#REF!</v>
      </c>
      <c r="G30" s="18">
        <f>+FACTURACIÓN!K35</f>
        <v>0</v>
      </c>
      <c r="H30" s="18">
        <f>+FACTURACIÓN!L35</f>
        <v>45.15</v>
      </c>
      <c r="I30" s="18">
        <f>+FACTURACIÓN!M35</f>
        <v>0</v>
      </c>
      <c r="J30" s="18">
        <f>+FACTURACIÓN!N35</f>
        <v>0</v>
      </c>
      <c r="K30" s="18">
        <f>+FACTURACIÓN!O35</f>
        <v>0</v>
      </c>
      <c r="L30" s="18">
        <f>+FACTURACIÓN!P35</f>
        <v>1045.54</v>
      </c>
      <c r="M30" s="21">
        <v>0</v>
      </c>
      <c r="N30" s="18" t="e">
        <f t="shared" si="1"/>
        <v>#REF!</v>
      </c>
      <c r="O30" s="18" t="e">
        <f t="shared" si="2"/>
        <v>#REF!</v>
      </c>
      <c r="P30" s="110" t="str">
        <f t="shared" si="3"/>
        <v>SI</v>
      </c>
      <c r="Q30" s="111" t="s">
        <v>78</v>
      </c>
      <c r="R30" s="110" t="s">
        <v>79</v>
      </c>
      <c r="S30" s="18">
        <v>6704.6069999999991</v>
      </c>
      <c r="T30" s="110" t="s">
        <v>318</v>
      </c>
    </row>
    <row r="31" spans="1:20" x14ac:dyDescent="0.2">
      <c r="A31" s="111" t="s">
        <v>106</v>
      </c>
      <c r="B31" s="110" t="s">
        <v>107</v>
      </c>
      <c r="C31" s="113">
        <f>+FACTURACIÓN!C49+FACTURACIÓN!D49+FACTURACIÓN!E49+FACTURACIÓN!F49+FACTURACIÓN!G49+FACTURACIÓN!H49+FACTURACIÓN!I49-'C&amp;A'!I49</f>
        <v>1908.173897131358</v>
      </c>
      <c r="D31" s="113">
        <v>0</v>
      </c>
      <c r="E31" s="18">
        <f t="shared" si="0"/>
        <v>1908.173897131358</v>
      </c>
      <c r="F31" s="18" t="e">
        <f>+FACTURACIÓN!#REF!</f>
        <v>#REF!</v>
      </c>
      <c r="G31" s="18">
        <f>+FACTURACIÓN!K49</f>
        <v>0</v>
      </c>
      <c r="H31" s="18">
        <f>+FACTURACIÓN!L49</f>
        <v>45.15</v>
      </c>
      <c r="I31" s="18">
        <f>+FACTURACIÓN!M49</f>
        <v>0</v>
      </c>
      <c r="J31" s="18">
        <f>+FACTURACIÓN!N49</f>
        <v>0</v>
      </c>
      <c r="K31" s="18">
        <f>+FACTURACIÓN!O49</f>
        <v>0</v>
      </c>
      <c r="L31" s="18">
        <f>+FACTURACIÓN!P49</f>
        <v>0</v>
      </c>
      <c r="M31" s="21">
        <v>0</v>
      </c>
      <c r="N31" s="18" t="e">
        <f t="shared" si="1"/>
        <v>#REF!</v>
      </c>
      <c r="O31" s="18" t="e">
        <f t="shared" si="2"/>
        <v>#REF!</v>
      </c>
      <c r="P31" s="110" t="str">
        <f t="shared" si="3"/>
        <v>SI</v>
      </c>
      <c r="Q31" s="111" t="s">
        <v>106</v>
      </c>
      <c r="R31" s="110" t="s">
        <v>107</v>
      </c>
      <c r="S31" s="18">
        <v>1713.05</v>
      </c>
      <c r="T31" s="110" t="s">
        <v>319</v>
      </c>
    </row>
    <row r="32" spans="1:20" x14ac:dyDescent="0.2">
      <c r="A32" s="111" t="s">
        <v>31</v>
      </c>
      <c r="B32" s="110" t="s">
        <v>32</v>
      </c>
      <c r="C32" s="113">
        <f>+FACTURACIÓN!C12+FACTURACIÓN!D12+FACTURACIÓN!E12+FACTURACIÓN!F12+FACTURACIÓN!G12+FACTURACIÓN!H12+FACTURACIÓN!I12-'C&amp;A'!I12</f>
        <v>3762.8</v>
      </c>
      <c r="D32" s="113">
        <v>0</v>
      </c>
      <c r="E32" s="18">
        <f t="shared" si="0"/>
        <v>3762.8</v>
      </c>
      <c r="F32" s="18" t="e">
        <f>+FACTURACIÓN!#REF!</f>
        <v>#REF!</v>
      </c>
      <c r="G32" s="18">
        <f>+FACTURACIÓN!K12</f>
        <v>0</v>
      </c>
      <c r="H32" s="18">
        <f>+FACTURACIÓN!L12</f>
        <v>45.15</v>
      </c>
      <c r="I32" s="18">
        <f>+FACTURACIÓN!M12</f>
        <v>0</v>
      </c>
      <c r="J32" s="18">
        <f>+FACTURACIÓN!N12</f>
        <v>0</v>
      </c>
      <c r="K32" s="18">
        <f>+FACTURACIÓN!O12</f>
        <v>0</v>
      </c>
      <c r="L32" s="18">
        <f>+FACTURACIÓN!P12</f>
        <v>0</v>
      </c>
      <c r="M32" s="21">
        <v>0</v>
      </c>
      <c r="N32" s="18" t="e">
        <f t="shared" si="1"/>
        <v>#REF!</v>
      </c>
      <c r="O32" s="18" t="e">
        <f t="shared" si="2"/>
        <v>#REF!</v>
      </c>
      <c r="P32" s="110" t="str">
        <f t="shared" si="3"/>
        <v>SI</v>
      </c>
      <c r="Q32" s="111" t="s">
        <v>31</v>
      </c>
      <c r="R32" s="110" t="s">
        <v>32</v>
      </c>
      <c r="S32" s="18">
        <v>2717.67</v>
      </c>
      <c r="T32" s="110" t="s">
        <v>320</v>
      </c>
    </row>
    <row r="33" spans="1:20" x14ac:dyDescent="0.2">
      <c r="A33" s="111" t="s">
        <v>90</v>
      </c>
      <c r="B33" s="110" t="s">
        <v>91</v>
      </c>
      <c r="C33" s="113">
        <f>+FACTURACIÓN!C41+FACTURACIÓN!D41+FACTURACIÓN!E41+FACTURACIÓN!F41+FACTURACIÓN!G41+FACTURACIÓN!H41+FACTURACIÓN!I41-'C&amp;A'!I41</f>
        <v>1473.1763632955849</v>
      </c>
      <c r="D33" s="113">
        <v>0</v>
      </c>
      <c r="E33" s="18">
        <f t="shared" si="0"/>
        <v>1473.1763632955849</v>
      </c>
      <c r="F33" s="18" t="e">
        <f>+FACTURACIÓN!#REF!</f>
        <v>#REF!</v>
      </c>
      <c r="G33" s="18">
        <f>+FACTURACIÓN!K41</f>
        <v>0</v>
      </c>
      <c r="H33" s="18">
        <f>+FACTURACIÓN!L41</f>
        <v>45.15</v>
      </c>
      <c r="I33" s="18">
        <f>+FACTURACIÓN!M41</f>
        <v>0</v>
      </c>
      <c r="J33" s="18">
        <f>+FACTURACIÓN!N41</f>
        <v>0</v>
      </c>
      <c r="K33" s="18">
        <f>+FACTURACIÓN!O41</f>
        <v>0</v>
      </c>
      <c r="L33" s="18">
        <f>+FACTURACIÓN!P41</f>
        <v>0</v>
      </c>
      <c r="M33" s="21">
        <v>0</v>
      </c>
      <c r="N33" s="18" t="e">
        <f t="shared" si="1"/>
        <v>#REF!</v>
      </c>
      <c r="O33" s="18" t="e">
        <f t="shared" si="2"/>
        <v>#REF!</v>
      </c>
      <c r="P33" s="110" t="str">
        <f t="shared" si="3"/>
        <v>SI</v>
      </c>
      <c r="Q33" s="111" t="s">
        <v>90</v>
      </c>
      <c r="R33" s="110" t="s">
        <v>91</v>
      </c>
      <c r="S33" s="18">
        <v>1227.97</v>
      </c>
      <c r="T33" s="110" t="s">
        <v>321</v>
      </c>
    </row>
    <row r="34" spans="1:20" x14ac:dyDescent="0.2">
      <c r="A34" s="111" t="s">
        <v>68</v>
      </c>
      <c r="B34" s="110" t="s">
        <v>69</v>
      </c>
      <c r="C34" s="113">
        <f>+FACTURACIÓN!C30+FACTURACIÓN!D30+FACTURACIÓN!E30+FACTURACIÓN!F30+FACTURACIÓN!G30+FACTURACIÓN!H30+FACTURACIÓN!I30-'C&amp;A'!I30</f>
        <v>2602.8000000000002</v>
      </c>
      <c r="D34" s="113">
        <v>0</v>
      </c>
      <c r="E34" s="18">
        <f t="shared" si="0"/>
        <v>2602.8000000000002</v>
      </c>
      <c r="F34" s="18" t="e">
        <f>+FACTURACIÓN!#REF!</f>
        <v>#REF!</v>
      </c>
      <c r="G34" s="18">
        <f>+FACTURACIÓN!K30</f>
        <v>0</v>
      </c>
      <c r="H34" s="18">
        <f>+FACTURACIÓN!L30</f>
        <v>45.15</v>
      </c>
      <c r="I34" s="18">
        <f>+FACTURACIÓN!M30</f>
        <v>0</v>
      </c>
      <c r="J34" s="18">
        <f>+FACTURACIÓN!N30</f>
        <v>0</v>
      </c>
      <c r="K34" s="18">
        <f>+FACTURACIÓN!O30</f>
        <v>0</v>
      </c>
      <c r="L34" s="18">
        <f>+FACTURACIÓN!P30</f>
        <v>1075.52</v>
      </c>
      <c r="M34" s="21">
        <v>0</v>
      </c>
      <c r="N34" s="18" t="e">
        <f t="shared" si="1"/>
        <v>#REF!</v>
      </c>
      <c r="O34" s="18" t="e">
        <f t="shared" si="2"/>
        <v>#REF!</v>
      </c>
      <c r="P34" s="110" t="str">
        <f t="shared" si="3"/>
        <v>SI</v>
      </c>
      <c r="Q34" s="111" t="s">
        <v>68</v>
      </c>
      <c r="R34" s="110" t="s">
        <v>69</v>
      </c>
      <c r="S34" s="18">
        <v>2807.5800000000004</v>
      </c>
      <c r="T34" s="110" t="s">
        <v>322</v>
      </c>
    </row>
    <row r="35" spans="1:20" x14ac:dyDescent="0.2">
      <c r="A35" s="111" t="s">
        <v>88</v>
      </c>
      <c r="B35" s="110" t="s">
        <v>89</v>
      </c>
      <c r="C35" s="113">
        <f>+FACTURACIÓN!C40+FACTURACIÓN!D40+FACTURACIÓN!E40+FACTURACIÓN!F40+FACTURACIÓN!G40+FACTURACIÓN!H40+FACTURACIÓN!I40-'C&amp;A'!I40</f>
        <v>3381.4700000000003</v>
      </c>
      <c r="D35" s="113">
        <v>0</v>
      </c>
      <c r="E35" s="18">
        <f t="shared" si="0"/>
        <v>3381.4700000000003</v>
      </c>
      <c r="F35" s="18" t="e">
        <f>+FACTURACIÓN!#REF!</f>
        <v>#REF!</v>
      </c>
      <c r="G35" s="18">
        <f>+FACTURACIÓN!K40</f>
        <v>0</v>
      </c>
      <c r="H35" s="18">
        <f>+FACTURACIÓN!L40</f>
        <v>45.15</v>
      </c>
      <c r="I35" s="18">
        <f>+FACTURACIÓN!M40</f>
        <v>0</v>
      </c>
      <c r="J35" s="18">
        <f>+FACTURACIÓN!N40</f>
        <v>0</v>
      </c>
      <c r="K35" s="18">
        <f>+FACTURACIÓN!O40</f>
        <v>0</v>
      </c>
      <c r="L35" s="18">
        <f>+FACTURACIÓN!P40</f>
        <v>0</v>
      </c>
      <c r="M35" s="21">
        <v>0</v>
      </c>
      <c r="N35" s="18" t="e">
        <f t="shared" si="1"/>
        <v>#REF!</v>
      </c>
      <c r="O35" s="18" t="e">
        <f t="shared" si="2"/>
        <v>#REF!</v>
      </c>
      <c r="P35" s="110" t="str">
        <f t="shared" si="3"/>
        <v>SI</v>
      </c>
      <c r="Q35" s="111" t="s">
        <v>88</v>
      </c>
      <c r="R35" s="110" t="s">
        <v>89</v>
      </c>
      <c r="S35" s="18">
        <v>2823.6499999999996</v>
      </c>
      <c r="T35" s="110" t="s">
        <v>323</v>
      </c>
    </row>
    <row r="36" spans="1:20" x14ac:dyDescent="0.2">
      <c r="A36" s="111" t="s">
        <v>72</v>
      </c>
      <c r="B36" s="110" t="s">
        <v>73</v>
      </c>
      <c r="C36" s="113">
        <f>+FACTURACIÓN!C33+FACTURACIÓN!D33+FACTURACIÓN!E33+FACTURACIÓN!F33+FACTURACIÓN!G33+FACTURACIÓN!H33+FACTURACIÓN!I33-'C&amp;A'!I33</f>
        <v>1908.173897131358</v>
      </c>
      <c r="D36" s="113">
        <v>0</v>
      </c>
      <c r="E36" s="18">
        <f t="shared" si="0"/>
        <v>1908.173897131358</v>
      </c>
      <c r="F36" s="18" t="e">
        <f>+FACTURACIÓN!#REF!</f>
        <v>#REF!</v>
      </c>
      <c r="G36" s="18">
        <f>+FACTURACIÓN!K33</f>
        <v>0</v>
      </c>
      <c r="H36" s="18">
        <f>+FACTURACIÓN!L33</f>
        <v>45.15</v>
      </c>
      <c r="I36" s="18">
        <f>+FACTURACIÓN!M33</f>
        <v>0</v>
      </c>
      <c r="J36" s="18">
        <f>+FACTURACIÓN!N33</f>
        <v>0</v>
      </c>
      <c r="K36" s="18">
        <f>+FACTURACIÓN!O33</f>
        <v>0</v>
      </c>
      <c r="L36" s="18">
        <f>+FACTURACIÓN!P33</f>
        <v>0</v>
      </c>
      <c r="M36" s="21">
        <v>0</v>
      </c>
      <c r="N36" s="18" t="e">
        <f t="shared" si="1"/>
        <v>#REF!</v>
      </c>
      <c r="O36" s="18" t="e">
        <f t="shared" si="2"/>
        <v>#REF!</v>
      </c>
      <c r="P36" s="110" t="str">
        <f t="shared" si="3"/>
        <v>SI</v>
      </c>
      <c r="Q36" s="111" t="s">
        <v>72</v>
      </c>
      <c r="R36" s="110" t="s">
        <v>73</v>
      </c>
      <c r="S36" s="18">
        <v>1758.18</v>
      </c>
      <c r="T36" s="110" t="s">
        <v>324</v>
      </c>
    </row>
    <row r="37" spans="1:20" x14ac:dyDescent="0.2">
      <c r="A37" s="111" t="s">
        <v>12</v>
      </c>
      <c r="B37" s="110" t="s">
        <v>30</v>
      </c>
      <c r="C37" s="113">
        <f>+FACTURACIÓN!C11+FACTURACIÓN!D11+FACTURACIÓN!E11+FACTURACIÓN!F11+FACTURACIÓN!G11+FACTURACIÓN!H11+FACTURACIÓN!I11-'C&amp;A'!I11</f>
        <v>1658.173897131358</v>
      </c>
      <c r="D37" s="113">
        <v>0</v>
      </c>
      <c r="E37" s="18">
        <f t="shared" si="0"/>
        <v>1658.173897131358</v>
      </c>
      <c r="F37" s="18" t="e">
        <f>+FACTURACIÓN!#REF!</f>
        <v>#REF!</v>
      </c>
      <c r="G37" s="18">
        <f>+FACTURACIÓN!K11</f>
        <v>0</v>
      </c>
      <c r="H37" s="18">
        <f>+FACTURACIÓN!L11</f>
        <v>45.15</v>
      </c>
      <c r="I37" s="18">
        <f>+FACTURACIÓN!M11</f>
        <v>0</v>
      </c>
      <c r="J37" s="18">
        <f>+FACTURACIÓN!N11</f>
        <v>0</v>
      </c>
      <c r="K37" s="18">
        <f>+FACTURACIÓN!O11</f>
        <v>0</v>
      </c>
      <c r="L37" s="18">
        <f>+FACTURACIÓN!P11</f>
        <v>0</v>
      </c>
      <c r="M37" s="21">
        <v>0</v>
      </c>
      <c r="N37" s="18" t="e">
        <f t="shared" si="1"/>
        <v>#REF!</v>
      </c>
      <c r="O37" s="18" t="e">
        <f t="shared" si="2"/>
        <v>#REF!</v>
      </c>
      <c r="P37" s="110" t="str">
        <f t="shared" si="3"/>
        <v>SI</v>
      </c>
      <c r="Q37" s="111" t="s">
        <v>12</v>
      </c>
      <c r="R37" s="110" t="s">
        <v>30</v>
      </c>
      <c r="S37" s="18">
        <v>1613.05</v>
      </c>
      <c r="T37" s="110" t="s">
        <v>325</v>
      </c>
    </row>
    <row r="38" spans="1:20" x14ac:dyDescent="0.2">
      <c r="A38" s="111" t="s">
        <v>70</v>
      </c>
      <c r="B38" s="110" t="s">
        <v>71</v>
      </c>
      <c r="C38" s="113">
        <f>+FACTURACIÓN!C32+FACTURACIÓN!D32+FACTURACIÓN!E32+FACTURACIÓN!F32+FACTURACIÓN!G32+FACTURACIÓN!H32+FACTURACIÓN!I32-'C&amp;A'!I32</f>
        <v>2512.8000000000002</v>
      </c>
      <c r="D38" s="113">
        <v>0</v>
      </c>
      <c r="E38" s="18">
        <f t="shared" si="0"/>
        <v>2512.8000000000002</v>
      </c>
      <c r="F38" s="18" t="e">
        <f>+FACTURACIÓN!#REF!</f>
        <v>#REF!</v>
      </c>
      <c r="G38" s="18">
        <f>+FACTURACIÓN!K32</f>
        <v>0</v>
      </c>
      <c r="H38" s="18">
        <f>+FACTURACIÓN!L32</f>
        <v>45.15</v>
      </c>
      <c r="I38" s="18">
        <f>+FACTURACIÓN!M32</f>
        <v>0</v>
      </c>
      <c r="J38" s="18">
        <f>+FACTURACIÓN!N32</f>
        <v>0</v>
      </c>
      <c r="K38" s="18">
        <f>+FACTURACIÓN!O32</f>
        <v>0</v>
      </c>
      <c r="L38" s="18">
        <f>+FACTURACIÓN!P32</f>
        <v>0</v>
      </c>
      <c r="M38" s="21">
        <v>0</v>
      </c>
      <c r="N38" s="18" t="e">
        <f t="shared" si="1"/>
        <v>#REF!</v>
      </c>
      <c r="O38" s="18" t="e">
        <f t="shared" si="2"/>
        <v>#REF!</v>
      </c>
      <c r="P38" s="110" t="str">
        <f t="shared" si="3"/>
        <v>SI</v>
      </c>
      <c r="Q38" s="111" t="s">
        <v>70</v>
      </c>
      <c r="R38" s="110" t="s">
        <v>71</v>
      </c>
      <c r="S38" s="18">
        <v>3392.0219999999999</v>
      </c>
      <c r="T38" s="110" t="s">
        <v>326</v>
      </c>
    </row>
    <row r="39" spans="1:20" x14ac:dyDescent="0.2">
      <c r="A39" s="111" t="s">
        <v>80</v>
      </c>
      <c r="B39" s="110" t="s">
        <v>81</v>
      </c>
      <c r="C39" s="113">
        <f>+FACTURACIÓN!C36+FACTURACIÓN!D36+FACTURACIÓN!E36+FACTURACIÓN!F36+FACTURACIÓN!G36+FACTURACIÓN!H36+FACTURACIÓN!I36-'C&amp;A'!I36</f>
        <v>5594.85</v>
      </c>
      <c r="D39" s="113">
        <v>0</v>
      </c>
      <c r="E39" s="18">
        <f t="shared" si="0"/>
        <v>5594.85</v>
      </c>
      <c r="F39" s="18" t="e">
        <f>+FACTURACIÓN!#REF!</f>
        <v>#REF!</v>
      </c>
      <c r="G39" s="18">
        <f>+FACTURACIÓN!K36</f>
        <v>0</v>
      </c>
      <c r="H39" s="18">
        <f>+FACTURACIÓN!L36</f>
        <v>45.15</v>
      </c>
      <c r="I39" s="18">
        <f>+FACTURACIÓN!M36</f>
        <v>0</v>
      </c>
      <c r="J39" s="18">
        <f>+FACTURACIÓN!N36</f>
        <v>0</v>
      </c>
      <c r="K39" s="18">
        <f>+FACTURACIÓN!O36</f>
        <v>0</v>
      </c>
      <c r="L39" s="18">
        <f>+FACTURACIÓN!P36</f>
        <v>0</v>
      </c>
      <c r="M39" s="21">
        <v>0</v>
      </c>
      <c r="N39" s="18" t="e">
        <f t="shared" si="1"/>
        <v>#REF!</v>
      </c>
      <c r="O39" s="18" t="e">
        <f t="shared" si="2"/>
        <v>#REF!</v>
      </c>
      <c r="P39" s="110" t="str">
        <f t="shared" si="3"/>
        <v>SI</v>
      </c>
      <c r="Q39" s="111" t="s">
        <v>80</v>
      </c>
      <c r="R39" s="110" t="s">
        <v>81</v>
      </c>
      <c r="S39" s="18">
        <v>6891.6449999999995</v>
      </c>
      <c r="T39" s="110" t="s">
        <v>327</v>
      </c>
    </row>
    <row r="40" spans="1:20" x14ac:dyDescent="0.2">
      <c r="A40" s="111" t="s">
        <v>104</v>
      </c>
      <c r="B40" s="110" t="s">
        <v>105</v>
      </c>
      <c r="C40" s="113">
        <f>+FACTURACIÓN!C48+FACTURACIÓN!D48+FACTURACIÓN!E48+FACTURACIÓN!F48+FACTURACIÓN!G48+FACTURACIÓN!H48+FACTURACIÓN!I48-'C&amp;A'!I48</f>
        <v>5762.8</v>
      </c>
      <c r="D40" s="113">
        <v>0</v>
      </c>
      <c r="E40" s="18">
        <f t="shared" si="0"/>
        <v>5762.8</v>
      </c>
      <c r="F40" s="18" t="e">
        <f>+FACTURACIÓN!#REF!</f>
        <v>#REF!</v>
      </c>
      <c r="G40" s="18">
        <f>+FACTURACIÓN!K48</f>
        <v>0</v>
      </c>
      <c r="H40" s="18">
        <f>+FACTURACIÓN!L48</f>
        <v>45.15</v>
      </c>
      <c r="I40" s="18">
        <f>+FACTURACIÓN!M48</f>
        <v>0</v>
      </c>
      <c r="J40" s="18">
        <f>+FACTURACIÓN!N48</f>
        <v>0</v>
      </c>
      <c r="K40" s="18">
        <f>+FACTURACIÓN!O48</f>
        <v>0</v>
      </c>
      <c r="L40" s="18">
        <f>+FACTURACIÓN!P48</f>
        <v>0</v>
      </c>
      <c r="M40" s="21">
        <v>0</v>
      </c>
      <c r="N40" s="18" t="e">
        <f t="shared" si="1"/>
        <v>#REF!</v>
      </c>
      <c r="O40" s="18" t="e">
        <f t="shared" si="2"/>
        <v>#REF!</v>
      </c>
      <c r="P40" s="110" t="str">
        <f t="shared" si="3"/>
        <v>SI</v>
      </c>
      <c r="Q40" s="111" t="s">
        <v>104</v>
      </c>
      <c r="R40" s="110" t="s">
        <v>105</v>
      </c>
      <c r="S40" s="18">
        <v>5472.183</v>
      </c>
      <c r="T40" s="110" t="s">
        <v>328</v>
      </c>
    </row>
    <row r="41" spans="1:20" x14ac:dyDescent="0.2">
      <c r="A41" s="111" t="s">
        <v>45</v>
      </c>
      <c r="B41" s="110" t="s">
        <v>46</v>
      </c>
      <c r="C41" s="113">
        <f>+FACTURACIÓN!C19+FACTURACIÓN!D19+FACTURACIÓN!E19+FACTURACIÓN!F19+FACTURACIÓN!G19+FACTURACIÓN!H19+FACTURACIÓN!I19-'C&amp;A'!I19</f>
        <v>2762.8</v>
      </c>
      <c r="D41" s="113">
        <v>0</v>
      </c>
      <c r="E41" s="18">
        <f t="shared" si="0"/>
        <v>2762.8</v>
      </c>
      <c r="F41" s="18" t="e">
        <f>+FACTURACIÓN!#REF!</f>
        <v>#REF!</v>
      </c>
      <c r="G41" s="18">
        <f>+FACTURACIÓN!K19</f>
        <v>0</v>
      </c>
      <c r="H41" s="18">
        <f>+FACTURACIÓN!L19</f>
        <v>45.15</v>
      </c>
      <c r="I41" s="18">
        <f>+FACTURACIÓN!M19</f>
        <v>0</v>
      </c>
      <c r="J41" s="18">
        <f>+FACTURACIÓN!N19</f>
        <v>0</v>
      </c>
      <c r="K41" s="18">
        <f>+FACTURACIÓN!O19</f>
        <v>0</v>
      </c>
      <c r="L41" s="18">
        <f>+FACTURACIÓN!P19</f>
        <v>906.77</v>
      </c>
      <c r="M41" s="21">
        <v>0</v>
      </c>
      <c r="N41" s="18" t="e">
        <f t="shared" si="1"/>
        <v>#REF!</v>
      </c>
      <c r="O41" s="18" t="e">
        <f t="shared" si="2"/>
        <v>#REF!</v>
      </c>
      <c r="P41" s="110" t="str">
        <f t="shared" si="3"/>
        <v>SI</v>
      </c>
      <c r="Q41" s="111" t="s">
        <v>45</v>
      </c>
      <c r="R41" s="110" t="s">
        <v>46</v>
      </c>
      <c r="S41" s="18">
        <v>1810.9</v>
      </c>
      <c r="T41" s="110" t="s">
        <v>329</v>
      </c>
    </row>
    <row r="42" spans="1:20" x14ac:dyDescent="0.2">
      <c r="A42" s="111" t="s">
        <v>108</v>
      </c>
      <c r="B42" s="110" t="s">
        <v>109</v>
      </c>
      <c r="C42" s="113">
        <f>+FACTURACIÓN!C50+FACTURACIÓN!D50+FACTURACIÓN!E50+FACTURACIÓN!F50+FACTURACIÓN!G50+FACTURACIÓN!H50+FACTURACIÓN!I50-'C&amp;A'!I50</f>
        <v>6962.8</v>
      </c>
      <c r="D42" s="113">
        <v>0</v>
      </c>
      <c r="E42" s="18">
        <f t="shared" ref="E42:E58" si="4">SUM(C42:D42)</f>
        <v>6962.8</v>
      </c>
      <c r="F42" s="18" t="e">
        <f>+FACTURACIÓN!#REF!</f>
        <v>#REF!</v>
      </c>
      <c r="G42" s="18">
        <f>+FACTURACIÓN!K50</f>
        <v>0</v>
      </c>
      <c r="H42" s="18">
        <f>+FACTURACIÓN!L50</f>
        <v>45.15</v>
      </c>
      <c r="I42" s="18">
        <f>+FACTURACIÓN!M50</f>
        <v>0</v>
      </c>
      <c r="J42" s="18">
        <f>+FACTURACIÓN!N50</f>
        <v>0</v>
      </c>
      <c r="K42" s="18">
        <f>+FACTURACIÓN!O50</f>
        <v>0</v>
      </c>
      <c r="L42" s="18">
        <f>+FACTURACIÓN!P50</f>
        <v>0</v>
      </c>
      <c r="M42" s="21">
        <v>600</v>
      </c>
      <c r="N42" s="18" t="e">
        <f t="shared" ref="N42:N58" si="5">SUM(F42:M42)</f>
        <v>#REF!</v>
      </c>
      <c r="O42" s="18" t="e">
        <f t="shared" ref="O42:O58" si="6">+E42-N42</f>
        <v>#REF!</v>
      </c>
      <c r="P42" s="110" t="str">
        <f t="shared" ref="P42:P58" si="7">IF(A42=Q42,"SI","NO")</f>
        <v>SI</v>
      </c>
      <c r="Q42" s="111" t="s">
        <v>108</v>
      </c>
      <c r="R42" s="110" t="s">
        <v>109</v>
      </c>
      <c r="S42" s="18">
        <v>3312.183</v>
      </c>
      <c r="T42" s="110" t="s">
        <v>330</v>
      </c>
    </row>
    <row r="43" spans="1:20" x14ac:dyDescent="0.2">
      <c r="A43" s="111" t="s">
        <v>60</v>
      </c>
      <c r="B43" s="110" t="s">
        <v>61</v>
      </c>
      <c r="C43" s="113">
        <f>+FACTURACIÓN!C26+FACTURACIÓN!D26+FACTURACIÓN!E26+FACTURACIÓN!F26+FACTURACIÓN!G26+FACTURACIÓN!H26+FACTURACIÓN!I26-'C&amp;A'!I26</f>
        <v>3012.8</v>
      </c>
      <c r="D43" s="113">
        <v>0</v>
      </c>
      <c r="E43" s="18">
        <f t="shared" si="4"/>
        <v>3012.8</v>
      </c>
      <c r="F43" s="18" t="e">
        <f>+FACTURACIÓN!#REF!</f>
        <v>#REF!</v>
      </c>
      <c r="G43" s="18">
        <f>+FACTURACIÓN!K26</f>
        <v>0</v>
      </c>
      <c r="H43" s="18">
        <f>+FACTURACIÓN!L26</f>
        <v>45.15</v>
      </c>
      <c r="I43" s="18">
        <f>+FACTURACIÓN!M26</f>
        <v>0</v>
      </c>
      <c r="J43" s="18">
        <f>+FACTURACIÓN!N26</f>
        <v>0</v>
      </c>
      <c r="K43" s="18">
        <f>+FACTURACIÓN!O26</f>
        <v>0</v>
      </c>
      <c r="L43" s="18">
        <f>+FACTURACIÓN!P26</f>
        <v>837.96</v>
      </c>
      <c r="M43" s="21">
        <v>0</v>
      </c>
      <c r="N43" s="18" t="e">
        <f t="shared" si="5"/>
        <v>#REF!</v>
      </c>
      <c r="O43" s="18" t="e">
        <f t="shared" si="6"/>
        <v>#REF!</v>
      </c>
      <c r="P43" s="110" t="str">
        <f t="shared" si="7"/>
        <v>SI</v>
      </c>
      <c r="Q43" s="111" t="s">
        <v>60</v>
      </c>
      <c r="R43" s="110" t="s">
        <v>61</v>
      </c>
      <c r="S43" s="18">
        <v>3922.8060000000005</v>
      </c>
      <c r="T43" s="110" t="s">
        <v>331</v>
      </c>
    </row>
    <row r="44" spans="1:20" x14ac:dyDescent="0.2">
      <c r="A44" s="111" t="s">
        <v>92</v>
      </c>
      <c r="B44" s="110" t="s">
        <v>93</v>
      </c>
      <c r="C44" s="113" t="e">
        <f>+FACTURACIÓN!C70+FACTURACIÓN!D70+FACTURACIÓN!E70+FACTURACIÓN!F70+FACTURACIÓN!G70+FACTURACIÓN!H70+FACTURACIÓN!I70-'C&amp;A'!#REF!</f>
        <v>#REF!</v>
      </c>
      <c r="D44" s="113">
        <v>0</v>
      </c>
      <c r="E44" s="18" t="e">
        <f t="shared" si="4"/>
        <v>#REF!</v>
      </c>
      <c r="F44" s="18" t="e">
        <f>+FACTURACIÓN!#REF!</f>
        <v>#REF!</v>
      </c>
      <c r="G44" s="18">
        <f>+FACTURACIÓN!K70</f>
        <v>0</v>
      </c>
      <c r="H44" s="18" t="e">
        <f>+FACTURACIÓN!L70</f>
        <v>#REF!</v>
      </c>
      <c r="I44" s="18" t="e">
        <f>+FACTURACIÓN!M70</f>
        <v>#REF!</v>
      </c>
      <c r="J44" s="18" t="e">
        <f>+FACTURACIÓN!N70</f>
        <v>#REF!</v>
      </c>
      <c r="K44" s="18">
        <f>+FACTURACIÓN!O70</f>
        <v>0</v>
      </c>
      <c r="L44" s="18" t="e">
        <f>+FACTURACIÓN!P70</f>
        <v>#REF!</v>
      </c>
      <c r="M44" s="21">
        <v>0</v>
      </c>
      <c r="N44" s="18" t="e">
        <f t="shared" si="5"/>
        <v>#REF!</v>
      </c>
      <c r="O44" s="18" t="e">
        <f t="shared" si="6"/>
        <v>#REF!</v>
      </c>
      <c r="P44" s="110" t="str">
        <f t="shared" si="7"/>
        <v>SI</v>
      </c>
      <c r="Q44" s="111" t="s">
        <v>92</v>
      </c>
      <c r="R44" s="110" t="s">
        <v>93</v>
      </c>
      <c r="S44" s="18">
        <v>1708.18</v>
      </c>
      <c r="T44" s="110" t="s">
        <v>332</v>
      </c>
    </row>
    <row r="45" spans="1:20" x14ac:dyDescent="0.2">
      <c r="A45" s="111" t="s">
        <v>100</v>
      </c>
      <c r="B45" s="110" t="s">
        <v>101</v>
      </c>
      <c r="C45" s="113">
        <f>+FACTURACIÓN!C45+FACTURACIÓN!D45+FACTURACIÓN!E45+FACTURACIÓN!F45+FACTURACIÓN!G45+FACTURACIÓN!H45+FACTURACIÓN!I45-'C&amp;A'!I45</f>
        <v>14661.84</v>
      </c>
      <c r="D45" s="113">
        <v>0</v>
      </c>
      <c r="E45" s="18">
        <f t="shared" si="4"/>
        <v>14661.84</v>
      </c>
      <c r="F45" s="18" t="e">
        <f>+FACTURACIÓN!#REF!</f>
        <v>#REF!</v>
      </c>
      <c r="G45" s="18">
        <f>+FACTURACIÓN!K45</f>
        <v>0</v>
      </c>
      <c r="H45" s="18">
        <f>+FACTURACIÓN!L45</f>
        <v>45.15</v>
      </c>
      <c r="I45" s="18">
        <f>+FACTURACIÓN!M45</f>
        <v>0</v>
      </c>
      <c r="J45" s="18">
        <f>+FACTURACIÓN!N45</f>
        <v>0</v>
      </c>
      <c r="K45" s="18">
        <f>+FACTURACIÓN!O45</f>
        <v>0</v>
      </c>
      <c r="L45" s="18">
        <f>+FACTURACIÓN!P45</f>
        <v>0</v>
      </c>
      <c r="M45" s="21">
        <v>0</v>
      </c>
      <c r="N45" s="18" t="e">
        <f t="shared" si="5"/>
        <v>#REF!</v>
      </c>
      <c r="O45" s="18" t="e">
        <f t="shared" si="6"/>
        <v>#REF!</v>
      </c>
      <c r="P45" s="110" t="str">
        <f t="shared" si="7"/>
        <v>SI</v>
      </c>
      <c r="Q45" s="111" t="s">
        <v>100</v>
      </c>
      <c r="R45" s="110" t="s">
        <v>101</v>
      </c>
      <c r="S45" s="18">
        <v>12865.611000000001</v>
      </c>
      <c r="T45" s="110" t="s">
        <v>333</v>
      </c>
    </row>
    <row r="46" spans="1:20" x14ac:dyDescent="0.2">
      <c r="A46" s="111" t="s">
        <v>110</v>
      </c>
      <c r="B46" s="110" t="s">
        <v>111</v>
      </c>
      <c r="C46" s="113" t="e">
        <f>+FACTURACIÓN!#REF!+FACTURACIÓN!#REF!+FACTURACIÓN!#REF!+FACTURACIÓN!#REF!+FACTURACIÓN!#REF!+FACTURACIÓN!#REF!+FACTURACIÓN!#REF!-'C&amp;A'!I52</f>
        <v>#REF!</v>
      </c>
      <c r="D46" s="113">
        <v>0</v>
      </c>
      <c r="E46" s="18" t="e">
        <f t="shared" si="4"/>
        <v>#REF!</v>
      </c>
      <c r="F46" s="18" t="e">
        <f>+FACTURACIÓN!#REF!</f>
        <v>#REF!</v>
      </c>
      <c r="G46" s="18" t="e">
        <f>+FACTURACIÓN!#REF!</f>
        <v>#REF!</v>
      </c>
      <c r="H46" s="18" t="e">
        <f>+FACTURACIÓN!#REF!</f>
        <v>#REF!</v>
      </c>
      <c r="I46" s="18" t="e">
        <f>+FACTURACIÓN!#REF!</f>
        <v>#REF!</v>
      </c>
      <c r="J46" s="18" t="e">
        <f>+FACTURACIÓN!#REF!</f>
        <v>#REF!</v>
      </c>
      <c r="K46" s="18" t="e">
        <f>+FACTURACIÓN!#REF!</f>
        <v>#REF!</v>
      </c>
      <c r="L46" s="18" t="e">
        <f>+FACTURACIÓN!#REF!</f>
        <v>#REF!</v>
      </c>
      <c r="M46" s="21">
        <v>0</v>
      </c>
      <c r="N46" s="18" t="e">
        <f t="shared" si="5"/>
        <v>#REF!</v>
      </c>
      <c r="O46" s="18" t="e">
        <f t="shared" si="6"/>
        <v>#REF!</v>
      </c>
      <c r="P46" s="110" t="str">
        <f t="shared" si="7"/>
        <v>SI</v>
      </c>
      <c r="Q46" s="111" t="s">
        <v>110</v>
      </c>
      <c r="R46" s="110" t="s">
        <v>111</v>
      </c>
      <c r="S46" s="18">
        <v>1459.6900000000003</v>
      </c>
      <c r="T46" s="110" t="s">
        <v>334</v>
      </c>
    </row>
    <row r="47" spans="1:20" x14ac:dyDescent="0.2">
      <c r="A47" s="111" t="s">
        <v>33</v>
      </c>
      <c r="B47" s="110" t="s">
        <v>34</v>
      </c>
      <c r="C47" s="113">
        <f>+FACTURACIÓN!C13+FACTURACIÓN!D13+FACTURACIÓN!E13+FACTURACIÓN!F13+FACTURACIÓN!G13+FACTURACIÓN!H13+FACTURACIÓN!I13-'C&amp;A'!I13</f>
        <v>5433.8</v>
      </c>
      <c r="D47" s="113">
        <v>0</v>
      </c>
      <c r="E47" s="18">
        <f t="shared" si="4"/>
        <v>5433.8</v>
      </c>
      <c r="F47" s="18" t="e">
        <f>+FACTURACIÓN!#REF!</f>
        <v>#REF!</v>
      </c>
      <c r="G47" s="18">
        <f>+FACTURACIÓN!K13</f>
        <v>0</v>
      </c>
      <c r="H47" s="18">
        <f>+FACTURACIÓN!L13</f>
        <v>45.15</v>
      </c>
      <c r="I47" s="18">
        <f>+FACTURACIÓN!M13</f>
        <v>0</v>
      </c>
      <c r="J47" s="18">
        <f>+FACTURACIÓN!N13</f>
        <v>0</v>
      </c>
      <c r="K47" s="18">
        <f>+FACTURACIÓN!O13</f>
        <v>0</v>
      </c>
      <c r="L47" s="18">
        <f>+FACTURACIÓN!P13</f>
        <v>0</v>
      </c>
      <c r="M47" s="21">
        <v>0</v>
      </c>
      <c r="N47" s="18" t="e">
        <f t="shared" si="5"/>
        <v>#REF!</v>
      </c>
      <c r="O47" s="18" t="e">
        <f t="shared" si="6"/>
        <v>#REF!</v>
      </c>
      <c r="P47" s="110" t="str">
        <f t="shared" si="7"/>
        <v>SI</v>
      </c>
      <c r="Q47" s="111" t="s">
        <v>33</v>
      </c>
      <c r="R47" s="110" t="s">
        <v>34</v>
      </c>
      <c r="S47" s="18">
        <v>5457.3420000000006</v>
      </c>
      <c r="T47" s="110" t="s">
        <v>335</v>
      </c>
    </row>
    <row r="48" spans="1:20" x14ac:dyDescent="0.2">
      <c r="A48" s="111" t="s">
        <v>55</v>
      </c>
      <c r="B48" s="110" t="s">
        <v>56</v>
      </c>
      <c r="C48" s="113">
        <f>+FACTURACIÓN!C24+FACTURACIÓN!D24+FACTURACIÓN!E24+FACTURACIÓN!F24+FACTURACIÓN!G24+FACTURACIÓN!H24+FACTURACIÓN!I24-'C&amp;A'!I24</f>
        <v>12762.8</v>
      </c>
      <c r="D48" s="113">
        <v>0</v>
      </c>
      <c r="E48" s="18">
        <f t="shared" si="4"/>
        <v>12762.8</v>
      </c>
      <c r="F48" s="18" t="e">
        <f>+FACTURACIÓN!#REF!</f>
        <v>#REF!</v>
      </c>
      <c r="G48" s="18">
        <f>+FACTURACIÓN!K24</f>
        <v>0</v>
      </c>
      <c r="H48" s="18">
        <f>+FACTURACIÓN!L24</f>
        <v>45.15</v>
      </c>
      <c r="I48" s="18">
        <f>+FACTURACIÓN!M24</f>
        <v>355.82</v>
      </c>
      <c r="J48" s="18">
        <f>+FACTURACIÓN!N24</f>
        <v>0</v>
      </c>
      <c r="K48" s="18">
        <f>+FACTURACIÓN!O24</f>
        <v>0</v>
      </c>
      <c r="L48" s="18">
        <f>+FACTURACIÓN!P24</f>
        <v>0</v>
      </c>
      <c r="M48" s="21">
        <v>0</v>
      </c>
      <c r="N48" s="18" t="e">
        <f t="shared" si="5"/>
        <v>#REF!</v>
      </c>
      <c r="O48" s="18" t="e">
        <f t="shared" si="6"/>
        <v>#REF!</v>
      </c>
      <c r="P48" s="110" t="str">
        <f t="shared" si="7"/>
        <v>SI</v>
      </c>
      <c r="Q48" s="111" t="s">
        <v>55</v>
      </c>
      <c r="R48" s="110" t="s">
        <v>56</v>
      </c>
      <c r="S48" s="18">
        <v>11875.152</v>
      </c>
      <c r="T48" s="110" t="s">
        <v>336</v>
      </c>
    </row>
    <row r="49" spans="1:20" x14ac:dyDescent="0.2">
      <c r="A49" s="111" t="s">
        <v>118</v>
      </c>
      <c r="B49" s="110" t="s">
        <v>119</v>
      </c>
      <c r="C49" s="113">
        <f>+FACTURACIÓN!C56+FACTURACIÓN!D56+FACTURACIÓN!E56+FACTURACIÓN!F56+FACTURACIÓN!G56+FACTURACIÓN!H56+FACTURACIÓN!I56-'C&amp;A'!I56</f>
        <v>1708.173897131358</v>
      </c>
      <c r="D49" s="113">
        <v>0</v>
      </c>
      <c r="E49" s="18">
        <f t="shared" si="4"/>
        <v>1708.173897131358</v>
      </c>
      <c r="F49" s="18" t="e">
        <f>+FACTURACIÓN!#REF!</f>
        <v>#REF!</v>
      </c>
      <c r="G49" s="18">
        <f>+FACTURACIÓN!K56</f>
        <v>0</v>
      </c>
      <c r="H49" s="18">
        <f>+FACTURACIÓN!L56</f>
        <v>45.15</v>
      </c>
      <c r="I49" s="18">
        <f>+FACTURACIÓN!M56</f>
        <v>0</v>
      </c>
      <c r="J49" s="18">
        <f>+FACTURACIÓN!N56</f>
        <v>0</v>
      </c>
      <c r="K49" s="18">
        <f>+FACTURACIÓN!O56</f>
        <v>0</v>
      </c>
      <c r="L49" s="18">
        <f>+FACTURACIÓN!P56</f>
        <v>0</v>
      </c>
      <c r="M49" s="21">
        <v>0</v>
      </c>
      <c r="N49" s="18" t="e">
        <f t="shared" si="5"/>
        <v>#REF!</v>
      </c>
      <c r="O49" s="18" t="e">
        <f t="shared" si="6"/>
        <v>#REF!</v>
      </c>
      <c r="P49" s="110" t="str">
        <f t="shared" si="7"/>
        <v>SI</v>
      </c>
      <c r="Q49" s="111" t="s">
        <v>118</v>
      </c>
      <c r="R49" s="110" t="s">
        <v>119</v>
      </c>
      <c r="S49" s="18">
        <v>1708.18</v>
      </c>
      <c r="T49" s="110" t="s">
        <v>337</v>
      </c>
    </row>
    <row r="50" spans="1:20" x14ac:dyDescent="0.2">
      <c r="A50" s="111" t="s">
        <v>98</v>
      </c>
      <c r="B50" s="110" t="s">
        <v>99</v>
      </c>
      <c r="C50" s="113">
        <f>+FACTURACIÓN!C46+FACTURACIÓN!D46+FACTURACIÓN!E46+FACTURACIÓN!F46+FACTURACIÓN!G46+FACTURACIÓN!H46+FACTURACIÓN!I46-'C&amp;A'!I46</f>
        <v>9326.74</v>
      </c>
      <c r="D50" s="113">
        <v>0</v>
      </c>
      <c r="E50" s="18">
        <f t="shared" si="4"/>
        <v>9326.74</v>
      </c>
      <c r="F50" s="18" t="e">
        <f>+FACTURACIÓN!#REF!</f>
        <v>#REF!</v>
      </c>
      <c r="G50" s="18">
        <f>+FACTURACIÓN!K46</f>
        <v>0</v>
      </c>
      <c r="H50" s="18">
        <f>+FACTURACIÓN!L46</f>
        <v>45.15</v>
      </c>
      <c r="I50" s="18">
        <f>+FACTURACIÓN!M46</f>
        <v>0</v>
      </c>
      <c r="J50" s="18">
        <f>+FACTURACIÓN!N46</f>
        <v>0</v>
      </c>
      <c r="K50" s="18">
        <f>+FACTURACIÓN!O46</f>
        <v>0</v>
      </c>
      <c r="L50" s="18">
        <f>+FACTURACIÓN!P46</f>
        <v>395.88</v>
      </c>
      <c r="M50" s="21">
        <v>0</v>
      </c>
      <c r="N50" s="18" t="e">
        <f t="shared" si="5"/>
        <v>#REF!</v>
      </c>
      <c r="O50" s="18" t="e">
        <f t="shared" si="6"/>
        <v>#REF!</v>
      </c>
      <c r="P50" s="110" t="str">
        <f t="shared" si="7"/>
        <v>SI</v>
      </c>
      <c r="Q50" s="111" t="s">
        <v>98</v>
      </c>
      <c r="R50" s="110" t="s">
        <v>99</v>
      </c>
      <c r="S50" s="18">
        <v>7626.0629999999992</v>
      </c>
      <c r="T50" s="110" t="s">
        <v>338</v>
      </c>
    </row>
    <row r="51" spans="1:20" x14ac:dyDescent="0.2">
      <c r="A51" s="111" t="s">
        <v>124</v>
      </c>
      <c r="B51" s="110" t="s">
        <v>125</v>
      </c>
      <c r="C51" s="113">
        <f>+FACTURACIÓN!C59+FACTURACIÓN!D59+FACTURACIÓN!E59+FACTURACIÓN!F59+FACTURACIÓN!G59+FACTURACIÓN!H59+FACTURACIÓN!I59-'C&amp;A'!I59</f>
        <v>2762.8</v>
      </c>
      <c r="D51" s="113">
        <v>0</v>
      </c>
      <c r="E51" s="18">
        <f t="shared" si="4"/>
        <v>2762.8</v>
      </c>
      <c r="F51" s="18" t="e">
        <f>+FACTURACIÓN!#REF!</f>
        <v>#REF!</v>
      </c>
      <c r="G51" s="18">
        <f>+FACTURACIÓN!K59</f>
        <v>0</v>
      </c>
      <c r="H51" s="18">
        <f>+FACTURACIÓN!L59</f>
        <v>45.15</v>
      </c>
      <c r="I51" s="18">
        <f>+FACTURACIÓN!M59</f>
        <v>0</v>
      </c>
      <c r="J51" s="18">
        <f>+FACTURACIÓN!N59</f>
        <v>0</v>
      </c>
      <c r="K51" s="18">
        <f>+FACTURACIÓN!O59</f>
        <v>0</v>
      </c>
      <c r="L51" s="18">
        <f>+FACTURACIÓN!P59</f>
        <v>1309.77</v>
      </c>
      <c r="M51" s="21">
        <v>0</v>
      </c>
      <c r="N51" s="18" t="e">
        <f t="shared" si="5"/>
        <v>#REF!</v>
      </c>
      <c r="O51" s="18" t="e">
        <f t="shared" si="6"/>
        <v>#REF!</v>
      </c>
      <c r="P51" s="110" t="str">
        <f t="shared" si="7"/>
        <v>SI</v>
      </c>
      <c r="Q51" s="111" t="s">
        <v>124</v>
      </c>
      <c r="R51" s="110" t="s">
        <v>125</v>
      </c>
      <c r="S51" s="18">
        <v>1408.1</v>
      </c>
      <c r="T51" s="110" t="s">
        <v>339</v>
      </c>
    </row>
    <row r="52" spans="1:20" x14ac:dyDescent="0.2">
      <c r="A52" s="111" t="s">
        <v>49</v>
      </c>
      <c r="B52" s="110" t="s">
        <v>50</v>
      </c>
      <c r="C52" s="113">
        <f>+FACTURACIÓN!C21+FACTURACIÓN!D21+FACTURACIÓN!E21+FACTURACIÓN!F21+FACTURACIÓN!G21+FACTURACIÓN!H21+FACTURACIÓN!I21-'C&amp;A'!I21</f>
        <v>14123.64</v>
      </c>
      <c r="D52" s="113">
        <v>0</v>
      </c>
      <c r="E52" s="18">
        <f t="shared" si="4"/>
        <v>14123.64</v>
      </c>
      <c r="F52" s="18" t="e">
        <f>+FACTURACIÓN!#REF!</f>
        <v>#REF!</v>
      </c>
      <c r="G52" s="18">
        <f>+FACTURACIÓN!K21</f>
        <v>0</v>
      </c>
      <c r="H52" s="18">
        <f>+FACTURACIÓN!L21</f>
        <v>45.15</v>
      </c>
      <c r="I52" s="18">
        <f>+FACTURACIÓN!M21</f>
        <v>0</v>
      </c>
      <c r="J52" s="18">
        <f>+FACTURACIÓN!N21</f>
        <v>0</v>
      </c>
      <c r="K52" s="18">
        <f>+FACTURACIÓN!O21</f>
        <v>0</v>
      </c>
      <c r="L52" s="18">
        <f>+FACTURACIÓN!P21</f>
        <v>0</v>
      </c>
      <c r="M52" s="21">
        <v>0</v>
      </c>
      <c r="N52" s="18" t="e">
        <f t="shared" si="5"/>
        <v>#REF!</v>
      </c>
      <c r="O52" s="18" t="e">
        <f t="shared" si="6"/>
        <v>#REF!</v>
      </c>
      <c r="P52" s="110" t="str">
        <f t="shared" si="7"/>
        <v>SI</v>
      </c>
      <c r="Q52" s="111" t="s">
        <v>49</v>
      </c>
      <c r="R52" s="110" t="s">
        <v>50</v>
      </c>
      <c r="S52" s="18">
        <v>9928.0470000000005</v>
      </c>
      <c r="T52" s="110" t="s">
        <v>340</v>
      </c>
    </row>
    <row r="53" spans="1:20" x14ac:dyDescent="0.2">
      <c r="A53" s="111" t="s">
        <v>66</v>
      </c>
      <c r="B53" s="110" t="s">
        <v>67</v>
      </c>
      <c r="C53" s="113">
        <f>+FACTURACIÓN!C29+FACTURACIÓN!D29+FACTURACIÓN!E29+FACTURACIÓN!F29+FACTURACIÓN!G29+FACTURACIÓN!H29+FACTURACIÓN!I29-'C&amp;A'!I29</f>
        <v>5433.8</v>
      </c>
      <c r="D53" s="113">
        <v>0</v>
      </c>
      <c r="E53" s="18">
        <f t="shared" si="4"/>
        <v>5433.8</v>
      </c>
      <c r="F53" s="18" t="e">
        <f>+FACTURACIÓN!#REF!</f>
        <v>#REF!</v>
      </c>
      <c r="G53" s="18">
        <f>+FACTURACIÓN!K29</f>
        <v>0</v>
      </c>
      <c r="H53" s="18">
        <f>+FACTURACIÓN!L29</f>
        <v>45.15</v>
      </c>
      <c r="I53" s="18">
        <f>+FACTURACIÓN!M29</f>
        <v>0</v>
      </c>
      <c r="J53" s="18">
        <f>+FACTURACIÓN!N29</f>
        <v>0</v>
      </c>
      <c r="K53" s="18">
        <f>+FACTURACIÓN!O29</f>
        <v>0</v>
      </c>
      <c r="L53" s="18">
        <f>+FACTURACIÓN!P29</f>
        <v>0</v>
      </c>
      <c r="M53" s="21">
        <v>0</v>
      </c>
      <c r="N53" s="18" t="e">
        <f t="shared" si="5"/>
        <v>#REF!</v>
      </c>
      <c r="O53" s="18" t="e">
        <f t="shared" si="6"/>
        <v>#REF!</v>
      </c>
      <c r="P53" s="110" t="str">
        <f t="shared" si="7"/>
        <v>SI</v>
      </c>
      <c r="Q53" s="111" t="s">
        <v>66</v>
      </c>
      <c r="R53" s="110" t="s">
        <v>67</v>
      </c>
      <c r="S53" s="18">
        <v>4980.1530000000002</v>
      </c>
      <c r="T53" s="110" t="s">
        <v>341</v>
      </c>
    </row>
    <row r="54" spans="1:20" x14ac:dyDescent="0.2">
      <c r="A54" s="111" t="s">
        <v>96</v>
      </c>
      <c r="B54" s="110" t="s">
        <v>97</v>
      </c>
      <c r="C54" s="113">
        <f>+FACTURACIÓN!C44+FACTURACIÓN!D44+FACTURACIÓN!E44+FACTURACIÓN!F44+FACTURACIÓN!G44+FACTURACIÓN!H44+FACTURACIÓN!I44-'C&amp;A'!I44</f>
        <v>2037.9205678096519</v>
      </c>
      <c r="D54" s="113">
        <v>0</v>
      </c>
      <c r="E54" s="18">
        <f t="shared" si="4"/>
        <v>2037.9205678096519</v>
      </c>
      <c r="F54" s="18" t="e">
        <f>+FACTURACIÓN!#REF!</f>
        <v>#REF!</v>
      </c>
      <c r="G54" s="18">
        <f>+FACTURACIÓN!K44</f>
        <v>0</v>
      </c>
      <c r="H54" s="18">
        <f>+FACTURACIÓN!L44</f>
        <v>45.15</v>
      </c>
      <c r="I54" s="18">
        <f>+FACTURACIÓN!M44</f>
        <v>0</v>
      </c>
      <c r="J54" s="18">
        <f>+FACTURACIÓN!N44</f>
        <v>0</v>
      </c>
      <c r="K54" s="18">
        <f>+FACTURACIÓN!O44</f>
        <v>0</v>
      </c>
      <c r="L54" s="18">
        <f>+FACTURACIÓN!P44</f>
        <v>0</v>
      </c>
      <c r="M54" s="21">
        <v>0</v>
      </c>
      <c r="N54" s="18" t="e">
        <f t="shared" si="5"/>
        <v>#REF!</v>
      </c>
      <c r="O54" s="18" t="e">
        <f t="shared" si="6"/>
        <v>#REF!</v>
      </c>
      <c r="P54" s="110" t="str">
        <f t="shared" si="7"/>
        <v>SI</v>
      </c>
      <c r="Q54" s="111" t="s">
        <v>96</v>
      </c>
      <c r="R54" s="110" t="s">
        <v>97</v>
      </c>
      <c r="S54" s="18">
        <v>2037.8999999999999</v>
      </c>
      <c r="T54" s="110" t="s">
        <v>342</v>
      </c>
    </row>
    <row r="55" spans="1:20" x14ac:dyDescent="0.2">
      <c r="A55" s="111" t="s">
        <v>64</v>
      </c>
      <c r="B55" s="110" t="s">
        <v>65</v>
      </c>
      <c r="C55" s="113">
        <f>+FACTURACIÓN!C28+FACTURACIÓN!D28+FACTURACIÓN!E28+FACTURACIÓN!F28+FACTURACIÓN!G28+FACTURACIÓN!H28+FACTURACIÓN!I28-'C&amp;A'!I28</f>
        <v>5262.8</v>
      </c>
      <c r="D55" s="113">
        <v>0</v>
      </c>
      <c r="E55" s="18">
        <f t="shared" si="4"/>
        <v>5262.8</v>
      </c>
      <c r="F55" s="18" t="e">
        <f>+FACTURACIÓN!#REF!</f>
        <v>#REF!</v>
      </c>
      <c r="G55" s="18">
        <f>+FACTURACIÓN!K28</f>
        <v>0</v>
      </c>
      <c r="H55" s="18">
        <f>+FACTURACIÓN!L28</f>
        <v>45.15</v>
      </c>
      <c r="I55" s="18">
        <f>+FACTURACIÓN!M28</f>
        <v>0</v>
      </c>
      <c r="J55" s="18">
        <f>+FACTURACIÓN!N28</f>
        <v>0</v>
      </c>
      <c r="K55" s="18">
        <f>+FACTURACIÓN!O28</f>
        <v>0</v>
      </c>
      <c r="L55" s="18">
        <f>+FACTURACIÓN!P28</f>
        <v>0</v>
      </c>
      <c r="M55" s="21">
        <v>0</v>
      </c>
      <c r="N55" s="18" t="e">
        <f t="shared" si="5"/>
        <v>#REF!</v>
      </c>
      <c r="O55" s="18" t="e">
        <f t="shared" si="6"/>
        <v>#REF!</v>
      </c>
      <c r="P55" s="110" t="str">
        <f t="shared" si="7"/>
        <v>SI</v>
      </c>
      <c r="Q55" s="111" t="s">
        <v>64</v>
      </c>
      <c r="R55" s="110" t="s">
        <v>65</v>
      </c>
      <c r="S55" s="18">
        <v>1908.18</v>
      </c>
      <c r="T55" s="110" t="s">
        <v>343</v>
      </c>
    </row>
    <row r="56" spans="1:20" x14ac:dyDescent="0.2">
      <c r="A56" s="111" t="s">
        <v>114</v>
      </c>
      <c r="B56" s="110" t="s">
        <v>115</v>
      </c>
      <c r="C56" s="113">
        <f>+FACTURACIÓN!C54+FACTURACIÓN!D54+FACTURACIÓN!E54+FACTURACIÓN!F54+FACTURACIÓN!G54+FACTURACIÓN!H54+FACTURACIÓN!I54-'C&amp;A'!I54</f>
        <v>2682.8</v>
      </c>
      <c r="D56" s="113">
        <v>0</v>
      </c>
      <c r="E56" s="18">
        <f t="shared" si="4"/>
        <v>2682.8</v>
      </c>
      <c r="F56" s="18" t="e">
        <f>+FACTURACIÓN!#REF!</f>
        <v>#REF!</v>
      </c>
      <c r="G56" s="18">
        <f>+FACTURACIÓN!K54</f>
        <v>0</v>
      </c>
      <c r="H56" s="18">
        <f>+FACTURACIÓN!L54</f>
        <v>45.15</v>
      </c>
      <c r="I56" s="18">
        <f>+FACTURACIÓN!M54</f>
        <v>0</v>
      </c>
      <c r="J56" s="18">
        <f>+FACTURACIÓN!N54</f>
        <v>0</v>
      </c>
      <c r="K56" s="18">
        <f>+FACTURACIÓN!O54</f>
        <v>0</v>
      </c>
      <c r="L56" s="18">
        <f>+FACTURACIÓN!P54</f>
        <v>0</v>
      </c>
      <c r="M56" s="21">
        <v>0</v>
      </c>
      <c r="N56" s="18" t="e">
        <f t="shared" si="5"/>
        <v>#REF!</v>
      </c>
      <c r="O56" s="18" t="e">
        <f t="shared" si="6"/>
        <v>#REF!</v>
      </c>
      <c r="P56" s="110" t="str">
        <f t="shared" si="7"/>
        <v>SI</v>
      </c>
      <c r="Q56" s="111" t="s">
        <v>114</v>
      </c>
      <c r="R56" s="110" t="s">
        <v>115</v>
      </c>
      <c r="S56" s="18">
        <v>437.07000000000039</v>
      </c>
      <c r="T56" s="110" t="s">
        <v>344</v>
      </c>
    </row>
    <row r="57" spans="1:20" x14ac:dyDescent="0.2">
      <c r="A57" s="111" t="s">
        <v>41</v>
      </c>
      <c r="B57" s="110" t="s">
        <v>42</v>
      </c>
      <c r="C57" s="113">
        <f>+FACTURACIÓN!C18+FACTURACIÓN!D18+FACTURACIÓN!E18+FACTURACIÓN!F18+FACTURACIÓN!G18+FACTURACIÓN!H18+FACTURACIÓN!I18-'C&amp;A'!I18</f>
        <v>4318.8</v>
      </c>
      <c r="D57" s="113">
        <v>0</v>
      </c>
      <c r="E57" s="18">
        <f t="shared" si="4"/>
        <v>4318.8</v>
      </c>
      <c r="F57" s="18" t="e">
        <f>+FACTURACIÓN!#REF!</f>
        <v>#REF!</v>
      </c>
      <c r="G57" s="18">
        <f>+FACTURACIÓN!K18</f>
        <v>0</v>
      </c>
      <c r="H57" s="18">
        <f>+FACTURACIÓN!L18</f>
        <v>45.15</v>
      </c>
      <c r="I57" s="18">
        <f>+FACTURACIÓN!M18</f>
        <v>0</v>
      </c>
      <c r="J57" s="18">
        <f>+FACTURACIÓN!N18</f>
        <v>0</v>
      </c>
      <c r="K57" s="18">
        <f>+FACTURACIÓN!O18</f>
        <v>0</v>
      </c>
      <c r="L57" s="18">
        <f>+FACTURACIÓN!P18</f>
        <v>0</v>
      </c>
      <c r="M57" s="21">
        <v>555.6</v>
      </c>
      <c r="N57" s="18" t="e">
        <f t="shared" si="5"/>
        <v>#REF!</v>
      </c>
      <c r="O57" s="18" t="e">
        <f t="shared" si="6"/>
        <v>#REF!</v>
      </c>
      <c r="P57" s="110" t="str">
        <f t="shared" si="7"/>
        <v>SI</v>
      </c>
      <c r="Q57" s="111" t="s">
        <v>41</v>
      </c>
      <c r="R57" s="110" t="s">
        <v>42</v>
      </c>
      <c r="S57" s="18">
        <v>3262.8</v>
      </c>
      <c r="T57" s="110" t="s">
        <v>345</v>
      </c>
    </row>
    <row r="58" spans="1:20" x14ac:dyDescent="0.2">
      <c r="A58" s="111" t="s">
        <v>13</v>
      </c>
      <c r="B58" s="110" t="s">
        <v>57</v>
      </c>
      <c r="C58" s="113" t="e">
        <f>+FACTURACIÓN!C69+FACTURACIÓN!D69+FACTURACIÓN!E69+FACTURACIÓN!F69+FACTURACIÓN!G69+FACTURACIÓN!H69+FACTURACIÓN!I69-'C&amp;A'!#REF!</f>
        <v>#REF!</v>
      </c>
      <c r="D58" s="113">
        <v>0</v>
      </c>
      <c r="E58" s="18" t="e">
        <f t="shared" si="4"/>
        <v>#REF!</v>
      </c>
      <c r="F58" s="18" t="e">
        <f>+FACTURACIÓN!#REF!</f>
        <v>#REF!</v>
      </c>
      <c r="G58" s="18">
        <f>+FACTURACIÓN!K69</f>
        <v>0</v>
      </c>
      <c r="H58" s="18" t="e">
        <f>+FACTURACIÓN!L69</f>
        <v>#REF!</v>
      </c>
      <c r="I58" s="18" t="e">
        <f>+FACTURACIÓN!M69</f>
        <v>#REF!</v>
      </c>
      <c r="J58" s="18" t="e">
        <f>+FACTURACIÓN!N69</f>
        <v>#REF!</v>
      </c>
      <c r="K58" s="18">
        <f>+FACTURACIÓN!O69</f>
        <v>0</v>
      </c>
      <c r="L58" s="18" t="e">
        <f>+FACTURACIÓN!P69</f>
        <v>#REF!</v>
      </c>
      <c r="M58" s="21">
        <v>0</v>
      </c>
      <c r="N58" s="18" t="e">
        <f t="shared" si="5"/>
        <v>#REF!</v>
      </c>
      <c r="O58" s="18" t="e">
        <f t="shared" si="6"/>
        <v>#REF!</v>
      </c>
      <c r="P58" s="110" t="str">
        <f t="shared" si="7"/>
        <v>SI</v>
      </c>
      <c r="Q58" s="111" t="s">
        <v>13</v>
      </c>
      <c r="R58" s="110" t="s">
        <v>57</v>
      </c>
      <c r="S58" s="18">
        <v>480.36000000000013</v>
      </c>
      <c r="T58" s="110" t="s">
        <v>346</v>
      </c>
    </row>
    <row r="59" spans="1:20" ht="12" thickBot="1" x14ac:dyDescent="0.25">
      <c r="A59" s="111"/>
      <c r="B59" s="110"/>
      <c r="C59" s="113"/>
      <c r="D59" s="113"/>
      <c r="E59" s="18"/>
      <c r="F59" s="18"/>
      <c r="G59" s="18"/>
      <c r="H59" s="18"/>
      <c r="I59" s="18"/>
      <c r="J59" s="18"/>
      <c r="K59" s="18"/>
      <c r="L59" s="18"/>
      <c r="M59" s="21"/>
      <c r="N59" s="18"/>
      <c r="O59" s="122" t="e">
        <f>SUM(O10:O58)</f>
        <v>#REF!</v>
      </c>
      <c r="Q59" s="111"/>
      <c r="S59" s="18"/>
    </row>
    <row r="60" spans="1:20" ht="12" thickTop="1" x14ac:dyDescent="0.2">
      <c r="A60" s="111"/>
      <c r="B60" s="110"/>
      <c r="C60" s="113"/>
      <c r="D60" s="113"/>
      <c r="E60" s="18"/>
      <c r="F60" s="18"/>
      <c r="G60" s="18"/>
      <c r="H60" s="18"/>
      <c r="I60" s="18"/>
      <c r="J60" s="18"/>
      <c r="K60" s="18"/>
      <c r="L60" s="18"/>
      <c r="M60" s="21"/>
      <c r="N60" s="18"/>
      <c r="O60" s="18"/>
      <c r="Q60" s="111"/>
      <c r="S60" s="18"/>
    </row>
    <row r="61" spans="1:20" x14ac:dyDescent="0.2">
      <c r="A61" s="111" t="s">
        <v>120</v>
      </c>
      <c r="B61" s="110" t="s">
        <v>121</v>
      </c>
      <c r="C61" s="113">
        <f>+FACTURACIÓN!C57+FACTURACIÓN!D57+FACTURACIÓN!E57+FACTURACIÓN!F57+FACTURACIÓN!G57+FACTURACIÓN!H57+FACTURACIÓN!I57-'C&amp;A'!I57</f>
        <v>6262.8</v>
      </c>
      <c r="D61" s="113">
        <v>0</v>
      </c>
      <c r="E61" s="18">
        <f>SUM(C61:D61)</f>
        <v>6262.8</v>
      </c>
      <c r="F61" s="18" t="e">
        <f>+FACTURACIÓN!#REF!</f>
        <v>#REF!</v>
      </c>
      <c r="G61" s="18">
        <f>+FACTURACIÓN!K57</f>
        <v>0</v>
      </c>
      <c r="H61" s="18">
        <f>+FACTURACIÓN!L57</f>
        <v>45.15</v>
      </c>
      <c r="I61" s="18">
        <f>+FACTURACIÓN!M57</f>
        <v>0</v>
      </c>
      <c r="J61" s="18">
        <f>+FACTURACIÓN!N57</f>
        <v>0</v>
      </c>
      <c r="K61" s="18">
        <f>+FACTURACIÓN!O57</f>
        <v>0</v>
      </c>
      <c r="L61" s="18">
        <f>+FACTURACIÓN!P57</f>
        <v>0</v>
      </c>
      <c r="M61" s="21">
        <v>650</v>
      </c>
      <c r="N61" s="18" t="e">
        <f>SUM(F61:M61)</f>
        <v>#REF!</v>
      </c>
      <c r="O61" s="18" t="e">
        <f>+E61-N61</f>
        <v>#REF!</v>
      </c>
      <c r="P61" s="110" t="str">
        <f>IF(A61=Q61,"SI","NO")</f>
        <v>SI</v>
      </c>
      <c r="Q61" s="111" t="s">
        <v>120</v>
      </c>
      <c r="R61" s="110" t="s">
        <v>121</v>
      </c>
      <c r="S61" s="18">
        <v>5472.183</v>
      </c>
      <c r="T61" s="110" t="s">
        <v>348</v>
      </c>
    </row>
    <row r="62" spans="1:20" ht="12" thickBot="1" x14ac:dyDescent="0.25">
      <c r="A62" s="111"/>
      <c r="B62" s="110"/>
      <c r="C62" s="113"/>
      <c r="D62" s="113"/>
      <c r="E62" s="18"/>
      <c r="F62" s="18"/>
      <c r="G62" s="18"/>
      <c r="H62" s="18"/>
      <c r="I62" s="18"/>
      <c r="J62" s="18"/>
      <c r="K62" s="18"/>
      <c r="L62" s="18"/>
      <c r="M62" s="21"/>
      <c r="N62" s="18"/>
      <c r="O62" s="122" t="e">
        <f>SUM(O61)</f>
        <v>#REF!</v>
      </c>
      <c r="Q62" s="111"/>
      <c r="S62" s="18"/>
    </row>
    <row r="63" spans="1:20" ht="12" thickTop="1" x14ac:dyDescent="0.2">
      <c r="A63" s="111"/>
      <c r="B63" s="110"/>
      <c r="C63" s="113"/>
      <c r="D63" s="113"/>
      <c r="E63" s="18"/>
      <c r="F63" s="18"/>
      <c r="G63" s="18"/>
      <c r="H63" s="18"/>
      <c r="I63" s="18"/>
      <c r="J63" s="18"/>
      <c r="K63" s="18"/>
      <c r="L63" s="18"/>
      <c r="M63" s="21"/>
      <c r="N63" s="18"/>
      <c r="O63" s="18"/>
      <c r="Q63" s="111"/>
      <c r="S63" s="18"/>
    </row>
    <row r="64" spans="1:20" x14ac:dyDescent="0.2">
      <c r="A64" s="111" t="s">
        <v>53</v>
      </c>
      <c r="B64" s="110" t="s">
        <v>54</v>
      </c>
      <c r="C64" s="113">
        <f>+FACTURACIÓN!C23+FACTURACIÓN!D23+FACTURACIÓN!E23+FACTURACIÓN!F23+FACTURACIÓN!G23+FACTURACIÓN!H23+FACTURACIÓN!I23-'C&amp;A'!I23</f>
        <v>3262.8</v>
      </c>
      <c r="D64" s="113">
        <v>0</v>
      </c>
      <c r="E64" s="18">
        <f>SUM(C64:D64)</f>
        <v>3262.8</v>
      </c>
      <c r="F64" s="18" t="e">
        <f>+FACTURACIÓN!#REF!</f>
        <v>#REF!</v>
      </c>
      <c r="G64" s="18">
        <f>+FACTURACIÓN!K23</f>
        <v>0</v>
      </c>
      <c r="H64" s="18">
        <f>+FACTURACIÓN!L23</f>
        <v>45.15</v>
      </c>
      <c r="I64" s="18">
        <f>+FACTURACIÓN!M23</f>
        <v>0</v>
      </c>
      <c r="J64" s="18">
        <f>+FACTURACIÓN!N23</f>
        <v>0</v>
      </c>
      <c r="K64" s="18">
        <f>+FACTURACIÓN!O23</f>
        <v>0</v>
      </c>
      <c r="L64" s="18">
        <f>+FACTURACIÓN!P23</f>
        <v>0</v>
      </c>
      <c r="M64" s="21">
        <v>0</v>
      </c>
      <c r="N64" s="18" t="e">
        <f>SUM(F64:M64)</f>
        <v>#REF!</v>
      </c>
      <c r="O64" s="18" t="e">
        <f>+E64-N64</f>
        <v>#REF!</v>
      </c>
      <c r="P64" s="110" t="str">
        <f>IF(A64=Q64,"SI","NO")</f>
        <v>SI</v>
      </c>
      <c r="Q64" s="111" t="s">
        <v>53</v>
      </c>
      <c r="R64" s="110" t="s">
        <v>54</v>
      </c>
      <c r="S64" s="18">
        <v>3703.3100000000004</v>
      </c>
      <c r="T64" s="110" t="s">
        <v>347</v>
      </c>
    </row>
    <row r="65" spans="1:20" ht="12" thickBot="1" x14ac:dyDescent="0.25">
      <c r="A65" s="111"/>
      <c r="B65" s="110"/>
      <c r="C65" s="113"/>
      <c r="D65" s="113"/>
      <c r="E65" s="18"/>
      <c r="F65" s="18"/>
      <c r="G65" s="18"/>
      <c r="H65" s="18"/>
      <c r="I65" s="18"/>
      <c r="J65" s="18"/>
      <c r="K65" s="18"/>
      <c r="L65" s="18"/>
      <c r="M65" s="21"/>
      <c r="N65" s="18"/>
      <c r="O65" s="122" t="e">
        <f>SUM(O64)</f>
        <v>#REF!</v>
      </c>
      <c r="Q65" s="111"/>
      <c r="S65" s="18"/>
    </row>
    <row r="66" spans="1:20" ht="12" thickTop="1" x14ac:dyDescent="0.2">
      <c r="A66" s="111"/>
      <c r="B66" s="110"/>
      <c r="C66" s="113"/>
      <c r="D66" s="113"/>
      <c r="E66" s="18"/>
      <c r="F66" s="18"/>
      <c r="G66" s="18"/>
      <c r="H66" s="18"/>
      <c r="I66" s="18"/>
      <c r="J66" s="18"/>
      <c r="K66" s="18"/>
      <c r="L66" s="18"/>
      <c r="M66" s="21"/>
      <c r="N66" s="18"/>
      <c r="O66" s="18"/>
      <c r="Q66" s="111"/>
      <c r="S66" s="18"/>
    </row>
    <row r="67" spans="1:20" x14ac:dyDescent="0.2">
      <c r="A67" s="111" t="s">
        <v>137</v>
      </c>
      <c r="B67" s="110" t="s">
        <v>153</v>
      </c>
      <c r="C67" s="113">
        <f>+FACTURACIÓN!C16+FACTURACIÓN!D16+FACTURACIÓN!E16+FACTURACIÓN!F16+FACTURACIÓN!G16+FACTURACIÓN!H16+FACTURACIÓN!I16-'C&amp;A'!I16</f>
        <v>1908.173897131358</v>
      </c>
      <c r="D67" s="113">
        <v>0</v>
      </c>
      <c r="E67" s="18">
        <f>SUM(C67:D67)</f>
        <v>1908.173897131358</v>
      </c>
      <c r="F67" s="18" t="e">
        <f>+FACTURACIÓN!#REF!</f>
        <v>#REF!</v>
      </c>
      <c r="G67" s="18">
        <f>+FACTURACIÓN!K16</f>
        <v>0</v>
      </c>
      <c r="H67" s="18">
        <f>+FACTURACIÓN!L16</f>
        <v>45.15</v>
      </c>
      <c r="I67" s="18">
        <f>+FACTURACIÓN!M16</f>
        <v>0</v>
      </c>
      <c r="J67" s="18">
        <f>+FACTURACIÓN!N16</f>
        <v>0</v>
      </c>
      <c r="K67" s="18">
        <f>+FACTURACIÓN!O16</f>
        <v>0</v>
      </c>
      <c r="L67" s="18">
        <f>+FACTURACIÓN!P16</f>
        <v>0</v>
      </c>
      <c r="M67" s="21">
        <v>0</v>
      </c>
      <c r="N67" s="18" t="e">
        <f>SUM(F67:M67)</f>
        <v>#REF!</v>
      </c>
      <c r="O67" s="18" t="e">
        <f>+E67-N67</f>
        <v>#REF!</v>
      </c>
      <c r="P67" s="110" t="str">
        <f>IF(A67=Q67,"SI","NO")</f>
        <v>SI</v>
      </c>
      <c r="Q67" s="111" t="s">
        <v>137</v>
      </c>
      <c r="R67" s="110" t="s">
        <v>153</v>
      </c>
      <c r="S67" s="18">
        <v>1908.18</v>
      </c>
      <c r="T67" s="110" t="s">
        <v>349</v>
      </c>
    </row>
    <row r="68" spans="1:20" x14ac:dyDescent="0.2">
      <c r="A68" s="111" t="s">
        <v>43</v>
      </c>
      <c r="B68" s="110" t="s">
        <v>44</v>
      </c>
      <c r="C68" s="113" t="e">
        <f>+FACTURACIÓN!C68+FACTURACIÓN!D68+FACTURACIÓN!E68+FACTURACIÓN!F68+FACTURACIÓN!G68+FACTURACIÓN!H68+FACTURACIÓN!I68-'C&amp;A'!#REF!</f>
        <v>#REF!</v>
      </c>
      <c r="D68" s="113">
        <v>0</v>
      </c>
      <c r="E68" s="18" t="e">
        <f>SUM(C68:D68)</f>
        <v>#REF!</v>
      </c>
      <c r="F68" s="18" t="e">
        <f>+FACTURACIÓN!#REF!</f>
        <v>#REF!</v>
      </c>
      <c r="G68" s="18">
        <f>+FACTURACIÓN!K68</f>
        <v>0</v>
      </c>
      <c r="H68" s="18" t="e">
        <f>+FACTURACIÓN!L68</f>
        <v>#REF!</v>
      </c>
      <c r="I68" s="18" t="e">
        <f>+FACTURACIÓN!M68</f>
        <v>#REF!</v>
      </c>
      <c r="J68" s="18" t="e">
        <f>+FACTURACIÓN!N68</f>
        <v>#REF!</v>
      </c>
      <c r="K68" s="18">
        <f>+FACTURACIÓN!O68</f>
        <v>0</v>
      </c>
      <c r="L68" s="18" t="e">
        <f>+FACTURACIÓN!P68</f>
        <v>#REF!</v>
      </c>
      <c r="M68" s="21">
        <v>0</v>
      </c>
      <c r="N68" s="18" t="e">
        <f>SUM(F68:M68)</f>
        <v>#REF!</v>
      </c>
      <c r="O68" s="18" t="e">
        <f>+E68-N68</f>
        <v>#REF!</v>
      </c>
      <c r="P68" s="110" t="str">
        <f>IF(A68=Q68,"SI","NO")</f>
        <v>SI</v>
      </c>
      <c r="Q68" s="111" t="s">
        <v>43</v>
      </c>
      <c r="R68" s="110" t="s">
        <v>44</v>
      </c>
      <c r="S68" s="18">
        <v>3181.2700000000004</v>
      </c>
      <c r="T68" s="110" t="s">
        <v>349</v>
      </c>
    </row>
    <row r="69" spans="1:20" x14ac:dyDescent="0.2">
      <c r="A69" s="111" t="s">
        <v>154</v>
      </c>
      <c r="B69" s="110" t="s">
        <v>155</v>
      </c>
      <c r="C69" s="113">
        <f>+FACTURACIÓN!C42+FACTURACIÓN!D42+FACTURACIÓN!E42+FACTURACIÓN!F42+FACTURACIÓN!G42+FACTURACIÓN!H42+FACTURACIÓN!I42-'C&amp;A'!I42</f>
        <v>17926.079999999998</v>
      </c>
      <c r="D69" s="113">
        <v>0</v>
      </c>
      <c r="E69" s="18">
        <f>SUM(C69:D69)</f>
        <v>17926.079999999998</v>
      </c>
      <c r="F69" s="18" t="e">
        <f>+FACTURACIÓN!#REF!</f>
        <v>#REF!</v>
      </c>
      <c r="G69" s="18">
        <f>+FACTURACIÓN!K42</f>
        <v>0</v>
      </c>
      <c r="H69" s="18">
        <f>+FACTURACIÓN!L42</f>
        <v>45.15</v>
      </c>
      <c r="I69" s="18">
        <f>+FACTURACIÓN!M42</f>
        <v>0</v>
      </c>
      <c r="J69" s="18">
        <f>+FACTURACIÓN!N42</f>
        <v>0</v>
      </c>
      <c r="K69" s="18">
        <f>+FACTURACIÓN!O42</f>
        <v>0</v>
      </c>
      <c r="L69" s="18">
        <f>+FACTURACIÓN!P42</f>
        <v>0</v>
      </c>
      <c r="M69" s="21">
        <v>0</v>
      </c>
      <c r="N69" s="18" t="e">
        <f>SUM(F69:M69)</f>
        <v>#REF!</v>
      </c>
      <c r="O69" s="18" t="e">
        <f>+E69-N69</f>
        <v>#REF!</v>
      </c>
      <c r="P69" s="110" t="str">
        <f>IF(A69=Q69,"SI","NO")</f>
        <v>SI</v>
      </c>
      <c r="Q69" s="111" t="s">
        <v>154</v>
      </c>
      <c r="R69" s="110" t="s">
        <v>155</v>
      </c>
      <c r="S69" s="18">
        <v>17291.090999999997</v>
      </c>
      <c r="T69" s="110" t="s">
        <v>349</v>
      </c>
    </row>
    <row r="70" spans="1:20" x14ac:dyDescent="0.2">
      <c r="A70" s="111" t="s">
        <v>102</v>
      </c>
      <c r="B70" s="110" t="s">
        <v>103</v>
      </c>
      <c r="C70" s="113">
        <f>+FACTURACIÓN!C47+FACTURACIÓN!D47+FACTURACIÓN!E47+FACTURACIÓN!F47+FACTURACIÓN!G47+FACTURACIÓN!H47+FACTURACIÓN!I47-'C&amp;A'!I47</f>
        <v>1908.173897131358</v>
      </c>
      <c r="D70" s="113">
        <v>0</v>
      </c>
      <c r="E70" s="18">
        <f>SUM(C70:D70)</f>
        <v>1908.173897131358</v>
      </c>
      <c r="F70" s="18" t="e">
        <f>+FACTURACIÓN!#REF!</f>
        <v>#REF!</v>
      </c>
      <c r="G70" s="18">
        <f>+FACTURACIÓN!K47</f>
        <v>0</v>
      </c>
      <c r="H70" s="18">
        <f>+FACTURACIÓN!L47</f>
        <v>45.15</v>
      </c>
      <c r="I70" s="18">
        <f>+FACTURACIÓN!M47</f>
        <v>0</v>
      </c>
      <c r="J70" s="18">
        <f>+FACTURACIÓN!N47</f>
        <v>0</v>
      </c>
      <c r="K70" s="18">
        <f>+FACTURACIÓN!O47</f>
        <v>0</v>
      </c>
      <c r="L70" s="18">
        <f>+FACTURACIÓN!P47</f>
        <v>0</v>
      </c>
      <c r="M70" s="21">
        <v>0</v>
      </c>
      <c r="N70" s="18" t="e">
        <f>SUM(F70:M70)</f>
        <v>#REF!</v>
      </c>
      <c r="O70" s="18" t="e">
        <f>+E70-N70</f>
        <v>#REF!</v>
      </c>
      <c r="P70" s="110" t="str">
        <f>IF(A70=Q70,"SI","NO")</f>
        <v>SI</v>
      </c>
      <c r="Q70" s="111" t="s">
        <v>102</v>
      </c>
      <c r="R70" s="110" t="s">
        <v>103</v>
      </c>
      <c r="S70" s="18">
        <v>1908.18</v>
      </c>
      <c r="T70" s="110" t="s">
        <v>349</v>
      </c>
    </row>
    <row r="71" spans="1:20" ht="12" thickBot="1" x14ac:dyDescent="0.25">
      <c r="A71" s="45"/>
      <c r="B71" s="110"/>
      <c r="C71" s="44"/>
      <c r="D71" s="44"/>
      <c r="E71" s="44"/>
      <c r="F71" s="44"/>
      <c r="G71" s="44"/>
      <c r="K71" s="11"/>
      <c r="L71" s="11"/>
      <c r="M71" s="11"/>
      <c r="N71" s="113"/>
      <c r="O71" s="123" t="e">
        <f>SUM(O67:O70)</f>
        <v>#REF!</v>
      </c>
    </row>
    <row r="72" spans="1:20" ht="12" thickTop="1" x14ac:dyDescent="0.2">
      <c r="B72" s="110"/>
      <c r="C72" s="110"/>
      <c r="D72" s="110"/>
      <c r="E72" s="110"/>
      <c r="F72" s="110"/>
      <c r="G72" s="110"/>
      <c r="H72" s="110"/>
      <c r="I72" s="110"/>
      <c r="K72" s="11"/>
      <c r="L72" s="11"/>
      <c r="M72" s="11"/>
      <c r="N72" s="11"/>
      <c r="O72" s="11"/>
    </row>
    <row r="73" spans="1:20" x14ac:dyDescent="0.2">
      <c r="A73" s="42"/>
      <c r="B73" s="120" t="s">
        <v>350</v>
      </c>
      <c r="I73" s="18" t="e">
        <f>+I58</f>
        <v>#REF!</v>
      </c>
      <c r="J73" s="39"/>
      <c r="K73" s="39"/>
      <c r="L73" s="39"/>
      <c r="M73" s="39"/>
      <c r="N73" s="39"/>
      <c r="O73" s="124" t="e">
        <f>+O59</f>
        <v>#REF!</v>
      </c>
    </row>
    <row r="74" spans="1:20" x14ac:dyDescent="0.2">
      <c r="A74" s="45"/>
      <c r="B74" s="120" t="s">
        <v>348</v>
      </c>
      <c r="I74" s="11">
        <f>+I61</f>
        <v>0</v>
      </c>
      <c r="J74" s="44"/>
      <c r="K74" s="44"/>
      <c r="L74" s="44"/>
      <c r="M74" s="44"/>
      <c r="N74" s="44"/>
      <c r="O74" s="44" t="e">
        <f>+O62</f>
        <v>#REF!</v>
      </c>
    </row>
    <row r="75" spans="1:20" s="39" customFormat="1" x14ac:dyDescent="0.2">
      <c r="A75" s="11"/>
      <c r="B75" s="120" t="s">
        <v>351</v>
      </c>
      <c r="C75" s="11"/>
      <c r="D75" s="11"/>
      <c r="E75" s="11"/>
      <c r="F75" s="11"/>
      <c r="G75" s="11"/>
      <c r="H75" s="11"/>
      <c r="I75" s="18">
        <f>+I64</f>
        <v>0</v>
      </c>
      <c r="J75" s="11"/>
      <c r="K75" s="11"/>
      <c r="L75" s="11"/>
      <c r="M75" s="11"/>
      <c r="N75" s="11"/>
      <c r="O75" s="18" t="e">
        <f>+O65</f>
        <v>#REF!</v>
      </c>
    </row>
    <row r="76" spans="1:20" s="1" customFormat="1" ht="15" x14ac:dyDescent="0.25">
      <c r="A76" s="54"/>
      <c r="B76" s="121" t="s">
        <v>349</v>
      </c>
      <c r="C76" s="11"/>
      <c r="D76" s="11"/>
      <c r="E76" s="11"/>
      <c r="F76" s="11"/>
      <c r="G76" s="11"/>
      <c r="H76" s="11"/>
      <c r="I76" s="18">
        <f>+I70</f>
        <v>0</v>
      </c>
      <c r="J76" s="110"/>
      <c r="K76" s="110"/>
      <c r="L76" s="110"/>
      <c r="M76" s="110"/>
      <c r="N76" s="110"/>
      <c r="O76" s="113" t="e">
        <f>+O71</f>
        <v>#REF!</v>
      </c>
    </row>
    <row r="77" spans="1:20" ht="12" thickBot="1" x14ac:dyDescent="0.25">
      <c r="A77" s="111"/>
      <c r="I77" s="122" t="e">
        <f>SUM(I73:I76)</f>
        <v>#REF!</v>
      </c>
      <c r="J77" s="43"/>
      <c r="K77" s="43"/>
      <c r="L77" s="43"/>
      <c r="M77" s="43"/>
      <c r="N77" s="43"/>
      <c r="O77" s="123" t="e">
        <f>SUM(O73:O76)</f>
        <v>#REF!</v>
      </c>
    </row>
    <row r="78" spans="1:20" ht="12" thickTop="1" x14ac:dyDescent="0.2">
      <c r="K78" s="11"/>
      <c r="L78" s="11"/>
      <c r="M78" s="11"/>
      <c r="N78" s="11"/>
      <c r="O78" s="11"/>
    </row>
    <row r="79" spans="1:20" x14ac:dyDescent="0.2">
      <c r="K79" s="11"/>
      <c r="L79" s="11"/>
      <c r="M79" s="11"/>
      <c r="N79" s="11"/>
      <c r="O79" s="11"/>
    </row>
    <row r="80" spans="1:20" x14ac:dyDescent="0.2">
      <c r="K80" s="11"/>
      <c r="L80" s="11"/>
      <c r="M80" s="11"/>
    </row>
    <row r="81" spans="11:14" x14ac:dyDescent="0.2">
      <c r="K81" s="11"/>
      <c r="L81" s="11"/>
    </row>
    <row r="82" spans="11:14" x14ac:dyDescent="0.2">
      <c r="K82" s="11"/>
      <c r="L82" s="11"/>
    </row>
    <row r="84" spans="11:14" x14ac:dyDescent="0.2">
      <c r="L84" s="39"/>
      <c r="M84" s="39"/>
      <c r="N84" s="39"/>
    </row>
    <row r="85" spans="11:14" ht="14.25" x14ac:dyDescent="0.2">
      <c r="L85" s="1"/>
      <c r="M85" s="1"/>
      <c r="N85" s="1"/>
    </row>
  </sheetData>
  <sortState ref="A10:T64">
    <sortCondition ref="T10:T64"/>
  </sortState>
  <mergeCells count="1">
    <mergeCell ref="B1:C1"/>
  </mergeCells>
  <pageMargins left="0.43307086614173229" right="0.70866141732283472" top="0.32" bottom="0.3" header="0.2" footer="0.2"/>
  <pageSetup scale="81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9"/>
  <sheetViews>
    <sheetView topLeftCell="A70" workbookViewId="0">
      <selection activeCell="D89" sqref="D89"/>
    </sheetView>
  </sheetViews>
  <sheetFormatPr baseColWidth="10" defaultRowHeight="15.75" x14ac:dyDescent="0.25"/>
  <cols>
    <col min="1" max="1" width="28.7109375" style="96" customWidth="1"/>
    <col min="2" max="2" width="9" style="96" bestFit="1" customWidth="1"/>
    <col min="3" max="3" width="39.140625" style="96" customWidth="1"/>
    <col min="4" max="4" width="11.5703125" style="96" bestFit="1" customWidth="1"/>
    <col min="5" max="5" width="20.140625" style="96" bestFit="1" customWidth="1"/>
    <col min="6" max="6" width="31.5703125" style="96" customWidth="1"/>
    <col min="7" max="7" width="13" style="96" customWidth="1"/>
    <col min="8" max="8" width="11.7109375" style="96" customWidth="1"/>
    <col min="9" max="9" width="17.140625" style="96" customWidth="1"/>
    <col min="10" max="10" width="11.7109375" style="96" customWidth="1"/>
    <col min="11" max="12" width="13.85546875" style="70" customWidth="1"/>
    <col min="13" max="15" width="13.5703125" style="70" customWidth="1"/>
    <col min="16" max="16" width="17" style="71" customWidth="1"/>
    <col min="17" max="22" width="13.5703125" style="70" customWidth="1"/>
    <col min="23" max="23" width="16.7109375" style="71" customWidth="1"/>
    <col min="24" max="24" width="16.7109375" style="70" customWidth="1"/>
    <col min="25" max="25" width="15.42578125" style="71" customWidth="1"/>
    <col min="26" max="27" width="13.5703125" style="70" customWidth="1"/>
    <col min="28" max="28" width="15.42578125" style="71" customWidth="1"/>
    <col min="29" max="30" width="15.140625" style="96" customWidth="1"/>
    <col min="31" max="32" width="15.140625" style="149" customWidth="1"/>
    <col min="33" max="33" width="15.140625" style="96" customWidth="1"/>
    <col min="34" max="34" width="33.28515625" style="96" bestFit="1" customWidth="1"/>
    <col min="35" max="35" width="38" style="96" bestFit="1" customWidth="1"/>
    <col min="36" max="45" width="11.42578125" style="96"/>
  </cols>
  <sheetData>
    <row r="1" spans="1:45" x14ac:dyDescent="0.25">
      <c r="A1" s="59" t="s">
        <v>167</v>
      </c>
      <c r="B1" s="59"/>
      <c r="C1" s="59"/>
      <c r="D1" s="59"/>
      <c r="E1" s="59"/>
      <c r="F1" s="60"/>
      <c r="G1" s="60"/>
      <c r="H1" s="60"/>
      <c r="I1" s="60"/>
      <c r="J1" s="60"/>
      <c r="K1" s="61"/>
      <c r="L1" s="61"/>
      <c r="M1" s="61"/>
      <c r="N1" s="61"/>
      <c r="O1" s="61"/>
      <c r="P1" s="62"/>
      <c r="Q1" s="61"/>
      <c r="R1" s="61"/>
      <c r="S1" s="61"/>
      <c r="T1" s="61"/>
      <c r="U1" s="61"/>
      <c r="V1" s="61"/>
      <c r="W1" s="62"/>
      <c r="X1" s="61"/>
      <c r="Y1" s="62"/>
      <c r="Z1" s="61"/>
      <c r="AA1" s="61"/>
      <c r="AB1" s="62"/>
      <c r="AC1" s="63"/>
      <c r="AD1" s="64"/>
      <c r="AE1" s="148"/>
      <c r="AF1" s="148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</row>
    <row r="2" spans="1:45" x14ac:dyDescent="0.25">
      <c r="A2" s="65" t="s">
        <v>168</v>
      </c>
      <c r="B2" s="65"/>
      <c r="C2" s="65"/>
      <c r="D2" s="65"/>
      <c r="E2" s="65"/>
      <c r="F2" s="66"/>
      <c r="G2" s="66"/>
      <c r="H2" s="66"/>
      <c r="I2" s="66"/>
      <c r="J2" s="66"/>
      <c r="K2" s="61"/>
      <c r="L2" s="61"/>
      <c r="M2" s="61"/>
      <c r="N2" s="61"/>
      <c r="O2" s="61"/>
      <c r="P2" s="62"/>
      <c r="Q2" s="61"/>
      <c r="R2" s="61"/>
      <c r="S2" s="61"/>
      <c r="T2" s="61"/>
      <c r="U2" s="61"/>
      <c r="V2" s="61"/>
      <c r="W2" s="62"/>
      <c r="X2" s="61"/>
      <c r="Y2" s="62"/>
      <c r="Z2" s="61"/>
      <c r="AA2" s="61"/>
      <c r="AB2" s="62"/>
      <c r="AC2" s="63"/>
      <c r="AD2" s="64"/>
      <c r="AE2" s="148"/>
      <c r="AF2" s="148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</row>
    <row r="3" spans="1:45" x14ac:dyDescent="0.25">
      <c r="A3" s="67" t="s">
        <v>355</v>
      </c>
      <c r="B3" s="67" t="s">
        <v>356</v>
      </c>
      <c r="C3" s="67"/>
      <c r="D3" s="67"/>
      <c r="E3" s="67"/>
      <c r="F3" s="68"/>
      <c r="G3" s="68"/>
      <c r="H3" s="68"/>
      <c r="I3" s="68"/>
      <c r="J3" s="68"/>
      <c r="K3" s="61"/>
      <c r="L3" s="61"/>
      <c r="M3" s="61"/>
      <c r="N3" s="61"/>
      <c r="O3" s="61"/>
      <c r="P3" s="62"/>
      <c r="Q3" s="61"/>
      <c r="R3" s="61"/>
      <c r="S3" s="61"/>
      <c r="T3" s="61"/>
      <c r="U3" s="61"/>
      <c r="V3" s="61"/>
      <c r="W3" s="62"/>
      <c r="X3" s="61"/>
      <c r="Y3" s="62"/>
      <c r="Z3" s="61"/>
      <c r="AA3" s="61"/>
      <c r="AB3" s="62"/>
      <c r="AC3" s="63"/>
      <c r="AD3" s="64"/>
      <c r="AE3" s="148"/>
      <c r="AF3" s="148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</row>
    <row r="4" spans="1:45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AC4" s="69"/>
      <c r="AD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</row>
    <row r="5" spans="1:45" x14ac:dyDescent="0.25">
      <c r="A5" s="136" t="s">
        <v>169</v>
      </c>
      <c r="B5" s="137" t="s">
        <v>170</v>
      </c>
      <c r="C5" s="136" t="s">
        <v>171</v>
      </c>
      <c r="D5" s="136" t="s">
        <v>172</v>
      </c>
      <c r="E5" s="137" t="s">
        <v>173</v>
      </c>
      <c r="F5" s="136" t="s">
        <v>174</v>
      </c>
      <c r="G5" s="133" t="s">
        <v>175</v>
      </c>
      <c r="H5" s="133" t="s">
        <v>176</v>
      </c>
      <c r="I5" s="134" t="s">
        <v>177</v>
      </c>
      <c r="J5" s="134" t="s">
        <v>178</v>
      </c>
      <c r="K5" s="133" t="s">
        <v>179</v>
      </c>
      <c r="L5" s="134" t="s">
        <v>22</v>
      </c>
      <c r="M5" s="133" t="s">
        <v>180</v>
      </c>
      <c r="N5" s="133" t="s">
        <v>181</v>
      </c>
      <c r="O5" s="133" t="s">
        <v>182</v>
      </c>
      <c r="P5" s="133" t="s">
        <v>183</v>
      </c>
      <c r="Q5" s="133" t="s">
        <v>184</v>
      </c>
      <c r="R5" s="126"/>
      <c r="S5" s="133" t="s">
        <v>185</v>
      </c>
      <c r="T5" s="133" t="s">
        <v>186</v>
      </c>
      <c r="U5" s="133" t="s">
        <v>187</v>
      </c>
      <c r="V5" s="133" t="s">
        <v>188</v>
      </c>
      <c r="W5" s="133" t="s">
        <v>189</v>
      </c>
      <c r="X5" s="133" t="s">
        <v>190</v>
      </c>
      <c r="Y5" s="133" t="s">
        <v>191</v>
      </c>
      <c r="Z5" s="133" t="s">
        <v>192</v>
      </c>
      <c r="AA5" s="133" t="s">
        <v>193</v>
      </c>
      <c r="AB5" s="133" t="s">
        <v>194</v>
      </c>
      <c r="AC5" s="133" t="s">
        <v>195</v>
      </c>
      <c r="AD5" s="133" t="s">
        <v>196</v>
      </c>
      <c r="AE5" s="150" t="s">
        <v>197</v>
      </c>
      <c r="AF5" s="151"/>
      <c r="AG5" s="133" t="s">
        <v>196</v>
      </c>
      <c r="AH5" s="133" t="s">
        <v>198</v>
      </c>
      <c r="AI5" s="133" t="s">
        <v>199</v>
      </c>
      <c r="AJ5" s="72"/>
      <c r="AK5" s="72"/>
      <c r="AL5" s="72"/>
      <c r="AM5" s="72"/>
      <c r="AN5" s="72"/>
      <c r="AO5" s="72"/>
      <c r="AP5" s="72"/>
      <c r="AQ5" s="72"/>
      <c r="AR5" s="72"/>
      <c r="AS5" s="72"/>
    </row>
    <row r="6" spans="1:45" ht="31.5" x14ac:dyDescent="0.25">
      <c r="A6" s="136"/>
      <c r="B6" s="138"/>
      <c r="C6" s="136"/>
      <c r="D6" s="136"/>
      <c r="E6" s="138"/>
      <c r="F6" s="136"/>
      <c r="G6" s="133"/>
      <c r="H6" s="133"/>
      <c r="I6" s="135"/>
      <c r="J6" s="135"/>
      <c r="K6" s="133"/>
      <c r="L6" s="135"/>
      <c r="M6" s="133"/>
      <c r="N6" s="133"/>
      <c r="O6" s="133"/>
      <c r="P6" s="133"/>
      <c r="Q6" s="133"/>
      <c r="R6" s="126" t="s">
        <v>357</v>
      </c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52" t="s">
        <v>177</v>
      </c>
      <c r="AF6" s="152" t="s">
        <v>178</v>
      </c>
      <c r="AG6" s="133"/>
      <c r="AH6" s="133"/>
      <c r="AI6" s="133"/>
      <c r="AJ6" s="72"/>
      <c r="AK6" s="72"/>
      <c r="AL6" s="72"/>
      <c r="AM6" s="72"/>
      <c r="AN6" s="72"/>
      <c r="AO6" s="72"/>
      <c r="AP6" s="72"/>
      <c r="AQ6" s="72"/>
      <c r="AR6" s="72"/>
      <c r="AS6" s="72"/>
    </row>
    <row r="7" spans="1:45" x14ac:dyDescent="0.25">
      <c r="A7" s="73" t="s">
        <v>200</v>
      </c>
      <c r="B7" s="73">
        <v>40</v>
      </c>
      <c r="C7" s="73" t="s">
        <v>201</v>
      </c>
      <c r="D7" s="74"/>
      <c r="E7" s="74"/>
      <c r="F7" s="73" t="s">
        <v>202</v>
      </c>
      <c r="G7" s="75"/>
      <c r="H7" s="75"/>
      <c r="I7" s="76">
        <v>1237.2399999999998</v>
      </c>
      <c r="J7" s="75">
        <v>2512.7600000000002</v>
      </c>
      <c r="K7" s="76">
        <f t="shared" ref="K7:K62" si="0">+I7+J7</f>
        <v>3750</v>
      </c>
      <c r="L7" s="76">
        <v>2253.9</v>
      </c>
      <c r="M7" s="77"/>
      <c r="N7" s="77"/>
      <c r="O7" s="78">
        <v>45.15</v>
      </c>
      <c r="P7" s="79">
        <f t="shared" ref="P7:P63" si="1">SUM(K7:N7)-O7</f>
        <v>5958.75</v>
      </c>
      <c r="Q7" s="80"/>
      <c r="R7" s="81"/>
      <c r="S7" s="81"/>
      <c r="T7" s="81"/>
      <c r="U7" s="82"/>
      <c r="V7" s="73">
        <v>957.82</v>
      </c>
      <c r="W7" s="79">
        <f t="shared" ref="W7:W63" si="2">+P7-SUM(Q7:V7)</f>
        <v>5000.93</v>
      </c>
      <c r="X7" s="83">
        <f t="shared" ref="X7:X63" si="3">IF(P7&gt;4500,P7*0.1,0)</f>
        <v>595.875</v>
      </c>
      <c r="Y7" s="79">
        <f t="shared" ref="Y7:Y63" si="4">+W7-X7</f>
        <v>4405.0550000000003</v>
      </c>
      <c r="Z7" s="84">
        <f t="shared" ref="Z7:Z63" si="5">IF(P7&lt;4500,P7*0.1,0)</f>
        <v>0</v>
      </c>
      <c r="AA7" s="83">
        <f t="shared" ref="AA7:AA63" si="6">I7*0.02</f>
        <v>24.744799999999998</v>
      </c>
      <c r="AB7" s="79">
        <f t="shared" ref="AB7:AB63" si="7">+P7+Z7+AA7</f>
        <v>5983.4948000000004</v>
      </c>
      <c r="AC7" s="153">
        <f>1000+3405.06</f>
        <v>4405.0599999999995</v>
      </c>
      <c r="AD7" s="85">
        <f>+AC7-Y7</f>
        <v>4.9999999991996447E-3</v>
      </c>
      <c r="AE7" s="153">
        <v>1256</v>
      </c>
      <c r="AF7" s="153">
        <v>3149.06</v>
      </c>
      <c r="AG7" s="85">
        <f>+AE7+AF7-AC7</f>
        <v>0</v>
      </c>
      <c r="AH7" s="86">
        <v>1183378845</v>
      </c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</row>
    <row r="8" spans="1:45" x14ac:dyDescent="0.25">
      <c r="A8" s="73" t="s">
        <v>203</v>
      </c>
      <c r="B8" s="73" t="s">
        <v>12</v>
      </c>
      <c r="C8" s="73" t="s">
        <v>204</v>
      </c>
      <c r="D8" s="74"/>
      <c r="E8" s="74"/>
      <c r="F8" s="73" t="s">
        <v>205</v>
      </c>
      <c r="G8" s="87" t="s">
        <v>206</v>
      </c>
      <c r="H8" s="87"/>
      <c r="I8" s="76">
        <v>1237.2399999999998</v>
      </c>
      <c r="J8" s="87">
        <v>1512.7600000000002</v>
      </c>
      <c r="K8" s="76">
        <f t="shared" si="0"/>
        <v>2750</v>
      </c>
      <c r="L8" s="76">
        <v>0</v>
      </c>
      <c r="M8" s="76"/>
      <c r="N8" s="76"/>
      <c r="O8" s="78">
        <v>45.15</v>
      </c>
      <c r="P8" s="79">
        <f t="shared" si="1"/>
        <v>2704.85</v>
      </c>
      <c r="Q8" s="80"/>
      <c r="R8" s="81"/>
      <c r="S8" s="81"/>
      <c r="T8" s="81"/>
      <c r="U8" s="82"/>
      <c r="V8" s="73">
        <v>0</v>
      </c>
      <c r="W8" s="79">
        <f t="shared" si="2"/>
        <v>2704.85</v>
      </c>
      <c r="X8" s="83">
        <f t="shared" si="3"/>
        <v>0</v>
      </c>
      <c r="Y8" s="79">
        <f t="shared" si="4"/>
        <v>2704.85</v>
      </c>
      <c r="Z8" s="84">
        <f t="shared" si="5"/>
        <v>270.48500000000001</v>
      </c>
      <c r="AA8" s="83">
        <f t="shared" si="6"/>
        <v>24.744799999999998</v>
      </c>
      <c r="AB8" s="79">
        <f t="shared" si="7"/>
        <v>3000.0798</v>
      </c>
      <c r="AC8" s="153"/>
      <c r="AD8" s="85">
        <f t="shared" ref="AD8:AD63" si="8">+AC8-Y8</f>
        <v>-2704.85</v>
      </c>
      <c r="AE8" s="153"/>
      <c r="AF8" s="153"/>
      <c r="AG8" s="85">
        <f t="shared" ref="AG8:AG63" si="9">+AE8+AF8-AC8</f>
        <v>0</v>
      </c>
      <c r="AH8" s="86">
        <v>2886516505</v>
      </c>
      <c r="AI8" s="72"/>
      <c r="AJ8" s="86"/>
      <c r="AK8" s="86"/>
      <c r="AL8" s="86"/>
      <c r="AM8" s="86"/>
      <c r="AN8" s="86"/>
      <c r="AO8" s="86"/>
      <c r="AP8" s="86"/>
      <c r="AQ8" s="86"/>
      <c r="AR8" s="86"/>
      <c r="AS8" s="86"/>
    </row>
    <row r="9" spans="1:45" x14ac:dyDescent="0.25">
      <c r="A9" s="73" t="s">
        <v>207</v>
      </c>
      <c r="B9" s="73" t="s">
        <v>31</v>
      </c>
      <c r="C9" s="73" t="s">
        <v>208</v>
      </c>
      <c r="D9" s="74"/>
      <c r="E9" s="74"/>
      <c r="F9" s="73" t="s">
        <v>209</v>
      </c>
      <c r="G9" s="75" t="s">
        <v>206</v>
      </c>
      <c r="H9" s="75"/>
      <c r="I9" s="76">
        <v>1237.2399999999998</v>
      </c>
      <c r="J9" s="75">
        <v>2762.76</v>
      </c>
      <c r="K9" s="76">
        <f t="shared" si="0"/>
        <v>4000</v>
      </c>
      <c r="L9" s="76">
        <v>1000</v>
      </c>
      <c r="M9" s="77"/>
      <c r="N9" s="77"/>
      <c r="O9" s="78">
        <v>45.15</v>
      </c>
      <c r="P9" s="79">
        <f t="shared" si="1"/>
        <v>4954.8500000000004</v>
      </c>
      <c r="Q9" s="80"/>
      <c r="R9" s="81"/>
      <c r="S9" s="81"/>
      <c r="T9" s="81"/>
      <c r="U9" s="82"/>
      <c r="V9" s="73">
        <v>0</v>
      </c>
      <c r="W9" s="79">
        <f t="shared" si="2"/>
        <v>4954.8500000000004</v>
      </c>
      <c r="X9" s="83">
        <f t="shared" si="3"/>
        <v>495.48500000000007</v>
      </c>
      <c r="Y9" s="79">
        <f t="shared" si="4"/>
        <v>4459.3650000000007</v>
      </c>
      <c r="Z9" s="84">
        <f t="shared" si="5"/>
        <v>0</v>
      </c>
      <c r="AA9" s="83">
        <f t="shared" si="6"/>
        <v>24.744799999999998</v>
      </c>
      <c r="AB9" s="79">
        <f t="shared" si="7"/>
        <v>4979.5948000000008</v>
      </c>
      <c r="AC9" s="153"/>
      <c r="AD9" s="85">
        <f t="shared" si="8"/>
        <v>-4459.3650000000007</v>
      </c>
      <c r="AE9" s="153"/>
      <c r="AF9" s="153"/>
      <c r="AG9" s="85">
        <f t="shared" si="9"/>
        <v>0</v>
      </c>
      <c r="AH9" s="86">
        <v>2859592156</v>
      </c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</row>
    <row r="10" spans="1:45" x14ac:dyDescent="0.25">
      <c r="A10" s="73" t="s">
        <v>210</v>
      </c>
      <c r="B10" s="73" t="s">
        <v>33</v>
      </c>
      <c r="C10" s="73" t="s">
        <v>211</v>
      </c>
      <c r="D10" s="87"/>
      <c r="E10" s="87"/>
      <c r="F10" s="73" t="s">
        <v>148</v>
      </c>
      <c r="G10" s="87"/>
      <c r="H10" s="87"/>
      <c r="I10" s="76">
        <v>1237.2399999999998</v>
      </c>
      <c r="J10" s="87">
        <v>1762.7600000000002</v>
      </c>
      <c r="K10" s="76">
        <f t="shared" si="0"/>
        <v>3000</v>
      </c>
      <c r="L10" s="76">
        <v>3671</v>
      </c>
      <c r="M10" s="76"/>
      <c r="N10" s="76"/>
      <c r="O10" s="78">
        <v>45.15</v>
      </c>
      <c r="P10" s="79">
        <f t="shared" si="1"/>
        <v>6625.85</v>
      </c>
      <c r="Q10" s="80"/>
      <c r="R10" s="81"/>
      <c r="S10" s="81"/>
      <c r="T10" s="81"/>
      <c r="U10" s="82"/>
      <c r="V10" s="73">
        <v>0</v>
      </c>
      <c r="W10" s="79">
        <f t="shared" si="2"/>
        <v>6625.85</v>
      </c>
      <c r="X10" s="83">
        <f t="shared" si="3"/>
        <v>662.58500000000004</v>
      </c>
      <c r="Y10" s="79">
        <f t="shared" si="4"/>
        <v>5963.2650000000003</v>
      </c>
      <c r="Z10" s="84">
        <f t="shared" si="5"/>
        <v>0</v>
      </c>
      <c r="AA10" s="83">
        <f t="shared" si="6"/>
        <v>24.744799999999998</v>
      </c>
      <c r="AB10" s="79">
        <f t="shared" si="7"/>
        <v>6650.5948000000008</v>
      </c>
      <c r="AC10" s="153"/>
      <c r="AD10" s="85">
        <f t="shared" si="8"/>
        <v>-5963.2650000000003</v>
      </c>
      <c r="AE10" s="153"/>
      <c r="AF10" s="153"/>
      <c r="AG10" s="85">
        <f t="shared" si="9"/>
        <v>0</v>
      </c>
      <c r="AH10" s="86">
        <v>2914894898</v>
      </c>
      <c r="AI10" s="72"/>
      <c r="AJ10" s="86"/>
      <c r="AK10" s="86"/>
      <c r="AL10" s="86"/>
      <c r="AM10" s="86"/>
      <c r="AN10" s="86"/>
      <c r="AO10" s="86"/>
      <c r="AP10" s="86"/>
      <c r="AQ10" s="86"/>
      <c r="AR10" s="86"/>
      <c r="AS10" s="86"/>
    </row>
    <row r="11" spans="1:45" x14ac:dyDescent="0.25">
      <c r="A11" s="73" t="s">
        <v>207</v>
      </c>
      <c r="B11" s="73" t="s">
        <v>35</v>
      </c>
      <c r="C11" s="73" t="s">
        <v>212</v>
      </c>
      <c r="D11" s="87"/>
      <c r="E11" s="87"/>
      <c r="F11" s="73" t="s">
        <v>134</v>
      </c>
      <c r="G11" s="75" t="s">
        <v>206</v>
      </c>
      <c r="H11" s="75"/>
      <c r="I11" s="76">
        <v>1237.2399999999998</v>
      </c>
      <c r="J11" s="75">
        <f>1562.76+394.5</f>
        <v>1957.26</v>
      </c>
      <c r="K11" s="76">
        <f t="shared" si="0"/>
        <v>3194.5</v>
      </c>
      <c r="L11" s="76"/>
      <c r="M11" s="77"/>
      <c r="N11" s="77"/>
      <c r="O11" s="78">
        <v>45.15</v>
      </c>
      <c r="P11" s="79">
        <f t="shared" si="1"/>
        <v>3149.35</v>
      </c>
      <c r="Q11" s="80"/>
      <c r="R11" s="81"/>
      <c r="S11" s="81"/>
      <c r="T11" s="81"/>
      <c r="U11" s="82"/>
      <c r="V11" s="73">
        <v>0</v>
      </c>
      <c r="W11" s="79">
        <f t="shared" si="2"/>
        <v>3149.35</v>
      </c>
      <c r="X11" s="83">
        <f t="shared" si="3"/>
        <v>0</v>
      </c>
      <c r="Y11" s="79">
        <f t="shared" si="4"/>
        <v>3149.35</v>
      </c>
      <c r="Z11" s="84">
        <f t="shared" si="5"/>
        <v>314.935</v>
      </c>
      <c r="AA11" s="83">
        <f t="shared" si="6"/>
        <v>24.744799999999998</v>
      </c>
      <c r="AB11" s="79">
        <f t="shared" si="7"/>
        <v>3489.0297999999998</v>
      </c>
      <c r="AC11" s="153"/>
      <c r="AD11" s="85">
        <f t="shared" si="8"/>
        <v>-3149.35</v>
      </c>
      <c r="AE11" s="153"/>
      <c r="AF11" s="153"/>
      <c r="AG11" s="85">
        <f t="shared" si="9"/>
        <v>0</v>
      </c>
      <c r="AH11" s="86">
        <v>1461266403</v>
      </c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</row>
    <row r="12" spans="1:45" x14ac:dyDescent="0.25">
      <c r="A12" s="73" t="s">
        <v>207</v>
      </c>
      <c r="B12" s="73">
        <v>9</v>
      </c>
      <c r="C12" s="73" t="s">
        <v>213</v>
      </c>
      <c r="D12" s="74"/>
      <c r="E12" s="74"/>
      <c r="F12" s="73" t="s">
        <v>139</v>
      </c>
      <c r="G12" s="75"/>
      <c r="H12" s="75"/>
      <c r="I12" s="76">
        <v>1237.2399999999998</v>
      </c>
      <c r="J12" s="75">
        <v>4762.76</v>
      </c>
      <c r="K12" s="76">
        <f t="shared" si="0"/>
        <v>6000</v>
      </c>
      <c r="L12" s="76">
        <v>21000</v>
      </c>
      <c r="M12" s="77"/>
      <c r="N12" s="77"/>
      <c r="O12" s="78">
        <v>45.15</v>
      </c>
      <c r="P12" s="79">
        <f t="shared" si="1"/>
        <v>26954.85</v>
      </c>
      <c r="Q12" s="80"/>
      <c r="R12" s="81"/>
      <c r="S12" s="81"/>
      <c r="T12" s="81"/>
      <c r="U12" s="73">
        <v>504.77</v>
      </c>
      <c r="V12" s="73">
        <v>0</v>
      </c>
      <c r="W12" s="79">
        <f t="shared" si="2"/>
        <v>26450.079999999998</v>
      </c>
      <c r="X12" s="83">
        <f t="shared" si="3"/>
        <v>2695.4850000000001</v>
      </c>
      <c r="Y12" s="79">
        <f t="shared" si="4"/>
        <v>23754.594999999998</v>
      </c>
      <c r="Z12" s="84">
        <f t="shared" si="5"/>
        <v>0</v>
      </c>
      <c r="AA12" s="83">
        <f t="shared" si="6"/>
        <v>24.744799999999998</v>
      </c>
      <c r="AB12" s="79">
        <f t="shared" si="7"/>
        <v>26979.594799999999</v>
      </c>
      <c r="AC12" s="153"/>
      <c r="AD12" s="85">
        <f t="shared" si="8"/>
        <v>-23754.594999999998</v>
      </c>
      <c r="AE12" s="153"/>
      <c r="AF12" s="153"/>
      <c r="AG12" s="85">
        <f t="shared" si="9"/>
        <v>0</v>
      </c>
      <c r="AH12" s="86">
        <v>1467420064</v>
      </c>
      <c r="AI12" s="72"/>
      <c r="AJ12" s="86"/>
      <c r="AK12" s="86"/>
      <c r="AL12" s="86"/>
      <c r="AM12" s="86"/>
      <c r="AN12" s="86"/>
      <c r="AO12" s="86"/>
      <c r="AP12" s="86"/>
      <c r="AQ12" s="86"/>
      <c r="AR12" s="86"/>
      <c r="AS12" s="86"/>
    </row>
    <row r="13" spans="1:45" x14ac:dyDescent="0.25">
      <c r="A13" s="154" t="s">
        <v>203</v>
      </c>
      <c r="B13" s="154" t="s">
        <v>137</v>
      </c>
      <c r="C13" s="154" t="s">
        <v>214</v>
      </c>
      <c r="D13" s="74"/>
      <c r="E13" s="74"/>
      <c r="F13" s="73" t="s">
        <v>215</v>
      </c>
      <c r="G13" s="87" t="s">
        <v>206</v>
      </c>
      <c r="H13" s="87"/>
      <c r="I13" s="76">
        <v>1237.2399999999998</v>
      </c>
      <c r="J13" s="87">
        <v>1762.76</v>
      </c>
      <c r="K13" s="76">
        <f t="shared" si="0"/>
        <v>3000</v>
      </c>
      <c r="L13" s="76"/>
      <c r="M13" s="76"/>
      <c r="N13" s="76"/>
      <c r="O13" s="78">
        <v>45.15</v>
      </c>
      <c r="P13" s="79">
        <f t="shared" si="1"/>
        <v>2954.85</v>
      </c>
      <c r="Q13" s="80"/>
      <c r="R13" s="81"/>
      <c r="S13" s="81"/>
      <c r="T13" s="81"/>
      <c r="U13" s="82"/>
      <c r="V13" s="73">
        <v>0</v>
      </c>
      <c r="W13" s="79">
        <f t="shared" si="2"/>
        <v>2954.85</v>
      </c>
      <c r="X13" s="83">
        <f t="shared" si="3"/>
        <v>0</v>
      </c>
      <c r="Y13" s="79">
        <f t="shared" si="4"/>
        <v>2954.85</v>
      </c>
      <c r="Z13" s="84">
        <f t="shared" si="5"/>
        <v>295.48500000000001</v>
      </c>
      <c r="AA13" s="83">
        <f t="shared" si="6"/>
        <v>24.744799999999998</v>
      </c>
      <c r="AB13" s="79">
        <f t="shared" si="7"/>
        <v>3275.0798</v>
      </c>
      <c r="AC13" s="153"/>
      <c r="AD13" s="85">
        <f t="shared" si="8"/>
        <v>-2954.85</v>
      </c>
      <c r="AE13" s="153"/>
      <c r="AF13" s="153"/>
      <c r="AG13" s="85">
        <f t="shared" si="9"/>
        <v>0</v>
      </c>
      <c r="AH13" s="86">
        <v>2966659578</v>
      </c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</row>
    <row r="14" spans="1:45" x14ac:dyDescent="0.25">
      <c r="A14" s="73" t="s">
        <v>210</v>
      </c>
      <c r="B14" s="73">
        <v>2</v>
      </c>
      <c r="C14" s="73" t="s">
        <v>216</v>
      </c>
      <c r="D14" s="87"/>
      <c r="E14" s="87"/>
      <c r="F14" s="73" t="s">
        <v>135</v>
      </c>
      <c r="G14" s="75" t="s">
        <v>206</v>
      </c>
      <c r="H14" s="75"/>
      <c r="I14" s="76">
        <v>1237.2399999999998</v>
      </c>
      <c r="J14" s="75">
        <f>562.76+730</f>
        <v>1292.76</v>
      </c>
      <c r="K14" s="76">
        <f t="shared" si="0"/>
        <v>2530</v>
      </c>
      <c r="L14" s="76"/>
      <c r="M14" s="77"/>
      <c r="N14" s="77"/>
      <c r="O14" s="78">
        <v>45.15</v>
      </c>
      <c r="P14" s="79">
        <f t="shared" si="1"/>
        <v>2484.85</v>
      </c>
      <c r="Q14" s="80"/>
      <c r="R14" s="81"/>
      <c r="S14" s="81"/>
      <c r="T14" s="81"/>
      <c r="U14" s="82"/>
      <c r="V14" s="73">
        <v>316.81</v>
      </c>
      <c r="W14" s="79">
        <f t="shared" si="2"/>
        <v>2168.04</v>
      </c>
      <c r="X14" s="83">
        <f t="shared" si="3"/>
        <v>0</v>
      </c>
      <c r="Y14" s="79">
        <f t="shared" si="4"/>
        <v>2168.04</v>
      </c>
      <c r="Z14" s="84">
        <f t="shared" si="5"/>
        <v>248.48500000000001</v>
      </c>
      <c r="AA14" s="83">
        <f t="shared" si="6"/>
        <v>24.744799999999998</v>
      </c>
      <c r="AB14" s="79">
        <f t="shared" si="7"/>
        <v>2758.0798</v>
      </c>
      <c r="AC14" s="153"/>
      <c r="AD14" s="85">
        <f t="shared" si="8"/>
        <v>-2168.04</v>
      </c>
      <c r="AE14" s="153"/>
      <c r="AF14" s="153"/>
      <c r="AG14" s="85">
        <f t="shared" si="9"/>
        <v>0</v>
      </c>
      <c r="AH14" s="86">
        <v>2615562821</v>
      </c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</row>
    <row r="15" spans="1:45" x14ac:dyDescent="0.25">
      <c r="A15" s="73" t="s">
        <v>207</v>
      </c>
      <c r="B15" s="73" t="s">
        <v>41</v>
      </c>
      <c r="C15" s="73" t="s">
        <v>217</v>
      </c>
      <c r="D15" s="74"/>
      <c r="E15" s="74"/>
      <c r="F15" s="73" t="s">
        <v>209</v>
      </c>
      <c r="G15" s="87" t="s">
        <v>206</v>
      </c>
      <c r="H15" s="87"/>
      <c r="I15" s="76">
        <v>1237.2399999999998</v>
      </c>
      <c r="J15" s="87">
        <f>3762.76+500+56</f>
        <v>4318.76</v>
      </c>
      <c r="K15" s="76">
        <f>+I15+J15</f>
        <v>5556</v>
      </c>
      <c r="L15" s="76"/>
      <c r="M15" s="76"/>
      <c r="N15" s="76"/>
      <c r="O15" s="78">
        <v>45.15</v>
      </c>
      <c r="P15" s="79">
        <f t="shared" si="1"/>
        <v>5510.85</v>
      </c>
      <c r="Q15" s="80"/>
      <c r="R15" s="81"/>
      <c r="S15" s="81"/>
      <c r="T15" s="81"/>
      <c r="U15" s="82"/>
      <c r="V15" s="73">
        <v>0</v>
      </c>
      <c r="W15" s="79">
        <f t="shared" si="2"/>
        <v>5510.85</v>
      </c>
      <c r="X15" s="83">
        <f t="shared" si="3"/>
        <v>551.08500000000004</v>
      </c>
      <c r="Y15" s="79">
        <f t="shared" si="4"/>
        <v>4959.7650000000003</v>
      </c>
      <c r="Z15" s="84">
        <f t="shared" si="5"/>
        <v>0</v>
      </c>
      <c r="AA15" s="83">
        <f t="shared" si="6"/>
        <v>24.744799999999998</v>
      </c>
      <c r="AB15" s="79">
        <f t="shared" si="7"/>
        <v>5535.5948000000008</v>
      </c>
      <c r="AC15" s="153"/>
      <c r="AD15" s="85">
        <f t="shared" si="8"/>
        <v>-4959.7650000000003</v>
      </c>
      <c r="AE15" s="153"/>
      <c r="AF15" s="153"/>
      <c r="AG15" s="85">
        <f t="shared" si="9"/>
        <v>0</v>
      </c>
      <c r="AH15" s="86">
        <v>2987650868</v>
      </c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</row>
    <row r="16" spans="1:45" x14ac:dyDescent="0.25">
      <c r="A16" s="155" t="s">
        <v>218</v>
      </c>
      <c r="B16" s="155" t="s">
        <v>43</v>
      </c>
      <c r="C16" s="155" t="s">
        <v>130</v>
      </c>
      <c r="D16" s="156"/>
      <c r="E16" s="156" t="s">
        <v>358</v>
      </c>
      <c r="F16" s="155" t="s">
        <v>141</v>
      </c>
      <c r="G16" s="157"/>
      <c r="H16" s="157"/>
      <c r="I16" s="158">
        <v>0</v>
      </c>
      <c r="J16" s="157">
        <v>0</v>
      </c>
      <c r="K16" s="158">
        <f t="shared" si="0"/>
        <v>0</v>
      </c>
      <c r="L16" s="158"/>
      <c r="M16" s="158"/>
      <c r="N16" s="158"/>
      <c r="O16" s="158"/>
      <c r="P16" s="159">
        <f t="shared" si="1"/>
        <v>0</v>
      </c>
      <c r="Q16" s="158"/>
      <c r="R16" s="160"/>
      <c r="S16" s="160"/>
      <c r="T16" s="160"/>
      <c r="U16" s="161"/>
      <c r="V16" s="155"/>
      <c r="W16" s="159">
        <f>+P16-SUM(Q16:V16)</f>
        <v>0</v>
      </c>
      <c r="X16" s="160">
        <f>IF(P16&gt;4500,P16*0.1,0)</f>
        <v>0</v>
      </c>
      <c r="Y16" s="159">
        <f>+W16-X16</f>
        <v>0</v>
      </c>
      <c r="Z16" s="160">
        <f t="shared" si="5"/>
        <v>0</v>
      </c>
      <c r="AA16" s="160">
        <f t="shared" si="6"/>
        <v>0</v>
      </c>
      <c r="AB16" s="159">
        <f t="shared" si="7"/>
        <v>0</v>
      </c>
      <c r="AC16" s="162"/>
      <c r="AD16" s="163">
        <f t="shared" si="8"/>
        <v>0</v>
      </c>
      <c r="AE16" s="162"/>
      <c r="AF16" s="162"/>
      <c r="AG16" s="163">
        <f t="shared" si="9"/>
        <v>0</v>
      </c>
      <c r="AH16" s="164">
        <v>2985423643</v>
      </c>
      <c r="AI16" s="164"/>
      <c r="AJ16" s="86"/>
      <c r="AK16" s="86"/>
      <c r="AL16" s="86"/>
      <c r="AM16" s="86"/>
      <c r="AN16" s="86"/>
      <c r="AO16" s="86"/>
      <c r="AP16" s="86"/>
      <c r="AQ16" s="86"/>
      <c r="AR16" s="86"/>
      <c r="AS16" s="86"/>
    </row>
    <row r="17" spans="1:45" x14ac:dyDescent="0.25">
      <c r="A17" s="73" t="s">
        <v>203</v>
      </c>
      <c r="B17" s="73" t="s">
        <v>45</v>
      </c>
      <c r="C17" s="73" t="s">
        <v>219</v>
      </c>
      <c r="D17" s="74"/>
      <c r="E17" s="74"/>
      <c r="F17" s="73" t="s">
        <v>132</v>
      </c>
      <c r="G17" s="87" t="s">
        <v>206</v>
      </c>
      <c r="H17" s="87"/>
      <c r="I17" s="76">
        <v>1237.2399999999998</v>
      </c>
      <c r="J17" s="87">
        <v>2762.76</v>
      </c>
      <c r="K17" s="76">
        <f t="shared" si="0"/>
        <v>4000</v>
      </c>
      <c r="L17" s="76"/>
      <c r="M17" s="76"/>
      <c r="N17" s="76"/>
      <c r="O17" s="78">
        <v>45.15</v>
      </c>
      <c r="P17" s="79">
        <f t="shared" si="1"/>
        <v>3954.85</v>
      </c>
      <c r="Q17" s="80"/>
      <c r="R17" s="81"/>
      <c r="S17" s="81"/>
      <c r="T17" s="81"/>
      <c r="U17" s="82"/>
      <c r="V17" s="73">
        <v>906.77</v>
      </c>
      <c r="W17" s="79">
        <f t="shared" si="2"/>
        <v>3048.08</v>
      </c>
      <c r="X17" s="83">
        <f t="shared" si="3"/>
        <v>0</v>
      </c>
      <c r="Y17" s="79">
        <f t="shared" si="4"/>
        <v>3048.08</v>
      </c>
      <c r="Z17" s="84">
        <f t="shared" si="5"/>
        <v>395.48500000000001</v>
      </c>
      <c r="AA17" s="83">
        <f t="shared" si="6"/>
        <v>24.744799999999998</v>
      </c>
      <c r="AB17" s="79">
        <f t="shared" si="7"/>
        <v>4375.0798000000004</v>
      </c>
      <c r="AC17" s="153"/>
      <c r="AD17" s="85">
        <f t="shared" si="8"/>
        <v>-3048.08</v>
      </c>
      <c r="AE17" s="153"/>
      <c r="AF17" s="153"/>
      <c r="AG17" s="85">
        <f t="shared" si="9"/>
        <v>0</v>
      </c>
      <c r="AH17" s="86">
        <v>2893195635</v>
      </c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</row>
    <row r="18" spans="1:45" x14ac:dyDescent="0.25">
      <c r="A18" s="73" t="s">
        <v>210</v>
      </c>
      <c r="B18" s="73" t="s">
        <v>47</v>
      </c>
      <c r="C18" s="73" t="s">
        <v>220</v>
      </c>
      <c r="D18" s="87"/>
      <c r="E18" s="87"/>
      <c r="F18" s="73" t="s">
        <v>144</v>
      </c>
      <c r="G18" s="87"/>
      <c r="H18" s="87"/>
      <c r="I18" s="76">
        <v>1237.2399999999998</v>
      </c>
      <c r="J18" s="87">
        <v>512.76000000000022</v>
      </c>
      <c r="K18" s="76">
        <f t="shared" si="0"/>
        <v>1750</v>
      </c>
      <c r="L18" s="76">
        <f>2331.85+2500</f>
        <v>4831.8500000000004</v>
      </c>
      <c r="M18" s="76"/>
      <c r="N18" s="76"/>
      <c r="O18" s="78">
        <v>45.15</v>
      </c>
      <c r="P18" s="79">
        <f t="shared" si="1"/>
        <v>6536.7000000000007</v>
      </c>
      <c r="Q18" s="80"/>
      <c r="R18" s="81"/>
      <c r="S18" s="81"/>
      <c r="T18" s="81"/>
      <c r="U18" s="82"/>
      <c r="V18" s="73">
        <v>0</v>
      </c>
      <c r="W18" s="79">
        <f t="shared" si="2"/>
        <v>6536.7000000000007</v>
      </c>
      <c r="X18" s="83">
        <f t="shared" si="3"/>
        <v>653.67000000000007</v>
      </c>
      <c r="Y18" s="79">
        <f t="shared" si="4"/>
        <v>5883.0300000000007</v>
      </c>
      <c r="Z18" s="84">
        <f t="shared" si="5"/>
        <v>0</v>
      </c>
      <c r="AA18" s="83">
        <f t="shared" si="6"/>
        <v>24.744799999999998</v>
      </c>
      <c r="AB18" s="79">
        <f t="shared" si="7"/>
        <v>6561.4448000000011</v>
      </c>
      <c r="AC18" s="153"/>
      <c r="AD18" s="85">
        <f t="shared" si="8"/>
        <v>-5883.0300000000007</v>
      </c>
      <c r="AE18" s="153"/>
      <c r="AF18" s="153"/>
      <c r="AG18" s="85">
        <f t="shared" si="9"/>
        <v>0</v>
      </c>
      <c r="AH18" s="86">
        <v>2765125111</v>
      </c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</row>
    <row r="19" spans="1:45" x14ac:dyDescent="0.25">
      <c r="A19" s="73" t="s">
        <v>221</v>
      </c>
      <c r="B19" s="73" t="s">
        <v>49</v>
      </c>
      <c r="C19" s="73" t="s">
        <v>222</v>
      </c>
      <c r="D19" s="74"/>
      <c r="E19" s="74"/>
      <c r="F19" s="73" t="s">
        <v>131</v>
      </c>
      <c r="G19" s="87"/>
      <c r="H19" s="87"/>
      <c r="I19" s="76">
        <v>1237.2399999999998</v>
      </c>
      <c r="J19" s="87">
        <v>2262.7600000000002</v>
      </c>
      <c r="K19" s="76">
        <f t="shared" si="0"/>
        <v>3500</v>
      </c>
      <c r="L19" s="76">
        <v>11860.84</v>
      </c>
      <c r="M19" s="76"/>
      <c r="N19" s="76"/>
      <c r="O19" s="78">
        <v>45.15</v>
      </c>
      <c r="P19" s="79">
        <f t="shared" si="1"/>
        <v>15315.69</v>
      </c>
      <c r="Q19" s="80"/>
      <c r="R19" s="81"/>
      <c r="S19" s="81"/>
      <c r="T19" s="81"/>
      <c r="U19" s="82"/>
      <c r="V19" s="73">
        <v>0</v>
      </c>
      <c r="W19" s="79">
        <f t="shared" si="2"/>
        <v>15315.69</v>
      </c>
      <c r="X19" s="83">
        <f t="shared" si="3"/>
        <v>1531.5690000000002</v>
      </c>
      <c r="Y19" s="79">
        <f t="shared" si="4"/>
        <v>13784.121000000001</v>
      </c>
      <c r="Z19" s="84">
        <f t="shared" si="5"/>
        <v>0</v>
      </c>
      <c r="AA19" s="83">
        <f t="shared" si="6"/>
        <v>24.744799999999998</v>
      </c>
      <c r="AB19" s="79">
        <f t="shared" si="7"/>
        <v>15340.434800000001</v>
      </c>
      <c r="AC19" s="153"/>
      <c r="AD19" s="85">
        <f t="shared" si="8"/>
        <v>-13784.121000000001</v>
      </c>
      <c r="AE19" s="153"/>
      <c r="AF19" s="153"/>
      <c r="AG19" s="85">
        <f t="shared" si="9"/>
        <v>0</v>
      </c>
      <c r="AH19" s="86">
        <v>2943846814</v>
      </c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</row>
    <row r="20" spans="1:45" x14ac:dyDescent="0.25">
      <c r="A20" s="73" t="s">
        <v>218</v>
      </c>
      <c r="B20" s="73">
        <v>43</v>
      </c>
      <c r="C20" s="73" t="s">
        <v>223</v>
      </c>
      <c r="D20" s="74"/>
      <c r="E20" s="74"/>
      <c r="F20" s="73" t="s">
        <v>140</v>
      </c>
      <c r="G20" s="87"/>
      <c r="H20" s="87"/>
      <c r="I20" s="76">
        <v>1237.2399999999998</v>
      </c>
      <c r="J20" s="87">
        <v>3762.76</v>
      </c>
      <c r="K20" s="76">
        <f t="shared" si="0"/>
        <v>5000</v>
      </c>
      <c r="L20" s="76">
        <v>34191.589999999997</v>
      </c>
      <c r="M20" s="76"/>
      <c r="N20" s="76"/>
      <c r="O20" s="78">
        <v>45.15</v>
      </c>
      <c r="P20" s="79">
        <f t="shared" si="1"/>
        <v>39146.439999999995</v>
      </c>
      <c r="Q20" s="80"/>
      <c r="R20" s="81">
        <v>500</v>
      </c>
      <c r="S20" s="81"/>
      <c r="T20" s="81"/>
      <c r="U20" s="82"/>
      <c r="V20" s="73">
        <v>345.44</v>
      </c>
      <c r="W20" s="79">
        <f>+P20-SUM(Q20:V20)</f>
        <v>38300.999999999993</v>
      </c>
      <c r="X20" s="83">
        <f t="shared" si="3"/>
        <v>3914.6439999999998</v>
      </c>
      <c r="Y20" s="79">
        <f t="shared" si="4"/>
        <v>34386.355999999992</v>
      </c>
      <c r="Z20" s="84">
        <f t="shared" si="5"/>
        <v>0</v>
      </c>
      <c r="AA20" s="83">
        <f t="shared" si="6"/>
        <v>24.744799999999998</v>
      </c>
      <c r="AB20" s="79">
        <f t="shared" si="7"/>
        <v>39171.184799999995</v>
      </c>
      <c r="AC20" s="153"/>
      <c r="AD20" s="85">
        <f t="shared" si="8"/>
        <v>-34386.355999999992</v>
      </c>
      <c r="AE20" s="153"/>
      <c r="AF20" s="153"/>
      <c r="AG20" s="85">
        <f t="shared" si="9"/>
        <v>0</v>
      </c>
      <c r="AH20" s="86">
        <v>2637315589</v>
      </c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</row>
    <row r="21" spans="1:45" x14ac:dyDescent="0.25">
      <c r="A21" s="73" t="s">
        <v>200</v>
      </c>
      <c r="B21" s="73" t="s">
        <v>224</v>
      </c>
      <c r="C21" s="73" t="s">
        <v>225</v>
      </c>
      <c r="D21" s="74"/>
      <c r="E21" s="74"/>
      <c r="F21" s="73" t="s">
        <v>226</v>
      </c>
      <c r="G21" s="87"/>
      <c r="H21" s="87"/>
      <c r="I21" s="76">
        <v>1237.2399999999998</v>
      </c>
      <c r="J21" s="87">
        <v>1512.7600000000002</v>
      </c>
      <c r="K21" s="76">
        <f t="shared" si="0"/>
        <v>2750</v>
      </c>
      <c r="L21" s="76">
        <v>1750</v>
      </c>
      <c r="M21" s="76"/>
      <c r="N21" s="76"/>
      <c r="O21" s="78">
        <v>45.15</v>
      </c>
      <c r="P21" s="79">
        <f t="shared" si="1"/>
        <v>4454.8500000000004</v>
      </c>
      <c r="Q21" s="80"/>
      <c r="R21" s="81"/>
      <c r="S21" s="81"/>
      <c r="T21" s="81"/>
      <c r="U21" s="82"/>
      <c r="V21" s="73">
        <v>0</v>
      </c>
      <c r="W21" s="79">
        <f t="shared" si="2"/>
        <v>4454.8500000000004</v>
      </c>
      <c r="X21" s="83">
        <f t="shared" si="3"/>
        <v>0</v>
      </c>
      <c r="Y21" s="79">
        <f t="shared" si="4"/>
        <v>4454.8500000000004</v>
      </c>
      <c r="Z21" s="84">
        <f t="shared" si="5"/>
        <v>445.48500000000007</v>
      </c>
      <c r="AA21" s="83">
        <f t="shared" si="6"/>
        <v>24.744799999999998</v>
      </c>
      <c r="AB21" s="79">
        <f t="shared" si="7"/>
        <v>4925.0798000000004</v>
      </c>
      <c r="AC21" s="153"/>
      <c r="AD21" s="85">
        <f t="shared" si="8"/>
        <v>-4454.8500000000004</v>
      </c>
      <c r="AE21" s="153"/>
      <c r="AF21" s="153"/>
      <c r="AG21" s="85">
        <f>+AE21+AF21-AC21</f>
        <v>0</v>
      </c>
      <c r="AH21" s="86" t="s">
        <v>227</v>
      </c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</row>
    <row r="22" spans="1:45" x14ac:dyDescent="0.25">
      <c r="A22" s="73" t="s">
        <v>203</v>
      </c>
      <c r="B22" s="73" t="s">
        <v>55</v>
      </c>
      <c r="C22" s="73" t="s">
        <v>228</v>
      </c>
      <c r="D22" s="74"/>
      <c r="E22" s="74"/>
      <c r="F22" s="73" t="s">
        <v>133</v>
      </c>
      <c r="G22" s="87"/>
      <c r="H22" s="87"/>
      <c r="I22" s="76">
        <v>1237.2399999999998</v>
      </c>
      <c r="J22" s="87">
        <v>2262.7600000000002</v>
      </c>
      <c r="K22" s="76">
        <f t="shared" si="0"/>
        <v>3500</v>
      </c>
      <c r="L22" s="76">
        <f>4500+6000</f>
        <v>10500</v>
      </c>
      <c r="M22" s="76"/>
      <c r="N22" s="76"/>
      <c r="O22" s="78">
        <v>45.15</v>
      </c>
      <c r="P22" s="79">
        <f t="shared" si="1"/>
        <v>13954.85</v>
      </c>
      <c r="Q22" s="80"/>
      <c r="R22" s="81"/>
      <c r="S22" s="81"/>
      <c r="T22" s="81"/>
      <c r="U22" s="73">
        <v>355.82</v>
      </c>
      <c r="V22" s="73">
        <v>0</v>
      </c>
      <c r="W22" s="79">
        <f t="shared" si="2"/>
        <v>13599.03</v>
      </c>
      <c r="X22" s="83">
        <f t="shared" si="3"/>
        <v>1395.4850000000001</v>
      </c>
      <c r="Y22" s="79">
        <f t="shared" si="4"/>
        <v>12203.545</v>
      </c>
      <c r="Z22" s="84">
        <f t="shared" si="5"/>
        <v>0</v>
      </c>
      <c r="AA22" s="83">
        <f t="shared" si="6"/>
        <v>24.744799999999998</v>
      </c>
      <c r="AB22" s="79">
        <f t="shared" si="7"/>
        <v>13979.594800000001</v>
      </c>
      <c r="AC22" s="153"/>
      <c r="AD22" s="85">
        <f t="shared" si="8"/>
        <v>-12203.545</v>
      </c>
      <c r="AE22" s="153"/>
      <c r="AF22" s="153"/>
      <c r="AG22" s="85">
        <f t="shared" si="9"/>
        <v>0</v>
      </c>
      <c r="AH22" s="86">
        <v>2928980233</v>
      </c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</row>
    <row r="23" spans="1:45" x14ac:dyDescent="0.25">
      <c r="A23" s="155" t="s">
        <v>229</v>
      </c>
      <c r="B23" s="155" t="s">
        <v>13</v>
      </c>
      <c r="C23" s="155" t="s">
        <v>230</v>
      </c>
      <c r="D23" s="157"/>
      <c r="E23" s="157" t="s">
        <v>358</v>
      </c>
      <c r="F23" s="155" t="s">
        <v>231</v>
      </c>
      <c r="G23" s="157" t="s">
        <v>206</v>
      </c>
      <c r="H23" s="157"/>
      <c r="I23" s="158"/>
      <c r="J23" s="157"/>
      <c r="K23" s="158"/>
      <c r="L23" s="158"/>
      <c r="M23" s="158"/>
      <c r="N23" s="158"/>
      <c r="O23" s="158"/>
      <c r="P23" s="159">
        <f t="shared" si="1"/>
        <v>0</v>
      </c>
      <c r="Q23" s="158"/>
      <c r="R23" s="160"/>
      <c r="S23" s="160"/>
      <c r="T23" s="160"/>
      <c r="U23" s="161"/>
      <c r="V23" s="165"/>
      <c r="W23" s="159">
        <f t="shared" si="2"/>
        <v>0</v>
      </c>
      <c r="X23" s="160">
        <f t="shared" si="3"/>
        <v>0</v>
      </c>
      <c r="Y23" s="159">
        <f t="shared" si="4"/>
        <v>0</v>
      </c>
      <c r="Z23" s="160">
        <f t="shared" si="5"/>
        <v>0</v>
      </c>
      <c r="AA23" s="160">
        <f t="shared" si="6"/>
        <v>0</v>
      </c>
      <c r="AB23" s="159">
        <f t="shared" si="7"/>
        <v>0</v>
      </c>
      <c r="AC23" s="162"/>
      <c r="AD23" s="163">
        <f t="shared" si="8"/>
        <v>0</v>
      </c>
      <c r="AE23" s="162"/>
      <c r="AF23" s="162"/>
      <c r="AG23" s="163">
        <f t="shared" si="9"/>
        <v>0</v>
      </c>
      <c r="AH23" s="164">
        <v>2994929888</v>
      </c>
      <c r="AI23" s="166"/>
      <c r="AJ23" s="86"/>
      <c r="AK23" s="86"/>
      <c r="AL23" s="86"/>
      <c r="AM23" s="86"/>
      <c r="AN23" s="86"/>
      <c r="AO23" s="86"/>
      <c r="AP23" s="86"/>
      <c r="AQ23" s="86"/>
      <c r="AR23" s="86"/>
      <c r="AS23" s="86"/>
    </row>
    <row r="24" spans="1:45" x14ac:dyDescent="0.25">
      <c r="A24" s="73" t="s">
        <v>203</v>
      </c>
      <c r="B24" s="73" t="s">
        <v>58</v>
      </c>
      <c r="C24" s="73" t="s">
        <v>232</v>
      </c>
      <c r="D24" s="74"/>
      <c r="E24" s="74"/>
      <c r="F24" s="73" t="s">
        <v>131</v>
      </c>
      <c r="G24" s="87"/>
      <c r="H24" s="87"/>
      <c r="I24" s="76">
        <v>1237.2399999999998</v>
      </c>
      <c r="J24" s="87">
        <v>3762.76</v>
      </c>
      <c r="K24" s="76">
        <f t="shared" si="0"/>
        <v>5000</v>
      </c>
      <c r="L24" s="76">
        <f>13000+550</f>
        <v>13550</v>
      </c>
      <c r="M24" s="76"/>
      <c r="N24" s="76"/>
      <c r="O24" s="78">
        <v>45.15</v>
      </c>
      <c r="P24" s="79">
        <f t="shared" si="1"/>
        <v>18504.849999999999</v>
      </c>
      <c r="Q24" s="80"/>
      <c r="R24" s="81"/>
      <c r="S24" s="81"/>
      <c r="T24" s="81"/>
      <c r="U24" s="73">
        <v>310.19</v>
      </c>
      <c r="V24" s="73">
        <v>0</v>
      </c>
      <c r="W24" s="79">
        <f t="shared" si="2"/>
        <v>18194.66</v>
      </c>
      <c r="X24" s="83">
        <f t="shared" si="3"/>
        <v>1850.4849999999999</v>
      </c>
      <c r="Y24" s="79">
        <f t="shared" si="4"/>
        <v>16344.174999999999</v>
      </c>
      <c r="Z24" s="84">
        <f t="shared" si="5"/>
        <v>0</v>
      </c>
      <c r="AA24" s="83">
        <f t="shared" si="6"/>
        <v>24.744799999999998</v>
      </c>
      <c r="AB24" s="79">
        <f t="shared" si="7"/>
        <v>18529.594799999999</v>
      </c>
      <c r="AC24" s="153"/>
      <c r="AD24" s="85">
        <f t="shared" si="8"/>
        <v>-16344.174999999999</v>
      </c>
      <c r="AE24" s="153"/>
      <c r="AF24" s="153"/>
      <c r="AG24" s="85">
        <f t="shared" si="9"/>
        <v>0</v>
      </c>
      <c r="AH24" s="86">
        <v>2734223152</v>
      </c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</row>
    <row r="25" spans="1:45" x14ac:dyDescent="0.25">
      <c r="A25" s="73" t="s">
        <v>200</v>
      </c>
      <c r="B25" s="73" t="s">
        <v>60</v>
      </c>
      <c r="C25" s="73" t="s">
        <v>233</v>
      </c>
      <c r="D25" s="74"/>
      <c r="E25" s="74"/>
      <c r="F25" s="73" t="s">
        <v>234</v>
      </c>
      <c r="G25" s="87"/>
      <c r="H25" s="87"/>
      <c r="I25" s="76">
        <v>1237.2399999999998</v>
      </c>
      <c r="J25" s="87">
        <v>1512.7600000000002</v>
      </c>
      <c r="K25" s="76">
        <f t="shared" si="0"/>
        <v>2750</v>
      </c>
      <c r="L25" s="76">
        <v>1500</v>
      </c>
      <c r="M25" s="76"/>
      <c r="N25" s="76"/>
      <c r="O25" s="78">
        <v>45.15</v>
      </c>
      <c r="P25" s="79">
        <f t="shared" si="1"/>
        <v>4204.8500000000004</v>
      </c>
      <c r="Q25" s="80"/>
      <c r="R25" s="81"/>
      <c r="S25" s="81"/>
      <c r="T25" s="81"/>
      <c r="U25" s="82"/>
      <c r="V25" s="73">
        <v>837.96</v>
      </c>
      <c r="W25" s="79">
        <f t="shared" si="2"/>
        <v>3366.8900000000003</v>
      </c>
      <c r="X25" s="83">
        <f t="shared" si="3"/>
        <v>0</v>
      </c>
      <c r="Y25" s="79">
        <f t="shared" si="4"/>
        <v>3366.8900000000003</v>
      </c>
      <c r="Z25" s="84">
        <f t="shared" si="5"/>
        <v>420.48500000000007</v>
      </c>
      <c r="AA25" s="83">
        <f t="shared" si="6"/>
        <v>24.744799999999998</v>
      </c>
      <c r="AB25" s="79">
        <f t="shared" si="7"/>
        <v>4650.0798000000004</v>
      </c>
      <c r="AC25" s="153"/>
      <c r="AD25" s="85">
        <f t="shared" si="8"/>
        <v>-3366.8900000000003</v>
      </c>
      <c r="AE25" s="153"/>
      <c r="AF25" s="153"/>
      <c r="AG25" s="85">
        <f t="shared" si="9"/>
        <v>0</v>
      </c>
      <c r="AH25" s="86">
        <v>2897100388</v>
      </c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</row>
    <row r="26" spans="1:45" x14ac:dyDescent="0.25">
      <c r="A26" s="73" t="s">
        <v>210</v>
      </c>
      <c r="B26" s="73" t="s">
        <v>62</v>
      </c>
      <c r="C26" s="73" t="s">
        <v>235</v>
      </c>
      <c r="D26" s="87"/>
      <c r="E26" s="87"/>
      <c r="F26" s="73" t="s">
        <v>236</v>
      </c>
      <c r="G26" s="87"/>
      <c r="H26" s="87"/>
      <c r="I26" s="76">
        <v>1237.2399999999998</v>
      </c>
      <c r="J26" s="87">
        <v>1762.7600000000002</v>
      </c>
      <c r="K26" s="76">
        <f t="shared" si="0"/>
        <v>3000</v>
      </c>
      <c r="L26" s="76">
        <f>4663.7+3000</f>
        <v>7663.7</v>
      </c>
      <c r="M26" s="76"/>
      <c r="N26" s="76"/>
      <c r="O26" s="78">
        <v>45.15</v>
      </c>
      <c r="P26" s="79">
        <f t="shared" si="1"/>
        <v>10618.550000000001</v>
      </c>
      <c r="Q26" s="80"/>
      <c r="R26" s="81"/>
      <c r="S26" s="81"/>
      <c r="T26" s="81"/>
      <c r="U26" s="82"/>
      <c r="V26" s="73">
        <v>0</v>
      </c>
      <c r="W26" s="79">
        <f t="shared" si="2"/>
        <v>10618.550000000001</v>
      </c>
      <c r="X26" s="83">
        <f t="shared" si="3"/>
        <v>1061.8550000000002</v>
      </c>
      <c r="Y26" s="79">
        <f t="shared" si="4"/>
        <v>9556.6950000000015</v>
      </c>
      <c r="Z26" s="84">
        <f t="shared" si="5"/>
        <v>0</v>
      </c>
      <c r="AA26" s="83">
        <f t="shared" si="6"/>
        <v>24.744799999999998</v>
      </c>
      <c r="AB26" s="79">
        <f t="shared" si="7"/>
        <v>10643.294800000001</v>
      </c>
      <c r="AC26" s="153"/>
      <c r="AD26" s="85">
        <f t="shared" si="8"/>
        <v>-9556.6950000000015</v>
      </c>
      <c r="AE26" s="153"/>
      <c r="AF26" s="153"/>
      <c r="AG26" s="85">
        <f t="shared" si="9"/>
        <v>0</v>
      </c>
      <c r="AH26" s="86">
        <v>2743852393</v>
      </c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</row>
    <row r="27" spans="1:45" x14ac:dyDescent="0.25">
      <c r="A27" s="73" t="s">
        <v>221</v>
      </c>
      <c r="B27" s="73" t="s">
        <v>64</v>
      </c>
      <c r="C27" s="73" t="s">
        <v>237</v>
      </c>
      <c r="D27" s="74"/>
      <c r="E27" s="74"/>
      <c r="F27" s="73" t="s">
        <v>238</v>
      </c>
      <c r="G27" s="87"/>
      <c r="H27" s="87"/>
      <c r="I27" s="76">
        <v>1237.2399999999998</v>
      </c>
      <c r="J27" s="87">
        <v>1762.7600000000002</v>
      </c>
      <c r="K27" s="76">
        <f t="shared" si="0"/>
        <v>3000</v>
      </c>
      <c r="L27" s="76">
        <v>3500</v>
      </c>
      <c r="M27" s="76"/>
      <c r="N27" s="76"/>
      <c r="O27" s="78">
        <v>45.15</v>
      </c>
      <c r="P27" s="79">
        <f t="shared" si="1"/>
        <v>6454.85</v>
      </c>
      <c r="Q27" s="80"/>
      <c r="R27" s="81"/>
      <c r="S27" s="81"/>
      <c r="T27" s="81"/>
      <c r="U27" s="82"/>
      <c r="V27" s="73">
        <v>0</v>
      </c>
      <c r="W27" s="79">
        <f t="shared" si="2"/>
        <v>6454.85</v>
      </c>
      <c r="X27" s="83">
        <f t="shared" si="3"/>
        <v>645.48500000000013</v>
      </c>
      <c r="Y27" s="79">
        <f t="shared" si="4"/>
        <v>5809.3649999999998</v>
      </c>
      <c r="Z27" s="84">
        <f t="shared" si="5"/>
        <v>0</v>
      </c>
      <c r="AA27" s="83">
        <f t="shared" si="6"/>
        <v>24.744799999999998</v>
      </c>
      <c r="AB27" s="79">
        <f t="shared" si="7"/>
        <v>6479.5948000000008</v>
      </c>
      <c r="AC27" s="153"/>
      <c r="AD27" s="85">
        <f t="shared" si="8"/>
        <v>-5809.3649999999998</v>
      </c>
      <c r="AE27" s="153"/>
      <c r="AF27" s="153"/>
      <c r="AG27" s="85">
        <f t="shared" si="9"/>
        <v>0</v>
      </c>
      <c r="AH27" s="86">
        <v>2949799338</v>
      </c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</row>
    <row r="28" spans="1:45" x14ac:dyDescent="0.25">
      <c r="A28" s="73" t="s">
        <v>229</v>
      </c>
      <c r="B28" s="73" t="s">
        <v>66</v>
      </c>
      <c r="C28" s="73" t="s">
        <v>239</v>
      </c>
      <c r="D28" s="87"/>
      <c r="E28" s="87"/>
      <c r="F28" s="73" t="s">
        <v>141</v>
      </c>
      <c r="G28" s="75"/>
      <c r="H28" s="75"/>
      <c r="I28" s="76">
        <v>1237.2399999999998</v>
      </c>
      <c r="J28" s="75">
        <v>1262.7600000000002</v>
      </c>
      <c r="K28" s="76">
        <f t="shared" si="0"/>
        <v>2500</v>
      </c>
      <c r="L28" s="76">
        <v>4171</v>
      </c>
      <c r="M28" s="77"/>
      <c r="N28" s="77"/>
      <c r="O28" s="78">
        <v>45.15</v>
      </c>
      <c r="P28" s="79">
        <f t="shared" si="1"/>
        <v>6625.85</v>
      </c>
      <c r="Q28" s="80"/>
      <c r="R28" s="81"/>
      <c r="S28" s="81"/>
      <c r="T28" s="81"/>
      <c r="U28" s="82"/>
      <c r="V28" s="73">
        <v>0</v>
      </c>
      <c r="W28" s="79">
        <f t="shared" si="2"/>
        <v>6625.85</v>
      </c>
      <c r="X28" s="83">
        <f t="shared" si="3"/>
        <v>662.58500000000004</v>
      </c>
      <c r="Y28" s="79">
        <f t="shared" si="4"/>
        <v>5963.2650000000003</v>
      </c>
      <c r="Z28" s="84">
        <f t="shared" si="5"/>
        <v>0</v>
      </c>
      <c r="AA28" s="83">
        <f t="shared" si="6"/>
        <v>24.744799999999998</v>
      </c>
      <c r="AB28" s="79">
        <f t="shared" si="7"/>
        <v>6650.5948000000008</v>
      </c>
      <c r="AC28" s="153"/>
      <c r="AD28" s="85">
        <f t="shared" si="8"/>
        <v>-5963.2650000000003</v>
      </c>
      <c r="AE28" s="153"/>
      <c r="AF28" s="153"/>
      <c r="AG28" s="85">
        <f t="shared" si="9"/>
        <v>0</v>
      </c>
      <c r="AH28" s="86">
        <v>2945821312</v>
      </c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</row>
    <row r="29" spans="1:45" x14ac:dyDescent="0.25">
      <c r="A29" s="73" t="s">
        <v>218</v>
      </c>
      <c r="B29" s="73" t="s">
        <v>240</v>
      </c>
      <c r="C29" s="73" t="s">
        <v>359</v>
      </c>
      <c r="D29" s="74"/>
      <c r="E29" s="74"/>
      <c r="F29" s="73" t="s">
        <v>146</v>
      </c>
      <c r="G29" s="87"/>
      <c r="H29" s="87"/>
      <c r="I29" s="76">
        <v>1237.2399999999998</v>
      </c>
      <c r="J29" s="87">
        <v>1262.7600000000002</v>
      </c>
      <c r="K29" s="76">
        <f t="shared" si="0"/>
        <v>2500</v>
      </c>
      <c r="L29" s="76">
        <f>840+500</f>
        <v>1340</v>
      </c>
      <c r="M29" s="76"/>
      <c r="N29" s="76"/>
      <c r="O29" s="78">
        <v>45.15</v>
      </c>
      <c r="P29" s="79">
        <f t="shared" si="1"/>
        <v>3794.85</v>
      </c>
      <c r="Q29" s="80"/>
      <c r="R29" s="81"/>
      <c r="S29" s="81"/>
      <c r="T29" s="81"/>
      <c r="U29" s="82"/>
      <c r="V29" s="88">
        <v>1075.52</v>
      </c>
      <c r="W29" s="79">
        <f t="shared" si="2"/>
        <v>2719.33</v>
      </c>
      <c r="X29" s="83">
        <f t="shared" si="3"/>
        <v>0</v>
      </c>
      <c r="Y29" s="79">
        <f t="shared" si="4"/>
        <v>2719.33</v>
      </c>
      <c r="Z29" s="84">
        <f t="shared" si="5"/>
        <v>379.48500000000001</v>
      </c>
      <c r="AA29" s="83">
        <f t="shared" si="6"/>
        <v>24.744799999999998</v>
      </c>
      <c r="AB29" s="79">
        <f t="shared" si="7"/>
        <v>4199.0798000000004</v>
      </c>
      <c r="AC29" s="153"/>
      <c r="AD29" s="85">
        <f t="shared" si="8"/>
        <v>-2719.33</v>
      </c>
      <c r="AE29" s="153"/>
      <c r="AF29" s="153"/>
      <c r="AG29" s="85">
        <f t="shared" si="9"/>
        <v>0</v>
      </c>
      <c r="AH29" s="86">
        <v>2871132644</v>
      </c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</row>
    <row r="30" spans="1:45" x14ac:dyDescent="0.25">
      <c r="A30" s="73" t="s">
        <v>200</v>
      </c>
      <c r="B30" s="73" t="s">
        <v>241</v>
      </c>
      <c r="C30" s="73" t="s">
        <v>360</v>
      </c>
      <c r="D30" s="74"/>
      <c r="E30" s="74"/>
      <c r="F30" s="73" t="s">
        <v>234</v>
      </c>
      <c r="G30" s="87"/>
      <c r="H30" s="87"/>
      <c r="I30" s="76">
        <v>1237.2399999999998</v>
      </c>
      <c r="J30" s="87">
        <v>762.76000000000022</v>
      </c>
      <c r="K30" s="76">
        <f t="shared" si="0"/>
        <v>2000</v>
      </c>
      <c r="L30" s="76">
        <v>1750</v>
      </c>
      <c r="M30" s="76"/>
      <c r="N30" s="76"/>
      <c r="O30" s="78">
        <v>45.15</v>
      </c>
      <c r="P30" s="79">
        <f t="shared" si="1"/>
        <v>3704.85</v>
      </c>
      <c r="Q30" s="80"/>
      <c r="R30" s="81"/>
      <c r="S30" s="81"/>
      <c r="T30" s="81"/>
      <c r="U30" s="82"/>
      <c r="V30" s="73">
        <v>0</v>
      </c>
      <c r="W30" s="79">
        <f t="shared" si="2"/>
        <v>3704.85</v>
      </c>
      <c r="X30" s="83">
        <f t="shared" si="3"/>
        <v>0</v>
      </c>
      <c r="Y30" s="79">
        <f t="shared" si="4"/>
        <v>3704.85</v>
      </c>
      <c r="Z30" s="84">
        <f t="shared" si="5"/>
        <v>370.48500000000001</v>
      </c>
      <c r="AA30" s="83">
        <f t="shared" si="6"/>
        <v>24.744799999999998</v>
      </c>
      <c r="AB30" s="79">
        <f t="shared" si="7"/>
        <v>4100.0798000000004</v>
      </c>
      <c r="AC30" s="153"/>
      <c r="AD30" s="85">
        <f t="shared" si="8"/>
        <v>-3704.85</v>
      </c>
      <c r="AE30" s="153"/>
      <c r="AF30" s="153"/>
      <c r="AG30" s="85">
        <f t="shared" si="9"/>
        <v>0</v>
      </c>
      <c r="AH30" s="86">
        <v>2887709471</v>
      </c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</row>
    <row r="31" spans="1:45" x14ac:dyDescent="0.25">
      <c r="A31" s="73" t="s">
        <v>203</v>
      </c>
      <c r="B31" s="73" t="s">
        <v>72</v>
      </c>
      <c r="C31" s="73" t="s">
        <v>242</v>
      </c>
      <c r="D31" s="74"/>
      <c r="E31" s="74"/>
      <c r="F31" s="73" t="s">
        <v>134</v>
      </c>
      <c r="G31" s="75" t="s">
        <v>206</v>
      </c>
      <c r="H31" s="75"/>
      <c r="I31" s="76">
        <v>1237.2399999999998</v>
      </c>
      <c r="J31" s="75">
        <f>1612.76+150</f>
        <v>1762.76</v>
      </c>
      <c r="K31" s="76">
        <f t="shared" si="0"/>
        <v>3000</v>
      </c>
      <c r="L31" s="76"/>
      <c r="M31" s="77"/>
      <c r="N31" s="77"/>
      <c r="O31" s="78">
        <v>45.15</v>
      </c>
      <c r="P31" s="79">
        <f t="shared" si="1"/>
        <v>2954.85</v>
      </c>
      <c r="Q31" s="80"/>
      <c r="R31" s="81"/>
      <c r="S31" s="81"/>
      <c r="T31" s="81"/>
      <c r="U31" s="82"/>
      <c r="V31" s="73">
        <v>0</v>
      </c>
      <c r="W31" s="79">
        <f t="shared" si="2"/>
        <v>2954.85</v>
      </c>
      <c r="X31" s="83">
        <f t="shared" si="3"/>
        <v>0</v>
      </c>
      <c r="Y31" s="79">
        <f t="shared" si="4"/>
        <v>2954.85</v>
      </c>
      <c r="Z31" s="84">
        <f t="shared" si="5"/>
        <v>295.48500000000001</v>
      </c>
      <c r="AA31" s="83">
        <f t="shared" si="6"/>
        <v>24.744799999999998</v>
      </c>
      <c r="AB31" s="79">
        <f t="shared" si="7"/>
        <v>3275.0798</v>
      </c>
      <c r="AC31" s="153"/>
      <c r="AD31" s="85">
        <f t="shared" si="8"/>
        <v>-2954.85</v>
      </c>
      <c r="AE31" s="153"/>
      <c r="AF31" s="153"/>
      <c r="AG31" s="85">
        <f t="shared" si="9"/>
        <v>0</v>
      </c>
      <c r="AH31" s="86">
        <v>2886339700</v>
      </c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</row>
    <row r="32" spans="1:45" x14ac:dyDescent="0.25">
      <c r="A32" s="73" t="s">
        <v>203</v>
      </c>
      <c r="B32" s="73" t="s">
        <v>74</v>
      </c>
      <c r="C32" s="73" t="s">
        <v>243</v>
      </c>
      <c r="D32" s="74"/>
      <c r="E32" s="74"/>
      <c r="F32" s="73" t="s">
        <v>132</v>
      </c>
      <c r="G32" s="75" t="s">
        <v>206</v>
      </c>
      <c r="H32" s="75"/>
      <c r="I32" s="76">
        <v>1237.2399999999998</v>
      </c>
      <c r="J32" s="75">
        <v>2762.76</v>
      </c>
      <c r="K32" s="76">
        <f t="shared" si="0"/>
        <v>4000</v>
      </c>
      <c r="L32" s="76"/>
      <c r="M32" s="89"/>
      <c r="N32" s="77"/>
      <c r="O32" s="78">
        <v>45.15</v>
      </c>
      <c r="P32" s="79">
        <f t="shared" si="1"/>
        <v>3954.85</v>
      </c>
      <c r="Q32" s="80"/>
      <c r="R32" s="81"/>
      <c r="S32" s="81"/>
      <c r="T32" s="81"/>
      <c r="U32" s="82"/>
      <c r="V32" s="88">
        <v>1146.5999999999999</v>
      </c>
      <c r="W32" s="79">
        <f t="shared" si="2"/>
        <v>2808.25</v>
      </c>
      <c r="X32" s="83">
        <f t="shared" si="3"/>
        <v>0</v>
      </c>
      <c r="Y32" s="79">
        <f t="shared" si="4"/>
        <v>2808.25</v>
      </c>
      <c r="Z32" s="84">
        <f t="shared" si="5"/>
        <v>395.48500000000001</v>
      </c>
      <c r="AA32" s="83">
        <f t="shared" si="6"/>
        <v>24.744799999999998</v>
      </c>
      <c r="AB32" s="79">
        <f t="shared" si="7"/>
        <v>4375.0798000000004</v>
      </c>
      <c r="AC32" s="153"/>
      <c r="AD32" s="85">
        <f t="shared" si="8"/>
        <v>-2808.25</v>
      </c>
      <c r="AE32" s="153"/>
      <c r="AF32" s="153"/>
      <c r="AG32" s="85">
        <f t="shared" si="9"/>
        <v>0</v>
      </c>
      <c r="AH32" s="86">
        <v>1109785957</v>
      </c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</row>
    <row r="33" spans="1:45" x14ac:dyDescent="0.25">
      <c r="A33" s="73" t="s">
        <v>218</v>
      </c>
      <c r="B33" s="73" t="s">
        <v>244</v>
      </c>
      <c r="C33" s="73" t="s">
        <v>245</v>
      </c>
      <c r="D33" s="74"/>
      <c r="E33" s="74"/>
      <c r="F33" s="73" t="s">
        <v>142</v>
      </c>
      <c r="G33" s="87"/>
      <c r="H33" s="87"/>
      <c r="I33" s="76">
        <v>1237.2399999999998</v>
      </c>
      <c r="J33" s="87">
        <v>2262.7600000000002</v>
      </c>
      <c r="K33" s="76">
        <f t="shared" si="0"/>
        <v>3500</v>
      </c>
      <c r="L33" s="76">
        <v>14865.91</v>
      </c>
      <c r="M33" s="76"/>
      <c r="N33" s="76"/>
      <c r="O33" s="78">
        <v>45.15</v>
      </c>
      <c r="P33" s="79">
        <f t="shared" si="1"/>
        <v>18320.759999999998</v>
      </c>
      <c r="Q33" s="80"/>
      <c r="R33" s="81"/>
      <c r="S33" s="81"/>
      <c r="T33" s="81"/>
      <c r="U33" s="73">
        <v>58.19</v>
      </c>
      <c r="V33" s="73">
        <v>0</v>
      </c>
      <c r="W33" s="79">
        <f t="shared" si="2"/>
        <v>18262.57</v>
      </c>
      <c r="X33" s="83">
        <f t="shared" si="3"/>
        <v>1832.076</v>
      </c>
      <c r="Y33" s="79">
        <f t="shared" si="4"/>
        <v>16430.493999999999</v>
      </c>
      <c r="Z33" s="84">
        <f t="shared" si="5"/>
        <v>0</v>
      </c>
      <c r="AA33" s="83">
        <f t="shared" si="6"/>
        <v>24.744799999999998</v>
      </c>
      <c r="AB33" s="79">
        <f t="shared" si="7"/>
        <v>18345.504799999999</v>
      </c>
      <c r="AC33" s="153"/>
      <c r="AD33" s="85">
        <f t="shared" si="8"/>
        <v>-16430.493999999999</v>
      </c>
      <c r="AE33" s="153"/>
      <c r="AF33" s="153"/>
      <c r="AG33" s="85">
        <f t="shared" si="9"/>
        <v>0</v>
      </c>
      <c r="AH33" s="86">
        <v>2659973974</v>
      </c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</row>
    <row r="34" spans="1:45" x14ac:dyDescent="0.25">
      <c r="A34" s="73" t="s">
        <v>218</v>
      </c>
      <c r="B34" s="73" t="s">
        <v>78</v>
      </c>
      <c r="C34" s="73" t="s">
        <v>361</v>
      </c>
      <c r="D34" s="74"/>
      <c r="E34" s="74"/>
      <c r="F34" s="73" t="s">
        <v>143</v>
      </c>
      <c r="G34" s="87"/>
      <c r="H34" s="87"/>
      <c r="I34" s="76">
        <v>1237.2399999999998</v>
      </c>
      <c r="J34" s="87">
        <v>2012.7600000000002</v>
      </c>
      <c r="K34" s="76">
        <f t="shared" si="0"/>
        <v>3250</v>
      </c>
      <c r="L34" s="76">
        <v>6813.74</v>
      </c>
      <c r="M34" s="76"/>
      <c r="N34" s="76"/>
      <c r="O34" s="78">
        <v>45.15</v>
      </c>
      <c r="P34" s="79">
        <f t="shared" si="1"/>
        <v>10018.59</v>
      </c>
      <c r="Q34" s="80"/>
      <c r="R34" s="81"/>
      <c r="S34" s="81"/>
      <c r="T34" s="81"/>
      <c r="U34" s="82"/>
      <c r="V34" s="88">
        <v>1045.54</v>
      </c>
      <c r="W34" s="79">
        <f t="shared" si="2"/>
        <v>8973.0499999999993</v>
      </c>
      <c r="X34" s="83">
        <f t="shared" si="3"/>
        <v>1001.859</v>
      </c>
      <c r="Y34" s="79">
        <f t="shared" si="4"/>
        <v>7971.1909999999989</v>
      </c>
      <c r="Z34" s="84">
        <f t="shared" si="5"/>
        <v>0</v>
      </c>
      <c r="AA34" s="83">
        <f t="shared" si="6"/>
        <v>24.744799999999998</v>
      </c>
      <c r="AB34" s="79">
        <f t="shared" si="7"/>
        <v>10043.334800000001</v>
      </c>
      <c r="AC34" s="153"/>
      <c r="AD34" s="85">
        <f t="shared" si="8"/>
        <v>-7971.1909999999989</v>
      </c>
      <c r="AE34" s="153"/>
      <c r="AF34" s="153"/>
      <c r="AG34" s="85">
        <f t="shared" si="9"/>
        <v>0</v>
      </c>
      <c r="AH34" s="86">
        <v>2786636659</v>
      </c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</row>
    <row r="35" spans="1:45" x14ac:dyDescent="0.25">
      <c r="A35" s="73" t="s">
        <v>229</v>
      </c>
      <c r="B35" s="73" t="s">
        <v>80</v>
      </c>
      <c r="C35" s="73" t="s">
        <v>362</v>
      </c>
      <c r="D35" s="87"/>
      <c r="E35" s="87"/>
      <c r="F35" s="73" t="s">
        <v>141</v>
      </c>
      <c r="G35" s="75"/>
      <c r="H35" s="75"/>
      <c r="I35" s="76">
        <v>1237.2399999999998</v>
      </c>
      <c r="J35" s="75">
        <v>1762.7600000000002</v>
      </c>
      <c r="K35" s="76">
        <f t="shared" si="0"/>
        <v>3000</v>
      </c>
      <c r="L35" s="76">
        <f>2331.85+1500</f>
        <v>3831.85</v>
      </c>
      <c r="M35" s="77"/>
      <c r="N35" s="77"/>
      <c r="O35" s="78">
        <v>45.15</v>
      </c>
      <c r="P35" s="79">
        <f t="shared" si="1"/>
        <v>6786.7000000000007</v>
      </c>
      <c r="Q35" s="80"/>
      <c r="R35" s="81"/>
      <c r="S35" s="81"/>
      <c r="T35" s="81"/>
      <c r="U35" s="82"/>
      <c r="V35" s="73">
        <v>0</v>
      </c>
      <c r="W35" s="79">
        <f t="shared" si="2"/>
        <v>6786.7000000000007</v>
      </c>
      <c r="X35" s="83">
        <f t="shared" si="3"/>
        <v>678.67000000000007</v>
      </c>
      <c r="Y35" s="79">
        <f t="shared" si="4"/>
        <v>6108.0300000000007</v>
      </c>
      <c r="Z35" s="84">
        <f t="shared" si="5"/>
        <v>0</v>
      </c>
      <c r="AA35" s="83">
        <f t="shared" si="6"/>
        <v>24.744799999999998</v>
      </c>
      <c r="AB35" s="79">
        <f t="shared" si="7"/>
        <v>6811.4448000000011</v>
      </c>
      <c r="AC35" s="153"/>
      <c r="AD35" s="85">
        <f t="shared" si="8"/>
        <v>-6108.0300000000007</v>
      </c>
      <c r="AE35" s="153"/>
      <c r="AF35" s="153"/>
      <c r="AG35" s="85">
        <f t="shared" si="9"/>
        <v>0</v>
      </c>
      <c r="AH35" s="86">
        <v>2892941821</v>
      </c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</row>
    <row r="36" spans="1:45" x14ac:dyDescent="0.25">
      <c r="A36" s="73" t="s">
        <v>210</v>
      </c>
      <c r="B36" s="73" t="s">
        <v>82</v>
      </c>
      <c r="C36" s="73" t="s">
        <v>246</v>
      </c>
      <c r="D36" s="87"/>
      <c r="E36" s="87"/>
      <c r="F36" s="73" t="s">
        <v>149</v>
      </c>
      <c r="G36" s="87"/>
      <c r="H36" s="87"/>
      <c r="I36" s="76">
        <v>1237.2399999999998</v>
      </c>
      <c r="J36" s="87">
        <v>2762.76</v>
      </c>
      <c r="K36" s="76">
        <f t="shared" si="0"/>
        <v>4000</v>
      </c>
      <c r="L36" s="76">
        <f>4850+3000</f>
        <v>7850</v>
      </c>
      <c r="M36" s="76"/>
      <c r="N36" s="76"/>
      <c r="O36" s="78">
        <v>45.15</v>
      </c>
      <c r="P36" s="79">
        <f t="shared" si="1"/>
        <v>11804.85</v>
      </c>
      <c r="Q36" s="80"/>
      <c r="R36" s="81"/>
      <c r="S36" s="81"/>
      <c r="T36" s="81"/>
      <c r="U36" s="82"/>
      <c r="V36" s="88">
        <v>1200.08</v>
      </c>
      <c r="W36" s="79">
        <f t="shared" si="2"/>
        <v>10604.77</v>
      </c>
      <c r="X36" s="83">
        <f t="shared" si="3"/>
        <v>1180.4850000000001</v>
      </c>
      <c r="Y36" s="79">
        <f t="shared" si="4"/>
        <v>9424.2849999999999</v>
      </c>
      <c r="Z36" s="84">
        <f t="shared" si="5"/>
        <v>0</v>
      </c>
      <c r="AA36" s="83">
        <f t="shared" si="6"/>
        <v>24.744799999999998</v>
      </c>
      <c r="AB36" s="79">
        <f t="shared" si="7"/>
        <v>11829.594800000001</v>
      </c>
      <c r="AC36" s="153"/>
      <c r="AD36" s="85">
        <f t="shared" si="8"/>
        <v>-9424.2849999999999</v>
      </c>
      <c r="AE36" s="153"/>
      <c r="AF36" s="153"/>
      <c r="AG36" s="85">
        <f t="shared" si="9"/>
        <v>0</v>
      </c>
      <c r="AH36" s="86">
        <v>2745564778</v>
      </c>
      <c r="AI36" s="72"/>
      <c r="AJ36" s="86"/>
      <c r="AK36" s="86"/>
      <c r="AL36" s="86"/>
      <c r="AM36" s="86"/>
      <c r="AN36" s="86"/>
      <c r="AO36" s="86"/>
      <c r="AP36" s="86"/>
      <c r="AQ36" s="86"/>
      <c r="AR36" s="86"/>
      <c r="AS36" s="86"/>
    </row>
    <row r="37" spans="1:45" x14ac:dyDescent="0.25">
      <c r="A37" s="73" t="s">
        <v>218</v>
      </c>
      <c r="B37" s="73" t="s">
        <v>84</v>
      </c>
      <c r="C37" s="73" t="s">
        <v>247</v>
      </c>
      <c r="D37" s="74"/>
      <c r="E37" s="74"/>
      <c r="F37" s="73" t="s">
        <v>145</v>
      </c>
      <c r="G37" s="75"/>
      <c r="H37" s="75"/>
      <c r="I37" s="76">
        <v>1237.2399999999998</v>
      </c>
      <c r="J37" s="75">
        <f>2912.76+350</f>
        <v>3262.76</v>
      </c>
      <c r="K37" s="76">
        <f t="shared" si="0"/>
        <v>4500</v>
      </c>
      <c r="L37" s="76"/>
      <c r="M37" s="77"/>
      <c r="N37" s="77"/>
      <c r="O37" s="78">
        <v>45.15</v>
      </c>
      <c r="P37" s="79">
        <f t="shared" si="1"/>
        <v>4454.8500000000004</v>
      </c>
      <c r="Q37" s="80"/>
      <c r="R37" s="81"/>
      <c r="S37" s="81"/>
      <c r="T37" s="81"/>
      <c r="U37" s="82"/>
      <c r="V37" s="73">
        <v>887.44</v>
      </c>
      <c r="W37" s="79">
        <f t="shared" si="2"/>
        <v>3567.4100000000003</v>
      </c>
      <c r="X37" s="83">
        <f t="shared" si="3"/>
        <v>0</v>
      </c>
      <c r="Y37" s="79">
        <f t="shared" si="4"/>
        <v>3567.4100000000003</v>
      </c>
      <c r="Z37" s="84">
        <f t="shared" si="5"/>
        <v>445.48500000000007</v>
      </c>
      <c r="AA37" s="83">
        <f t="shared" si="6"/>
        <v>24.744799999999998</v>
      </c>
      <c r="AB37" s="79">
        <f t="shared" si="7"/>
        <v>4925.0798000000004</v>
      </c>
      <c r="AC37" s="153"/>
      <c r="AD37" s="85">
        <f t="shared" si="8"/>
        <v>-3567.4100000000003</v>
      </c>
      <c r="AE37" s="153"/>
      <c r="AF37" s="153"/>
      <c r="AG37" s="85">
        <f t="shared" si="9"/>
        <v>0</v>
      </c>
      <c r="AH37" s="86">
        <v>2760229598</v>
      </c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</row>
    <row r="38" spans="1:45" x14ac:dyDescent="0.25">
      <c r="A38" s="73" t="s">
        <v>200</v>
      </c>
      <c r="B38" s="73" t="s">
        <v>86</v>
      </c>
      <c r="C38" s="73" t="s">
        <v>363</v>
      </c>
      <c r="D38" s="74"/>
      <c r="E38" s="74"/>
      <c r="F38" s="73" t="s">
        <v>248</v>
      </c>
      <c r="G38" s="87"/>
      <c r="H38" s="87"/>
      <c r="I38" s="76">
        <v>1237.2399999999998</v>
      </c>
      <c r="J38" s="87">
        <f>187.76+50</f>
        <v>237.76</v>
      </c>
      <c r="K38" s="76">
        <f t="shared" si="0"/>
        <v>1474.9999999999998</v>
      </c>
      <c r="L38" s="76">
        <v>1750</v>
      </c>
      <c r="M38" s="76"/>
      <c r="N38" s="76"/>
      <c r="O38" s="78">
        <v>45.15</v>
      </c>
      <c r="P38" s="79">
        <f t="shared" si="1"/>
        <v>3179.85</v>
      </c>
      <c r="Q38" s="80"/>
      <c r="R38" s="81"/>
      <c r="S38" s="81"/>
      <c r="T38" s="81"/>
      <c r="U38" s="82"/>
      <c r="V38" s="73">
        <v>0</v>
      </c>
      <c r="W38" s="79">
        <f t="shared" si="2"/>
        <v>3179.85</v>
      </c>
      <c r="X38" s="83">
        <f t="shared" si="3"/>
        <v>0</v>
      </c>
      <c r="Y38" s="79">
        <f t="shared" si="4"/>
        <v>3179.85</v>
      </c>
      <c r="Z38" s="84">
        <f t="shared" si="5"/>
        <v>317.98500000000001</v>
      </c>
      <c r="AA38" s="83">
        <f t="shared" si="6"/>
        <v>24.744799999999998</v>
      </c>
      <c r="AB38" s="79">
        <f t="shared" si="7"/>
        <v>3522.5798</v>
      </c>
      <c r="AC38" s="153"/>
      <c r="AD38" s="85">
        <f t="shared" si="8"/>
        <v>-3179.85</v>
      </c>
      <c r="AE38" s="153"/>
      <c r="AF38" s="153"/>
      <c r="AG38" s="85">
        <f t="shared" si="9"/>
        <v>0</v>
      </c>
      <c r="AH38" s="86">
        <v>1404990536</v>
      </c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</row>
    <row r="39" spans="1:45" x14ac:dyDescent="0.25">
      <c r="A39" s="73" t="s">
        <v>218</v>
      </c>
      <c r="B39" s="73" t="s">
        <v>88</v>
      </c>
      <c r="C39" s="73" t="s">
        <v>249</v>
      </c>
      <c r="D39" s="74"/>
      <c r="E39" s="74"/>
      <c r="F39" s="73" t="s">
        <v>144</v>
      </c>
      <c r="G39" s="75"/>
      <c r="H39" s="75"/>
      <c r="I39" s="76">
        <v>1237.2399999999998</v>
      </c>
      <c r="J39" s="75">
        <v>1112.7600000000002</v>
      </c>
      <c r="K39" s="76">
        <f t="shared" si="0"/>
        <v>2350</v>
      </c>
      <c r="L39" s="76">
        <v>2268.67</v>
      </c>
      <c r="M39" s="77"/>
      <c r="N39" s="77"/>
      <c r="O39" s="78">
        <v>45.15</v>
      </c>
      <c r="P39" s="79">
        <f t="shared" si="1"/>
        <v>4573.5200000000004</v>
      </c>
      <c r="Q39" s="80"/>
      <c r="R39" s="81"/>
      <c r="S39" s="81"/>
      <c r="T39" s="81"/>
      <c r="U39" s="82"/>
      <c r="V39" s="73">
        <v>0</v>
      </c>
      <c r="W39" s="79">
        <f t="shared" si="2"/>
        <v>4573.5200000000004</v>
      </c>
      <c r="X39" s="83">
        <f t="shared" si="3"/>
        <v>457.35200000000009</v>
      </c>
      <c r="Y39" s="79">
        <f t="shared" si="4"/>
        <v>4116.1680000000006</v>
      </c>
      <c r="Z39" s="84">
        <f t="shared" si="5"/>
        <v>0</v>
      </c>
      <c r="AA39" s="83">
        <f t="shared" si="6"/>
        <v>24.744799999999998</v>
      </c>
      <c r="AB39" s="79">
        <f t="shared" si="7"/>
        <v>4598.2648000000008</v>
      </c>
      <c r="AC39" s="153"/>
      <c r="AD39" s="85">
        <f t="shared" si="8"/>
        <v>-4116.1680000000006</v>
      </c>
      <c r="AE39" s="153"/>
      <c r="AF39" s="153"/>
      <c r="AG39" s="85">
        <f t="shared" si="9"/>
        <v>0</v>
      </c>
      <c r="AH39" s="86">
        <v>2884661508</v>
      </c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</row>
    <row r="40" spans="1:45" x14ac:dyDescent="0.25">
      <c r="A40" s="73" t="s">
        <v>229</v>
      </c>
      <c r="B40" s="73" t="s">
        <v>90</v>
      </c>
      <c r="C40" s="73" t="s">
        <v>250</v>
      </c>
      <c r="D40" s="74"/>
      <c r="E40" s="74"/>
      <c r="F40" s="73" t="s">
        <v>135</v>
      </c>
      <c r="G40" s="75" t="s">
        <v>206</v>
      </c>
      <c r="H40" s="87"/>
      <c r="I40" s="76">
        <v>1237.2399999999998</v>
      </c>
      <c r="J40" s="87">
        <f>1112.76+200</f>
        <v>1312.76</v>
      </c>
      <c r="K40" s="76">
        <f t="shared" si="0"/>
        <v>2550</v>
      </c>
      <c r="L40" s="76"/>
      <c r="M40" s="76"/>
      <c r="N40" s="76"/>
      <c r="O40" s="78">
        <v>45.15</v>
      </c>
      <c r="P40" s="79">
        <f t="shared" si="1"/>
        <v>2504.85</v>
      </c>
      <c r="Q40" s="80"/>
      <c r="R40" s="81"/>
      <c r="S40" s="81"/>
      <c r="T40" s="81"/>
      <c r="U40" s="82"/>
      <c r="V40" s="73">
        <v>0</v>
      </c>
      <c r="W40" s="79">
        <f t="shared" si="2"/>
        <v>2504.85</v>
      </c>
      <c r="X40" s="83">
        <f t="shared" si="3"/>
        <v>0</v>
      </c>
      <c r="Y40" s="79">
        <f t="shared" si="4"/>
        <v>2504.85</v>
      </c>
      <c r="Z40" s="84">
        <f t="shared" si="5"/>
        <v>250.48500000000001</v>
      </c>
      <c r="AA40" s="83">
        <f t="shared" si="6"/>
        <v>24.744799999999998</v>
      </c>
      <c r="AB40" s="79">
        <f t="shared" si="7"/>
        <v>2780.0798</v>
      </c>
      <c r="AC40" s="153"/>
      <c r="AD40" s="85">
        <f t="shared" si="8"/>
        <v>-2504.85</v>
      </c>
      <c r="AE40" s="153"/>
      <c r="AF40" s="153"/>
      <c r="AG40" s="85">
        <f t="shared" si="9"/>
        <v>0</v>
      </c>
      <c r="AH40" s="86">
        <v>2864339452</v>
      </c>
      <c r="AI40" s="72"/>
      <c r="AJ40" s="86"/>
      <c r="AK40" s="86"/>
      <c r="AL40" s="86"/>
      <c r="AM40" s="86"/>
      <c r="AN40" s="86"/>
      <c r="AO40" s="86"/>
      <c r="AP40" s="86"/>
      <c r="AQ40" s="86"/>
      <c r="AR40" s="86"/>
      <c r="AS40" s="86"/>
    </row>
    <row r="41" spans="1:45" x14ac:dyDescent="0.25">
      <c r="A41" s="73" t="s">
        <v>221</v>
      </c>
      <c r="B41" s="73" t="s">
        <v>251</v>
      </c>
      <c r="C41" s="73" t="s">
        <v>252</v>
      </c>
      <c r="D41" s="74"/>
      <c r="E41" s="74"/>
      <c r="F41" s="73" t="s">
        <v>138</v>
      </c>
      <c r="G41" s="87"/>
      <c r="H41" s="87"/>
      <c r="I41" s="76">
        <v>1237.2399999999998</v>
      </c>
      <c r="J41" s="87">
        <v>1262.7600000000002</v>
      </c>
      <c r="K41" s="76">
        <f t="shared" si="0"/>
        <v>2500</v>
      </c>
      <c r="L41" s="76">
        <v>16663.28</v>
      </c>
      <c r="M41" s="76"/>
      <c r="N41" s="76"/>
      <c r="O41" s="78">
        <v>45.15</v>
      </c>
      <c r="P41" s="79">
        <f t="shared" si="1"/>
        <v>19118.129999999997</v>
      </c>
      <c r="Q41" s="80"/>
      <c r="R41" s="81"/>
      <c r="S41" s="81"/>
      <c r="T41" s="81"/>
      <c r="U41" s="82"/>
      <c r="V41" s="73">
        <v>0</v>
      </c>
      <c r="W41" s="79">
        <f t="shared" si="2"/>
        <v>19118.129999999997</v>
      </c>
      <c r="X41" s="83">
        <f t="shared" si="3"/>
        <v>1911.8129999999999</v>
      </c>
      <c r="Y41" s="79">
        <f t="shared" si="4"/>
        <v>17206.316999999999</v>
      </c>
      <c r="Z41" s="84">
        <f t="shared" si="5"/>
        <v>0</v>
      </c>
      <c r="AA41" s="83">
        <f t="shared" si="6"/>
        <v>24.744799999999998</v>
      </c>
      <c r="AB41" s="79">
        <f t="shared" si="7"/>
        <v>19142.874799999998</v>
      </c>
      <c r="AC41" s="153"/>
      <c r="AD41" s="85">
        <f t="shared" si="8"/>
        <v>-17206.316999999999</v>
      </c>
      <c r="AE41" s="153"/>
      <c r="AF41" s="153"/>
      <c r="AG41" s="85">
        <f t="shared" si="9"/>
        <v>0</v>
      </c>
      <c r="AH41" s="86">
        <v>2782513943</v>
      </c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</row>
    <row r="42" spans="1:45" x14ac:dyDescent="0.25">
      <c r="A42" s="155" t="s">
        <v>229</v>
      </c>
      <c r="B42" s="155" t="s">
        <v>92</v>
      </c>
      <c r="C42" s="155" t="s">
        <v>253</v>
      </c>
      <c r="D42" s="157"/>
      <c r="E42" s="157"/>
      <c r="F42" s="155" t="s">
        <v>151</v>
      </c>
      <c r="G42" s="157" t="s">
        <v>206</v>
      </c>
      <c r="H42" s="157"/>
      <c r="I42" s="158"/>
      <c r="J42" s="157"/>
      <c r="K42" s="158">
        <f t="shared" si="0"/>
        <v>0</v>
      </c>
      <c r="L42" s="158"/>
      <c r="M42" s="158"/>
      <c r="N42" s="158"/>
      <c r="O42" s="158"/>
      <c r="P42" s="159">
        <f t="shared" si="1"/>
        <v>0</v>
      </c>
      <c r="Q42" s="158"/>
      <c r="R42" s="160"/>
      <c r="S42" s="160"/>
      <c r="T42" s="160"/>
      <c r="U42" s="161"/>
      <c r="V42" s="155">
        <v>0</v>
      </c>
      <c r="W42" s="159">
        <f t="shared" si="2"/>
        <v>0</v>
      </c>
      <c r="X42" s="160">
        <f t="shared" si="3"/>
        <v>0</v>
      </c>
      <c r="Y42" s="159">
        <f t="shared" si="4"/>
        <v>0</v>
      </c>
      <c r="Z42" s="160">
        <f t="shared" si="5"/>
        <v>0</v>
      </c>
      <c r="AA42" s="160">
        <f t="shared" si="6"/>
        <v>0</v>
      </c>
      <c r="AB42" s="159">
        <f t="shared" si="7"/>
        <v>0</v>
      </c>
      <c r="AC42" s="162"/>
      <c r="AD42" s="163">
        <f t="shared" si="8"/>
        <v>0</v>
      </c>
      <c r="AE42" s="162"/>
      <c r="AF42" s="162"/>
      <c r="AG42" s="163">
        <f t="shared" si="9"/>
        <v>0</v>
      </c>
      <c r="AH42" s="164">
        <v>2903180794</v>
      </c>
      <c r="AI42" s="164"/>
      <c r="AJ42" s="86"/>
      <c r="AK42" s="86"/>
      <c r="AL42" s="86"/>
      <c r="AM42" s="86"/>
      <c r="AN42" s="86"/>
      <c r="AO42" s="86"/>
      <c r="AP42" s="86"/>
      <c r="AQ42" s="86"/>
      <c r="AR42" s="86"/>
      <c r="AS42" s="86"/>
    </row>
    <row r="43" spans="1:45" x14ac:dyDescent="0.25">
      <c r="A43" s="73" t="s">
        <v>203</v>
      </c>
      <c r="B43" s="73" t="s">
        <v>94</v>
      </c>
      <c r="C43" s="73" t="s">
        <v>254</v>
      </c>
      <c r="D43" s="74"/>
      <c r="E43" s="74"/>
      <c r="F43" s="73" t="s">
        <v>134</v>
      </c>
      <c r="G43" s="87" t="s">
        <v>255</v>
      </c>
      <c r="H43" s="87"/>
      <c r="I43" s="76">
        <v>1237.2399999999998</v>
      </c>
      <c r="J43" s="87">
        <f>1612.76+400</f>
        <v>2012.76</v>
      </c>
      <c r="K43" s="76">
        <f t="shared" si="0"/>
        <v>3250</v>
      </c>
      <c r="L43" s="76"/>
      <c r="M43" s="77"/>
      <c r="N43" s="77"/>
      <c r="O43" s="78">
        <v>45.15</v>
      </c>
      <c r="P43" s="79">
        <f t="shared" si="1"/>
        <v>3204.85</v>
      </c>
      <c r="Q43" s="80"/>
      <c r="R43" s="81"/>
      <c r="S43" s="81"/>
      <c r="T43" s="81"/>
      <c r="U43" s="82"/>
      <c r="V43" s="73">
        <v>0</v>
      </c>
      <c r="W43" s="79">
        <f t="shared" si="2"/>
        <v>3204.85</v>
      </c>
      <c r="X43" s="83">
        <f t="shared" si="3"/>
        <v>0</v>
      </c>
      <c r="Y43" s="79">
        <f t="shared" si="4"/>
        <v>3204.85</v>
      </c>
      <c r="Z43" s="84">
        <f t="shared" si="5"/>
        <v>320.48500000000001</v>
      </c>
      <c r="AA43" s="83">
        <f t="shared" si="6"/>
        <v>24.744799999999998</v>
      </c>
      <c r="AB43" s="79">
        <f t="shared" si="7"/>
        <v>3550.0798</v>
      </c>
      <c r="AC43" s="153"/>
      <c r="AD43" s="85">
        <f t="shared" si="8"/>
        <v>-3204.85</v>
      </c>
      <c r="AE43" s="153"/>
      <c r="AF43" s="153"/>
      <c r="AG43" s="85">
        <f t="shared" si="9"/>
        <v>0</v>
      </c>
      <c r="AH43" s="86">
        <v>2631133012</v>
      </c>
      <c r="AI43" s="72"/>
      <c r="AJ43" s="86"/>
      <c r="AK43" s="86"/>
      <c r="AL43" s="86"/>
      <c r="AM43" s="86"/>
      <c r="AN43" s="86"/>
      <c r="AO43" s="86"/>
      <c r="AP43" s="86"/>
      <c r="AQ43" s="86"/>
      <c r="AR43" s="86"/>
      <c r="AS43" s="86"/>
    </row>
    <row r="44" spans="1:45" x14ac:dyDescent="0.25">
      <c r="A44" s="73" t="s">
        <v>229</v>
      </c>
      <c r="B44" s="73" t="s">
        <v>96</v>
      </c>
      <c r="C44" s="73" t="s">
        <v>256</v>
      </c>
      <c r="D44" s="87"/>
      <c r="E44" s="87"/>
      <c r="F44" s="73" t="s">
        <v>257</v>
      </c>
      <c r="G44" s="87" t="s">
        <v>206</v>
      </c>
      <c r="H44" s="75"/>
      <c r="I44" s="76">
        <v>1237.2399999999998</v>
      </c>
      <c r="J44" s="75">
        <v>1912.7600000000002</v>
      </c>
      <c r="K44" s="76">
        <f t="shared" si="0"/>
        <v>3150</v>
      </c>
      <c r="L44" s="76"/>
      <c r="M44" s="77"/>
      <c r="N44" s="77"/>
      <c r="O44" s="78">
        <v>45.15</v>
      </c>
      <c r="P44" s="79">
        <f t="shared" si="1"/>
        <v>3104.85</v>
      </c>
      <c r="Q44" s="80"/>
      <c r="R44" s="81"/>
      <c r="S44" s="81"/>
      <c r="T44" s="81"/>
      <c r="U44" s="82"/>
      <c r="V44" s="73">
        <v>0</v>
      </c>
      <c r="W44" s="79">
        <f t="shared" si="2"/>
        <v>3104.85</v>
      </c>
      <c r="X44" s="83">
        <f t="shared" si="3"/>
        <v>0</v>
      </c>
      <c r="Y44" s="79">
        <f t="shared" si="4"/>
        <v>3104.85</v>
      </c>
      <c r="Z44" s="84">
        <f t="shared" si="5"/>
        <v>310.48500000000001</v>
      </c>
      <c r="AA44" s="83">
        <f t="shared" si="6"/>
        <v>24.744799999999998</v>
      </c>
      <c r="AB44" s="79">
        <f t="shared" si="7"/>
        <v>3440.0798</v>
      </c>
      <c r="AC44" s="153"/>
      <c r="AD44" s="85">
        <f t="shared" si="8"/>
        <v>-3104.85</v>
      </c>
      <c r="AE44" s="153"/>
      <c r="AF44" s="153"/>
      <c r="AG44" s="85">
        <f t="shared" si="9"/>
        <v>0</v>
      </c>
      <c r="AH44" s="86">
        <v>2948414130</v>
      </c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</row>
    <row r="45" spans="1:45" x14ac:dyDescent="0.25">
      <c r="A45" s="73" t="s">
        <v>218</v>
      </c>
      <c r="B45" s="73" t="s">
        <v>258</v>
      </c>
      <c r="C45" s="73" t="s">
        <v>259</v>
      </c>
      <c r="D45" s="74"/>
      <c r="E45" s="74"/>
      <c r="F45" s="73" t="s">
        <v>144</v>
      </c>
      <c r="G45" s="75"/>
      <c r="H45" s="75"/>
      <c r="I45" s="76">
        <v>1237.2399999999998</v>
      </c>
      <c r="J45" s="75">
        <v>2512.7600000000002</v>
      </c>
      <c r="K45" s="76">
        <f t="shared" si="0"/>
        <v>3750</v>
      </c>
      <c r="L45" s="76">
        <v>6813.74</v>
      </c>
      <c r="M45" s="77"/>
      <c r="N45" s="77"/>
      <c r="O45" s="78">
        <v>45.15</v>
      </c>
      <c r="P45" s="79">
        <f t="shared" si="1"/>
        <v>10518.59</v>
      </c>
      <c r="Q45" s="80"/>
      <c r="R45" s="81"/>
      <c r="S45" s="81"/>
      <c r="T45" s="81"/>
      <c r="U45" s="82"/>
      <c r="V45" s="73">
        <v>395.88</v>
      </c>
      <c r="W45" s="79">
        <f t="shared" si="2"/>
        <v>10122.710000000001</v>
      </c>
      <c r="X45" s="83">
        <f t="shared" si="3"/>
        <v>1051.8590000000002</v>
      </c>
      <c r="Y45" s="79">
        <f t="shared" si="4"/>
        <v>9070.8510000000006</v>
      </c>
      <c r="Z45" s="84">
        <f t="shared" si="5"/>
        <v>0</v>
      </c>
      <c r="AA45" s="83">
        <f t="shared" si="6"/>
        <v>24.744799999999998</v>
      </c>
      <c r="AB45" s="79">
        <f t="shared" si="7"/>
        <v>10543.334800000001</v>
      </c>
      <c r="AC45" s="153"/>
      <c r="AD45" s="85">
        <f t="shared" si="8"/>
        <v>-9070.8510000000006</v>
      </c>
      <c r="AE45" s="153"/>
      <c r="AF45" s="153"/>
      <c r="AG45" s="85">
        <f t="shared" si="9"/>
        <v>0</v>
      </c>
      <c r="AH45" s="86">
        <v>2934137264</v>
      </c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</row>
    <row r="46" spans="1:45" x14ac:dyDescent="0.25">
      <c r="A46" s="73" t="s">
        <v>260</v>
      </c>
      <c r="B46" s="73" t="s">
        <v>261</v>
      </c>
      <c r="C46" s="73" t="s">
        <v>364</v>
      </c>
      <c r="D46" s="74"/>
      <c r="E46" s="74"/>
      <c r="F46" s="73" t="s">
        <v>262</v>
      </c>
      <c r="G46" s="87"/>
      <c r="H46" s="87"/>
      <c r="I46" s="76">
        <v>1237.2399999999998</v>
      </c>
      <c r="J46" s="87">
        <v>1262.7600000000002</v>
      </c>
      <c r="K46" s="76">
        <f t="shared" si="0"/>
        <v>2500</v>
      </c>
      <c r="L46" s="76">
        <v>13399.04</v>
      </c>
      <c r="M46" s="76"/>
      <c r="N46" s="76"/>
      <c r="O46" s="78">
        <v>45.15</v>
      </c>
      <c r="P46" s="79">
        <f t="shared" si="1"/>
        <v>15853.890000000001</v>
      </c>
      <c r="Q46" s="80"/>
      <c r="R46" s="81"/>
      <c r="S46" s="81"/>
      <c r="T46" s="81"/>
      <c r="U46" s="82"/>
      <c r="V46" s="73">
        <v>0</v>
      </c>
      <c r="W46" s="79">
        <f t="shared" si="2"/>
        <v>15853.890000000001</v>
      </c>
      <c r="X46" s="83">
        <f t="shared" si="3"/>
        <v>1585.3890000000001</v>
      </c>
      <c r="Y46" s="79">
        <f t="shared" si="4"/>
        <v>14268.501</v>
      </c>
      <c r="Z46" s="84">
        <f t="shared" si="5"/>
        <v>0</v>
      </c>
      <c r="AA46" s="83">
        <f t="shared" si="6"/>
        <v>24.744799999999998</v>
      </c>
      <c r="AB46" s="79">
        <f t="shared" si="7"/>
        <v>15878.634800000002</v>
      </c>
      <c r="AC46" s="153"/>
      <c r="AD46" s="85">
        <f t="shared" si="8"/>
        <v>-14268.501</v>
      </c>
      <c r="AE46" s="153"/>
      <c r="AF46" s="153"/>
      <c r="AG46" s="85">
        <f t="shared" si="9"/>
        <v>0</v>
      </c>
      <c r="AH46" s="86">
        <v>2912923548</v>
      </c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</row>
    <row r="47" spans="1:45" x14ac:dyDescent="0.25">
      <c r="A47" s="73" t="s">
        <v>229</v>
      </c>
      <c r="B47" s="73" t="s">
        <v>102</v>
      </c>
      <c r="C47" s="73" t="s">
        <v>263</v>
      </c>
      <c r="D47" s="87"/>
      <c r="E47" s="87"/>
      <c r="F47" s="73" t="s">
        <v>264</v>
      </c>
      <c r="G47" s="75" t="s">
        <v>206</v>
      </c>
      <c r="H47" s="75"/>
      <c r="I47" s="76">
        <v>1237.2399999999998</v>
      </c>
      <c r="J47" s="75">
        <v>1762.7600000000002</v>
      </c>
      <c r="K47" s="76">
        <f t="shared" si="0"/>
        <v>3000</v>
      </c>
      <c r="L47" s="76"/>
      <c r="M47" s="77"/>
      <c r="N47" s="77"/>
      <c r="O47" s="78">
        <v>45.15</v>
      </c>
      <c r="P47" s="79">
        <f t="shared" si="1"/>
        <v>2954.85</v>
      </c>
      <c r="Q47" s="80"/>
      <c r="R47" s="81"/>
      <c r="S47" s="81"/>
      <c r="T47" s="81"/>
      <c r="U47" s="82"/>
      <c r="V47" s="73">
        <v>0</v>
      </c>
      <c r="W47" s="79">
        <f t="shared" si="2"/>
        <v>2954.85</v>
      </c>
      <c r="X47" s="83">
        <f t="shared" si="3"/>
        <v>0</v>
      </c>
      <c r="Y47" s="79">
        <f t="shared" si="4"/>
        <v>2954.85</v>
      </c>
      <c r="Z47" s="84">
        <f t="shared" si="5"/>
        <v>295.48500000000001</v>
      </c>
      <c r="AA47" s="83">
        <f t="shared" si="6"/>
        <v>24.744799999999998</v>
      </c>
      <c r="AB47" s="79">
        <f t="shared" si="7"/>
        <v>3275.0798</v>
      </c>
      <c r="AC47" s="153"/>
      <c r="AD47" s="85">
        <f t="shared" si="8"/>
        <v>-2954.85</v>
      </c>
      <c r="AE47" s="153"/>
      <c r="AF47" s="153"/>
      <c r="AG47" s="85">
        <f t="shared" si="9"/>
        <v>0</v>
      </c>
      <c r="AH47" s="86">
        <v>2985396239</v>
      </c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</row>
    <row r="48" spans="1:45" x14ac:dyDescent="0.25">
      <c r="A48" s="73" t="s">
        <v>221</v>
      </c>
      <c r="B48" s="73" t="s">
        <v>104</v>
      </c>
      <c r="C48" s="73" t="s">
        <v>265</v>
      </c>
      <c r="D48" s="74"/>
      <c r="E48" s="74"/>
      <c r="F48" s="73" t="s">
        <v>136</v>
      </c>
      <c r="G48" s="87"/>
      <c r="H48" s="87"/>
      <c r="I48" s="76">
        <v>1237.2399999999998</v>
      </c>
      <c r="J48" s="87">
        <v>3262.76</v>
      </c>
      <c r="K48" s="76">
        <f t="shared" si="0"/>
        <v>4500</v>
      </c>
      <c r="L48" s="76">
        <v>2500</v>
      </c>
      <c r="M48" s="76"/>
      <c r="N48" s="76"/>
      <c r="O48" s="78">
        <v>45.15</v>
      </c>
      <c r="P48" s="79">
        <f t="shared" si="1"/>
        <v>6954.85</v>
      </c>
      <c r="Q48" s="80"/>
      <c r="R48" s="81"/>
      <c r="S48" s="81"/>
      <c r="T48" s="81"/>
      <c r="U48" s="82"/>
      <c r="V48" s="73">
        <v>0</v>
      </c>
      <c r="W48" s="79">
        <f t="shared" si="2"/>
        <v>6954.85</v>
      </c>
      <c r="X48" s="83">
        <f t="shared" si="3"/>
        <v>695.48500000000013</v>
      </c>
      <c r="Y48" s="79">
        <f t="shared" si="4"/>
        <v>6259.3649999999998</v>
      </c>
      <c r="Z48" s="84">
        <f t="shared" si="5"/>
        <v>0</v>
      </c>
      <c r="AA48" s="83">
        <f t="shared" si="6"/>
        <v>24.744799999999998</v>
      </c>
      <c r="AB48" s="79">
        <f t="shared" si="7"/>
        <v>6979.5948000000008</v>
      </c>
      <c r="AC48" s="153"/>
      <c r="AD48" s="85">
        <f t="shared" si="8"/>
        <v>-6259.3649999999998</v>
      </c>
      <c r="AE48" s="153"/>
      <c r="AF48" s="153"/>
      <c r="AG48" s="85">
        <f t="shared" si="9"/>
        <v>0</v>
      </c>
      <c r="AH48" s="86">
        <v>2893013472</v>
      </c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</row>
    <row r="49" spans="1:45" x14ac:dyDescent="0.25">
      <c r="A49" s="73" t="s">
        <v>203</v>
      </c>
      <c r="B49" s="73" t="s">
        <v>106</v>
      </c>
      <c r="C49" s="73" t="s">
        <v>266</v>
      </c>
      <c r="D49" s="74"/>
      <c r="E49" s="74"/>
      <c r="F49" s="73" t="s">
        <v>267</v>
      </c>
      <c r="G49" s="87" t="s">
        <v>268</v>
      </c>
      <c r="H49" s="87"/>
      <c r="I49" s="76">
        <v>1237.2399999999998</v>
      </c>
      <c r="J49" s="87">
        <f>1612.76+150</f>
        <v>1762.76</v>
      </c>
      <c r="K49" s="76">
        <f t="shared" si="0"/>
        <v>3000</v>
      </c>
      <c r="L49" s="76"/>
      <c r="M49" s="76"/>
      <c r="N49" s="76"/>
      <c r="O49" s="78">
        <v>45.15</v>
      </c>
      <c r="P49" s="79">
        <f t="shared" si="1"/>
        <v>2954.85</v>
      </c>
      <c r="Q49" s="80"/>
      <c r="R49" s="81"/>
      <c r="S49" s="81"/>
      <c r="T49" s="81"/>
      <c r="U49" s="82"/>
      <c r="V49" s="73">
        <v>0</v>
      </c>
      <c r="W49" s="79">
        <f t="shared" si="2"/>
        <v>2954.85</v>
      </c>
      <c r="X49" s="83">
        <f t="shared" si="3"/>
        <v>0</v>
      </c>
      <c r="Y49" s="79">
        <f t="shared" si="4"/>
        <v>2954.85</v>
      </c>
      <c r="Z49" s="84">
        <f t="shared" si="5"/>
        <v>295.48500000000001</v>
      </c>
      <c r="AA49" s="83">
        <f t="shared" si="6"/>
        <v>24.744799999999998</v>
      </c>
      <c r="AB49" s="79">
        <f t="shared" si="7"/>
        <v>3275.0798</v>
      </c>
      <c r="AC49" s="153"/>
      <c r="AD49" s="85">
        <f t="shared" si="8"/>
        <v>-2954.85</v>
      </c>
      <c r="AE49" s="153"/>
      <c r="AF49" s="153"/>
      <c r="AG49" s="85">
        <f t="shared" si="9"/>
        <v>0</v>
      </c>
      <c r="AH49" s="86">
        <v>2836126510</v>
      </c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</row>
    <row r="50" spans="1:45" x14ac:dyDescent="0.25">
      <c r="A50" s="73" t="s">
        <v>229</v>
      </c>
      <c r="B50" s="73" t="s">
        <v>108</v>
      </c>
      <c r="C50" s="73" t="s">
        <v>269</v>
      </c>
      <c r="D50" s="74"/>
      <c r="E50" s="74"/>
      <c r="F50" s="73" t="s">
        <v>215</v>
      </c>
      <c r="G50" s="87"/>
      <c r="H50" s="87"/>
      <c r="I50" s="76">
        <v>1237.2399999999998</v>
      </c>
      <c r="J50" s="87">
        <v>3262.76</v>
      </c>
      <c r="K50" s="76">
        <f t="shared" si="0"/>
        <v>4500</v>
      </c>
      <c r="L50" s="76">
        <v>3700</v>
      </c>
      <c r="M50" s="76"/>
      <c r="N50" s="76"/>
      <c r="O50" s="78">
        <v>45.15</v>
      </c>
      <c r="P50" s="79">
        <f t="shared" si="1"/>
        <v>8154.85</v>
      </c>
      <c r="Q50" s="80"/>
      <c r="R50" s="81"/>
      <c r="S50" s="81"/>
      <c r="T50" s="81"/>
      <c r="U50" s="82"/>
      <c r="V50" s="73">
        <v>0</v>
      </c>
      <c r="W50" s="79">
        <f t="shared" si="2"/>
        <v>8154.85</v>
      </c>
      <c r="X50" s="83">
        <f t="shared" si="3"/>
        <v>815.48500000000013</v>
      </c>
      <c r="Y50" s="79">
        <f t="shared" si="4"/>
        <v>7339.3649999999998</v>
      </c>
      <c r="Z50" s="84">
        <f t="shared" si="5"/>
        <v>0</v>
      </c>
      <c r="AA50" s="83">
        <f t="shared" si="6"/>
        <v>24.744799999999998</v>
      </c>
      <c r="AB50" s="79">
        <f t="shared" si="7"/>
        <v>8179.5948000000008</v>
      </c>
      <c r="AC50" s="153"/>
      <c r="AD50" s="85">
        <f t="shared" si="8"/>
        <v>-7339.3649999999998</v>
      </c>
      <c r="AE50" s="153"/>
      <c r="AF50" s="153"/>
      <c r="AG50" s="85">
        <f t="shared" si="9"/>
        <v>0</v>
      </c>
      <c r="AH50" s="86">
        <v>2894923057</v>
      </c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</row>
    <row r="51" spans="1:45" x14ac:dyDescent="0.25">
      <c r="A51" s="73" t="s">
        <v>207</v>
      </c>
      <c r="B51" s="73" t="s">
        <v>365</v>
      </c>
      <c r="C51" s="73" t="s">
        <v>366</v>
      </c>
      <c r="D51" s="74"/>
      <c r="E51" s="74"/>
      <c r="F51" s="73" t="s">
        <v>367</v>
      </c>
      <c r="G51" s="87" t="s">
        <v>206</v>
      </c>
      <c r="H51" s="87"/>
      <c r="I51" s="76">
        <v>1237.2399999999998</v>
      </c>
      <c r="J51" s="87">
        <v>4762.76</v>
      </c>
      <c r="K51" s="76">
        <f>+I51+J51</f>
        <v>6000</v>
      </c>
      <c r="L51" s="76"/>
      <c r="M51" s="76"/>
      <c r="N51" s="76"/>
      <c r="O51" s="78">
        <v>45.15</v>
      </c>
      <c r="P51" s="79">
        <f t="shared" si="1"/>
        <v>5954.85</v>
      </c>
      <c r="Q51" s="80"/>
      <c r="R51" s="81"/>
      <c r="S51" s="81"/>
      <c r="T51" s="81"/>
      <c r="U51" s="82"/>
      <c r="V51" s="82">
        <v>1014.46</v>
      </c>
      <c r="W51" s="79">
        <f t="shared" si="2"/>
        <v>4940.3900000000003</v>
      </c>
      <c r="X51" s="83">
        <f>IF(P51&gt;4500,P51*0.1,0)</f>
        <v>595.48500000000001</v>
      </c>
      <c r="Y51" s="79">
        <f>+W51-X51</f>
        <v>4344.9050000000007</v>
      </c>
      <c r="Z51" s="84">
        <f>IF(P51&lt;4500,P51*0.1,0)</f>
        <v>0</v>
      </c>
      <c r="AA51" s="83">
        <f>I51*0.02</f>
        <v>24.744799999999998</v>
      </c>
      <c r="AB51" s="79">
        <f>+P51+Z51+AA51</f>
        <v>5979.5948000000008</v>
      </c>
      <c r="AC51" s="153"/>
      <c r="AD51" s="85">
        <f t="shared" si="8"/>
        <v>-4344.9050000000007</v>
      </c>
      <c r="AE51" s="153"/>
      <c r="AF51" s="153"/>
      <c r="AG51" s="85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</row>
    <row r="52" spans="1:45" x14ac:dyDescent="0.25">
      <c r="A52" s="73" t="s">
        <v>203</v>
      </c>
      <c r="B52" s="73" t="s">
        <v>110</v>
      </c>
      <c r="C52" s="73" t="s">
        <v>270</v>
      </c>
      <c r="D52" s="74"/>
      <c r="E52" s="74"/>
      <c r="F52" s="73" t="s">
        <v>132</v>
      </c>
      <c r="G52" s="87" t="s">
        <v>206</v>
      </c>
      <c r="H52" s="87"/>
      <c r="I52" s="76">
        <v>1237.2399999999998</v>
      </c>
      <c r="J52" s="87">
        <v>2762.76</v>
      </c>
      <c r="K52" s="76">
        <f t="shared" si="0"/>
        <v>4000</v>
      </c>
      <c r="L52" s="76"/>
      <c r="M52" s="76"/>
      <c r="N52" s="76"/>
      <c r="O52" s="78">
        <v>45.15</v>
      </c>
      <c r="P52" s="79">
        <f t="shared" si="1"/>
        <v>3954.85</v>
      </c>
      <c r="Q52" s="80"/>
      <c r="R52" s="81"/>
      <c r="S52" s="81"/>
      <c r="T52" s="81"/>
      <c r="U52" s="82"/>
      <c r="V52" s="88">
        <v>1303.1099999999999</v>
      </c>
      <c r="W52" s="79">
        <f t="shared" si="2"/>
        <v>2651.74</v>
      </c>
      <c r="X52" s="83">
        <f t="shared" si="3"/>
        <v>0</v>
      </c>
      <c r="Y52" s="79">
        <f t="shared" si="4"/>
        <v>2651.74</v>
      </c>
      <c r="Z52" s="84">
        <f t="shared" si="5"/>
        <v>395.48500000000001</v>
      </c>
      <c r="AA52" s="83">
        <f t="shared" si="6"/>
        <v>24.744799999999998</v>
      </c>
      <c r="AB52" s="79">
        <f t="shared" si="7"/>
        <v>4375.0798000000004</v>
      </c>
      <c r="AC52" s="153"/>
      <c r="AD52" s="85">
        <f t="shared" si="8"/>
        <v>-2651.74</v>
      </c>
      <c r="AE52" s="153"/>
      <c r="AF52" s="153"/>
      <c r="AG52" s="85">
        <f t="shared" si="9"/>
        <v>0</v>
      </c>
      <c r="AH52" s="86">
        <v>2914530241</v>
      </c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</row>
    <row r="53" spans="1:45" x14ac:dyDescent="0.25">
      <c r="A53" s="73" t="s">
        <v>229</v>
      </c>
      <c r="B53" s="73" t="s">
        <v>112</v>
      </c>
      <c r="C53" s="73" t="s">
        <v>271</v>
      </c>
      <c r="D53" s="74"/>
      <c r="E53" s="74"/>
      <c r="F53" s="73" t="s">
        <v>238</v>
      </c>
      <c r="G53" s="75"/>
      <c r="H53" s="75"/>
      <c r="I53" s="76">
        <v>1237.2399999999998</v>
      </c>
      <c r="J53" s="75">
        <v>2012.7600000000002</v>
      </c>
      <c r="K53" s="76">
        <f t="shared" si="0"/>
        <v>3250</v>
      </c>
      <c r="L53" s="76">
        <v>4171</v>
      </c>
      <c r="M53" s="77"/>
      <c r="N53" s="77"/>
      <c r="O53" s="78">
        <v>45.15</v>
      </c>
      <c r="P53" s="79">
        <f t="shared" si="1"/>
        <v>7375.85</v>
      </c>
      <c r="Q53" s="80"/>
      <c r="R53" s="81"/>
      <c r="S53" s="81"/>
      <c r="T53" s="81"/>
      <c r="U53" s="82"/>
      <c r="V53" s="88">
        <v>1041.05</v>
      </c>
      <c r="W53" s="79">
        <f t="shared" si="2"/>
        <v>6334.8</v>
      </c>
      <c r="X53" s="83">
        <f t="shared" si="3"/>
        <v>737.58500000000004</v>
      </c>
      <c r="Y53" s="79">
        <f t="shared" si="4"/>
        <v>5597.2150000000001</v>
      </c>
      <c r="Z53" s="84">
        <f t="shared" si="5"/>
        <v>0</v>
      </c>
      <c r="AA53" s="83">
        <f t="shared" si="6"/>
        <v>24.744799999999998</v>
      </c>
      <c r="AB53" s="79">
        <f t="shared" si="7"/>
        <v>7400.5948000000008</v>
      </c>
      <c r="AC53" s="153"/>
      <c r="AD53" s="85">
        <f t="shared" si="8"/>
        <v>-5597.2150000000001</v>
      </c>
      <c r="AE53" s="153"/>
      <c r="AF53" s="153"/>
      <c r="AG53" s="85">
        <f t="shared" si="9"/>
        <v>0</v>
      </c>
      <c r="AH53" s="86">
        <v>1413691810</v>
      </c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</row>
    <row r="54" spans="1:45" x14ac:dyDescent="0.25">
      <c r="A54" s="73" t="s">
        <v>218</v>
      </c>
      <c r="B54" s="73" t="s">
        <v>272</v>
      </c>
      <c r="C54" s="73" t="s">
        <v>273</v>
      </c>
      <c r="D54" s="74"/>
      <c r="E54" s="74"/>
      <c r="F54" s="73" t="s">
        <v>146</v>
      </c>
      <c r="G54" s="75"/>
      <c r="H54" s="75"/>
      <c r="I54" s="76">
        <v>1237.2399999999998</v>
      </c>
      <c r="J54" s="75">
        <v>1262.7600000000002</v>
      </c>
      <c r="K54" s="76">
        <f t="shared" si="0"/>
        <v>2500</v>
      </c>
      <c r="L54" s="76">
        <f>920+500</f>
        <v>1420</v>
      </c>
      <c r="M54" s="77"/>
      <c r="N54" s="77"/>
      <c r="O54" s="78">
        <v>45.15</v>
      </c>
      <c r="P54" s="79">
        <f t="shared" si="1"/>
        <v>3874.85</v>
      </c>
      <c r="Q54" s="80"/>
      <c r="R54" s="81"/>
      <c r="S54" s="81"/>
      <c r="T54" s="81"/>
      <c r="U54" s="82"/>
      <c r="V54" s="73">
        <v>0</v>
      </c>
      <c r="W54" s="79">
        <f t="shared" si="2"/>
        <v>3874.85</v>
      </c>
      <c r="X54" s="83">
        <f t="shared" si="3"/>
        <v>0</v>
      </c>
      <c r="Y54" s="79">
        <f t="shared" si="4"/>
        <v>3874.85</v>
      </c>
      <c r="Z54" s="84">
        <f t="shared" si="5"/>
        <v>387.48500000000001</v>
      </c>
      <c r="AA54" s="83">
        <f t="shared" si="6"/>
        <v>24.744799999999998</v>
      </c>
      <c r="AB54" s="79">
        <f t="shared" si="7"/>
        <v>4287.0798000000004</v>
      </c>
      <c r="AC54" s="153"/>
      <c r="AD54" s="85">
        <f t="shared" si="8"/>
        <v>-3874.85</v>
      </c>
      <c r="AE54" s="153"/>
      <c r="AF54" s="153"/>
      <c r="AG54" s="85">
        <f t="shared" si="9"/>
        <v>0</v>
      </c>
      <c r="AH54" s="86">
        <v>2965106850</v>
      </c>
      <c r="AI54" s="86"/>
      <c r="AJ54" s="85"/>
      <c r="AK54" s="86"/>
      <c r="AL54" s="86"/>
      <c r="AM54" s="86"/>
      <c r="AN54" s="86"/>
      <c r="AO54" s="86"/>
      <c r="AP54" s="86"/>
      <c r="AQ54" s="86"/>
      <c r="AR54" s="86"/>
      <c r="AS54" s="86"/>
    </row>
    <row r="55" spans="1:45" x14ac:dyDescent="0.25">
      <c r="A55" s="73" t="s">
        <v>200</v>
      </c>
      <c r="B55" s="73" t="s">
        <v>116</v>
      </c>
      <c r="C55" s="73" t="s">
        <v>368</v>
      </c>
      <c r="D55" s="74"/>
      <c r="E55" s="74"/>
      <c r="F55" s="73" t="s">
        <v>215</v>
      </c>
      <c r="G55" s="87"/>
      <c r="H55" s="87"/>
      <c r="I55" s="76">
        <v>1237.2399999999998</v>
      </c>
      <c r="J55" s="87">
        <v>2262.7600000000002</v>
      </c>
      <c r="K55" s="76">
        <f t="shared" si="0"/>
        <v>3500</v>
      </c>
      <c r="L55" s="76">
        <v>9500</v>
      </c>
      <c r="M55" s="76"/>
      <c r="N55" s="76"/>
      <c r="O55" s="78">
        <v>45.15</v>
      </c>
      <c r="P55" s="79">
        <f t="shared" si="1"/>
        <v>12954.85</v>
      </c>
      <c r="Q55" s="80"/>
      <c r="R55" s="81"/>
      <c r="S55" s="81"/>
      <c r="T55" s="81"/>
      <c r="U55" s="82"/>
      <c r="V55" s="73">
        <v>462.61</v>
      </c>
      <c r="W55" s="79">
        <f t="shared" si="2"/>
        <v>12492.24</v>
      </c>
      <c r="X55" s="83">
        <f t="shared" si="3"/>
        <v>1295.4850000000001</v>
      </c>
      <c r="Y55" s="79">
        <f t="shared" si="4"/>
        <v>11196.754999999999</v>
      </c>
      <c r="Z55" s="84">
        <f t="shared" si="5"/>
        <v>0</v>
      </c>
      <c r="AA55" s="83">
        <f t="shared" si="6"/>
        <v>24.744799999999998</v>
      </c>
      <c r="AB55" s="79">
        <f t="shared" si="7"/>
        <v>12979.594800000001</v>
      </c>
      <c r="AC55" s="153"/>
      <c r="AD55" s="85">
        <f t="shared" si="8"/>
        <v>-11196.754999999999</v>
      </c>
      <c r="AE55" s="153"/>
      <c r="AF55" s="153"/>
      <c r="AG55" s="85">
        <f t="shared" si="9"/>
        <v>0</v>
      </c>
      <c r="AH55" s="86">
        <v>2729733183</v>
      </c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</row>
    <row r="56" spans="1:45" x14ac:dyDescent="0.25">
      <c r="A56" s="73" t="s">
        <v>229</v>
      </c>
      <c r="B56" s="73" t="s">
        <v>274</v>
      </c>
      <c r="C56" s="73" t="s">
        <v>275</v>
      </c>
      <c r="D56" s="87"/>
      <c r="E56" s="87"/>
      <c r="F56" s="73" t="s">
        <v>276</v>
      </c>
      <c r="G56" s="87" t="s">
        <v>206</v>
      </c>
      <c r="H56" s="87"/>
      <c r="I56" s="76">
        <v>1237.2399999999998</v>
      </c>
      <c r="J56" s="87">
        <v>1562.7600000000002</v>
      </c>
      <c r="K56" s="76">
        <f t="shared" si="0"/>
        <v>2800</v>
      </c>
      <c r="L56" s="76"/>
      <c r="M56" s="76"/>
      <c r="N56" s="76"/>
      <c r="O56" s="78">
        <v>45.15</v>
      </c>
      <c r="P56" s="79">
        <f t="shared" si="1"/>
        <v>2754.85</v>
      </c>
      <c r="Q56" s="80"/>
      <c r="R56" s="81"/>
      <c r="S56" s="81"/>
      <c r="T56" s="81"/>
      <c r="U56" s="82"/>
      <c r="V56" s="73">
        <v>0</v>
      </c>
      <c r="W56" s="79">
        <f t="shared" si="2"/>
        <v>2754.85</v>
      </c>
      <c r="X56" s="83">
        <f t="shared" si="3"/>
        <v>0</v>
      </c>
      <c r="Y56" s="79">
        <f t="shared" si="4"/>
        <v>2754.85</v>
      </c>
      <c r="Z56" s="84">
        <f t="shared" si="5"/>
        <v>275.48500000000001</v>
      </c>
      <c r="AA56" s="83">
        <f t="shared" si="6"/>
        <v>24.744799999999998</v>
      </c>
      <c r="AB56" s="79">
        <f t="shared" si="7"/>
        <v>3055.0798</v>
      </c>
      <c r="AC56" s="153"/>
      <c r="AD56" s="85">
        <f t="shared" si="8"/>
        <v>-2754.85</v>
      </c>
      <c r="AE56" s="153"/>
      <c r="AF56" s="153"/>
      <c r="AG56" s="85">
        <f t="shared" si="9"/>
        <v>0</v>
      </c>
      <c r="AH56" s="86">
        <v>2929389652</v>
      </c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</row>
    <row r="57" spans="1:45" x14ac:dyDescent="0.25">
      <c r="A57" s="73" t="s">
        <v>218</v>
      </c>
      <c r="B57" s="73" t="s">
        <v>120</v>
      </c>
      <c r="C57" s="73" t="s">
        <v>277</v>
      </c>
      <c r="D57" s="74"/>
      <c r="E57" s="74"/>
      <c r="F57" s="73" t="s">
        <v>147</v>
      </c>
      <c r="G57" s="87" t="s">
        <v>206</v>
      </c>
      <c r="H57" s="87"/>
      <c r="I57" s="76">
        <v>1237.2399999999998</v>
      </c>
      <c r="J57" s="87">
        <v>5262.76</v>
      </c>
      <c r="K57" s="76">
        <f t="shared" si="0"/>
        <v>6500</v>
      </c>
      <c r="L57" s="76">
        <v>1000</v>
      </c>
      <c r="M57" s="76"/>
      <c r="N57" s="76"/>
      <c r="O57" s="78">
        <v>45.15</v>
      </c>
      <c r="P57" s="79">
        <f t="shared" si="1"/>
        <v>7454.85</v>
      </c>
      <c r="Q57" s="80"/>
      <c r="R57" s="81"/>
      <c r="S57" s="81"/>
      <c r="T57" s="81"/>
      <c r="U57" s="82"/>
      <c r="V57" s="73">
        <v>0</v>
      </c>
      <c r="W57" s="79">
        <f t="shared" si="2"/>
        <v>7454.85</v>
      </c>
      <c r="X57" s="83">
        <f t="shared" si="3"/>
        <v>745.48500000000013</v>
      </c>
      <c r="Y57" s="79">
        <f t="shared" si="4"/>
        <v>6709.3649999999998</v>
      </c>
      <c r="Z57" s="84">
        <f t="shared" si="5"/>
        <v>0</v>
      </c>
      <c r="AA57" s="83">
        <f t="shared" si="6"/>
        <v>24.744799999999998</v>
      </c>
      <c r="AB57" s="79">
        <f t="shared" si="7"/>
        <v>7479.5948000000008</v>
      </c>
      <c r="AC57" s="153"/>
      <c r="AD57" s="85">
        <f t="shared" si="8"/>
        <v>-6709.3649999999998</v>
      </c>
      <c r="AE57" s="153"/>
      <c r="AF57" s="153"/>
      <c r="AG57" s="85">
        <f t="shared" si="9"/>
        <v>0</v>
      </c>
      <c r="AH57" s="86" t="s">
        <v>278</v>
      </c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</row>
    <row r="58" spans="1:45" x14ac:dyDescent="0.25">
      <c r="A58" s="73" t="s">
        <v>203</v>
      </c>
      <c r="B58" s="73" t="s">
        <v>122</v>
      </c>
      <c r="C58" s="73" t="s">
        <v>279</v>
      </c>
      <c r="D58" s="74"/>
      <c r="E58" s="74"/>
      <c r="F58" s="73" t="s">
        <v>280</v>
      </c>
      <c r="G58" s="75"/>
      <c r="H58" s="75"/>
      <c r="I58" s="76">
        <v>1237.2399999999998</v>
      </c>
      <c r="J58" s="75">
        <v>1762.7600000000002</v>
      </c>
      <c r="K58" s="76">
        <f t="shared" si="0"/>
        <v>3000</v>
      </c>
      <c r="L58" s="76"/>
      <c r="M58" s="77"/>
      <c r="N58" s="77"/>
      <c r="O58" s="78">
        <v>45.15</v>
      </c>
      <c r="P58" s="79">
        <f t="shared" si="1"/>
        <v>2954.85</v>
      </c>
      <c r="Q58" s="80"/>
      <c r="R58" s="81"/>
      <c r="S58" s="81"/>
      <c r="T58" s="81"/>
      <c r="U58" s="82"/>
      <c r="V58" s="73">
        <v>0</v>
      </c>
      <c r="W58" s="79">
        <f t="shared" si="2"/>
        <v>2954.85</v>
      </c>
      <c r="X58" s="83">
        <f t="shared" si="3"/>
        <v>0</v>
      </c>
      <c r="Y58" s="79">
        <f t="shared" si="4"/>
        <v>2954.85</v>
      </c>
      <c r="Z58" s="84">
        <f t="shared" si="5"/>
        <v>295.48500000000001</v>
      </c>
      <c r="AA58" s="83">
        <f t="shared" si="6"/>
        <v>24.744799999999998</v>
      </c>
      <c r="AB58" s="79">
        <f t="shared" si="7"/>
        <v>3275.0798</v>
      </c>
      <c r="AC58" s="153"/>
      <c r="AD58" s="85">
        <f t="shared" si="8"/>
        <v>-2954.85</v>
      </c>
      <c r="AE58" s="153"/>
      <c r="AF58" s="153"/>
      <c r="AG58" s="85">
        <f t="shared" si="9"/>
        <v>0</v>
      </c>
      <c r="AH58" s="86">
        <v>1405570565</v>
      </c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</row>
    <row r="59" spans="1:45" x14ac:dyDescent="0.25">
      <c r="A59" s="73" t="s">
        <v>207</v>
      </c>
      <c r="B59" s="73" t="s">
        <v>124</v>
      </c>
      <c r="C59" s="73" t="s">
        <v>281</v>
      </c>
      <c r="D59" s="74"/>
      <c r="E59" s="74"/>
      <c r="F59" s="73" t="s">
        <v>282</v>
      </c>
      <c r="G59" s="87" t="s">
        <v>206</v>
      </c>
      <c r="H59" s="87"/>
      <c r="I59" s="76">
        <v>1237.2399999999998</v>
      </c>
      <c r="J59" s="87">
        <v>2762.76</v>
      </c>
      <c r="K59" s="76">
        <f t="shared" si="0"/>
        <v>4000</v>
      </c>
      <c r="L59" s="76"/>
      <c r="M59" s="76"/>
      <c r="N59" s="76"/>
      <c r="O59" s="78">
        <v>45.15</v>
      </c>
      <c r="P59" s="79">
        <f t="shared" si="1"/>
        <v>3954.85</v>
      </c>
      <c r="Q59" s="80"/>
      <c r="R59" s="81"/>
      <c r="S59" s="81"/>
      <c r="T59" s="81"/>
      <c r="U59" s="82"/>
      <c r="V59" s="88">
        <v>1309.77</v>
      </c>
      <c r="W59" s="79">
        <f t="shared" si="2"/>
        <v>2645.08</v>
      </c>
      <c r="X59" s="83">
        <f t="shared" si="3"/>
        <v>0</v>
      </c>
      <c r="Y59" s="79">
        <f t="shared" si="4"/>
        <v>2645.08</v>
      </c>
      <c r="Z59" s="84">
        <f t="shared" si="5"/>
        <v>395.48500000000001</v>
      </c>
      <c r="AA59" s="83">
        <f t="shared" si="6"/>
        <v>24.744799999999998</v>
      </c>
      <c r="AB59" s="79">
        <f t="shared" si="7"/>
        <v>4375.0798000000004</v>
      </c>
      <c r="AC59" s="153"/>
      <c r="AD59" s="85">
        <f t="shared" si="8"/>
        <v>-2645.08</v>
      </c>
      <c r="AE59" s="153"/>
      <c r="AF59" s="153"/>
      <c r="AG59" s="85">
        <f t="shared" si="9"/>
        <v>0</v>
      </c>
      <c r="AH59" s="86">
        <v>2937082010</v>
      </c>
      <c r="AI59" s="72"/>
      <c r="AJ59" s="86"/>
      <c r="AK59" s="86"/>
      <c r="AL59" s="86"/>
      <c r="AM59" s="86"/>
      <c r="AN59" s="86"/>
      <c r="AO59" s="86"/>
      <c r="AP59" s="86"/>
      <c r="AQ59" s="86"/>
      <c r="AR59" s="86"/>
      <c r="AS59" s="86"/>
    </row>
    <row r="60" spans="1:45" x14ac:dyDescent="0.25">
      <c r="A60" s="73" t="s">
        <v>203</v>
      </c>
      <c r="B60" s="73" t="s">
        <v>283</v>
      </c>
      <c r="C60" s="73" t="s">
        <v>284</v>
      </c>
      <c r="D60" s="74"/>
      <c r="E60" s="74"/>
      <c r="F60" s="73" t="s">
        <v>285</v>
      </c>
      <c r="G60" s="87" t="s">
        <v>206</v>
      </c>
      <c r="H60" s="87"/>
      <c r="I60" s="76">
        <v>1237.2399999999998</v>
      </c>
      <c r="J60" s="87">
        <f>3762.76+500+56</f>
        <v>4318.76</v>
      </c>
      <c r="K60" s="76">
        <f t="shared" si="0"/>
        <v>5556</v>
      </c>
      <c r="L60" s="76"/>
      <c r="M60" s="76"/>
      <c r="N60" s="76"/>
      <c r="O60" s="78">
        <v>45.15</v>
      </c>
      <c r="P60" s="79">
        <f t="shared" si="1"/>
        <v>5510.85</v>
      </c>
      <c r="Q60" s="80"/>
      <c r="R60" s="81"/>
      <c r="S60" s="81"/>
      <c r="T60" s="81"/>
      <c r="U60" s="82"/>
      <c r="V60" s="73">
        <v>0</v>
      </c>
      <c r="W60" s="79">
        <f t="shared" si="2"/>
        <v>5510.85</v>
      </c>
      <c r="X60" s="83">
        <f t="shared" si="3"/>
        <v>551.08500000000004</v>
      </c>
      <c r="Y60" s="79">
        <f t="shared" si="4"/>
        <v>4959.7650000000003</v>
      </c>
      <c r="Z60" s="84">
        <f t="shared" si="5"/>
        <v>0</v>
      </c>
      <c r="AA60" s="83">
        <f t="shared" si="6"/>
        <v>24.744799999999998</v>
      </c>
      <c r="AB60" s="79">
        <f t="shared" si="7"/>
        <v>5535.5948000000008</v>
      </c>
      <c r="AC60" s="153"/>
      <c r="AD60" s="85">
        <f t="shared" si="8"/>
        <v>-4959.7650000000003</v>
      </c>
      <c r="AE60" s="153"/>
      <c r="AF60" s="153"/>
      <c r="AG60" s="85">
        <f t="shared" si="9"/>
        <v>0</v>
      </c>
      <c r="AH60" s="86">
        <v>2952243423</v>
      </c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</row>
    <row r="61" spans="1:45" x14ac:dyDescent="0.25">
      <c r="A61" s="73" t="s">
        <v>210</v>
      </c>
      <c r="B61" s="73" t="s">
        <v>126</v>
      </c>
      <c r="C61" s="73" t="s">
        <v>286</v>
      </c>
      <c r="D61" s="87"/>
      <c r="E61" s="87"/>
      <c r="F61" s="73" t="s">
        <v>150</v>
      </c>
      <c r="G61" s="87"/>
      <c r="H61" s="87"/>
      <c r="I61" s="76">
        <v>1237.2399999999998</v>
      </c>
      <c r="J61" s="87">
        <v>1887.7600000000002</v>
      </c>
      <c r="K61" s="76">
        <f t="shared" si="0"/>
        <v>3125</v>
      </c>
      <c r="L61" s="76">
        <v>4000</v>
      </c>
      <c r="M61" s="76"/>
      <c r="N61" s="76"/>
      <c r="O61" s="78">
        <v>45.15</v>
      </c>
      <c r="P61" s="79">
        <f t="shared" si="1"/>
        <v>7079.85</v>
      </c>
      <c r="Q61" s="80"/>
      <c r="R61" s="81"/>
      <c r="S61" s="81"/>
      <c r="T61" s="81"/>
      <c r="U61" s="82"/>
      <c r="V61" s="73">
        <v>288.38</v>
      </c>
      <c r="W61" s="79">
        <f t="shared" si="2"/>
        <v>6791.47</v>
      </c>
      <c r="X61" s="83">
        <f t="shared" si="3"/>
        <v>707.98500000000013</v>
      </c>
      <c r="Y61" s="79">
        <f t="shared" si="4"/>
        <v>6083.4850000000006</v>
      </c>
      <c r="Z61" s="84">
        <f t="shared" si="5"/>
        <v>0</v>
      </c>
      <c r="AA61" s="83">
        <f t="shared" si="6"/>
        <v>24.744799999999998</v>
      </c>
      <c r="AB61" s="79">
        <f t="shared" si="7"/>
        <v>7104.5948000000008</v>
      </c>
      <c r="AC61" s="153"/>
      <c r="AD61" s="85">
        <f t="shared" si="8"/>
        <v>-6083.4850000000006</v>
      </c>
      <c r="AE61" s="153"/>
      <c r="AF61" s="153"/>
      <c r="AG61" s="85">
        <f t="shared" si="9"/>
        <v>0</v>
      </c>
      <c r="AH61" s="86">
        <v>1435597188</v>
      </c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</row>
    <row r="62" spans="1:45" x14ac:dyDescent="0.25">
      <c r="A62" s="73" t="s">
        <v>203</v>
      </c>
      <c r="B62" s="73" t="s">
        <v>128</v>
      </c>
      <c r="C62" s="73" t="s">
        <v>287</v>
      </c>
      <c r="D62" s="74"/>
      <c r="E62" s="74"/>
      <c r="F62" s="73" t="s">
        <v>288</v>
      </c>
      <c r="G62" s="87"/>
      <c r="H62" s="87"/>
      <c r="I62" s="76">
        <v>1237.2399999999998</v>
      </c>
      <c r="J62" s="87">
        <v>18762.760000000002</v>
      </c>
      <c r="K62" s="76">
        <f t="shared" si="0"/>
        <v>20000</v>
      </c>
      <c r="L62" s="76">
        <f>52526.29+20000</f>
        <v>72526.290000000008</v>
      </c>
      <c r="M62" s="76"/>
      <c r="N62" s="76"/>
      <c r="O62" s="78">
        <v>45.15</v>
      </c>
      <c r="P62" s="79">
        <f t="shared" si="1"/>
        <v>92481.140000000014</v>
      </c>
      <c r="Q62" s="80"/>
      <c r="R62" s="81">
        <v>3000</v>
      </c>
      <c r="S62" s="81"/>
      <c r="T62" s="81"/>
      <c r="U62" s="73">
        <v>491.57</v>
      </c>
      <c r="V62" s="73">
        <v>92.96</v>
      </c>
      <c r="W62" s="79">
        <f t="shared" si="2"/>
        <v>88896.610000000015</v>
      </c>
      <c r="X62" s="83">
        <f t="shared" si="3"/>
        <v>9248.1140000000014</v>
      </c>
      <c r="Y62" s="79">
        <f t="shared" si="4"/>
        <v>79648.496000000014</v>
      </c>
      <c r="Z62" s="84">
        <f t="shared" si="5"/>
        <v>0</v>
      </c>
      <c r="AA62" s="83">
        <f t="shared" si="6"/>
        <v>24.744799999999998</v>
      </c>
      <c r="AB62" s="79">
        <f t="shared" si="7"/>
        <v>92505.884800000014</v>
      </c>
      <c r="AC62" s="153"/>
      <c r="AD62" s="85">
        <f t="shared" si="8"/>
        <v>-79648.496000000014</v>
      </c>
      <c r="AE62" s="153"/>
      <c r="AF62" s="153"/>
      <c r="AG62" s="85">
        <f t="shared" si="9"/>
        <v>0</v>
      </c>
      <c r="AH62" s="86">
        <v>1110345261</v>
      </c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</row>
    <row r="63" spans="1:45" x14ac:dyDescent="0.25">
      <c r="A63" s="87"/>
      <c r="B63" s="87"/>
      <c r="C63" s="87"/>
      <c r="D63" s="87"/>
      <c r="E63" s="87"/>
      <c r="F63" s="87"/>
      <c r="G63" s="75"/>
      <c r="H63" s="75"/>
      <c r="I63" s="76"/>
      <c r="J63" s="75"/>
      <c r="K63" s="76"/>
      <c r="L63" s="76"/>
      <c r="M63" s="77"/>
      <c r="N63" s="77"/>
      <c r="O63" s="78"/>
      <c r="P63" s="79">
        <f t="shared" si="1"/>
        <v>0</v>
      </c>
      <c r="Q63" s="80"/>
      <c r="R63" s="81"/>
      <c r="S63" s="81"/>
      <c r="T63" s="81"/>
      <c r="U63" s="82"/>
      <c r="V63" s="82"/>
      <c r="W63" s="79">
        <f t="shared" si="2"/>
        <v>0</v>
      </c>
      <c r="X63" s="83">
        <f t="shared" si="3"/>
        <v>0</v>
      </c>
      <c r="Y63" s="79">
        <f t="shared" si="4"/>
        <v>0</v>
      </c>
      <c r="Z63" s="84">
        <f t="shared" si="5"/>
        <v>0</v>
      </c>
      <c r="AA63" s="83">
        <f t="shared" si="6"/>
        <v>0</v>
      </c>
      <c r="AB63" s="79">
        <f t="shared" si="7"/>
        <v>0</v>
      </c>
      <c r="AC63" s="86"/>
      <c r="AD63" s="85">
        <f t="shared" si="8"/>
        <v>0</v>
      </c>
      <c r="AE63" s="153"/>
      <c r="AF63" s="153"/>
      <c r="AG63" s="85">
        <f t="shared" si="9"/>
        <v>0</v>
      </c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</row>
    <row r="64" spans="1:45" x14ac:dyDescent="0.25">
      <c r="A64" s="87"/>
      <c r="B64" s="87"/>
      <c r="C64" s="87"/>
      <c r="D64" s="87"/>
      <c r="E64" s="87"/>
      <c r="F64" s="87"/>
      <c r="G64" s="75"/>
      <c r="H64" s="75"/>
      <c r="I64" s="76"/>
      <c r="J64" s="75"/>
      <c r="K64" s="76"/>
      <c r="L64" s="76"/>
      <c r="M64" s="77"/>
      <c r="N64" s="77"/>
      <c r="O64" s="78"/>
      <c r="P64" s="79"/>
      <c r="Q64" s="80"/>
      <c r="R64" s="81"/>
      <c r="S64" s="81"/>
      <c r="T64" s="81"/>
      <c r="U64" s="82"/>
      <c r="V64" s="82"/>
      <c r="W64" s="79"/>
      <c r="X64" s="83"/>
      <c r="Y64" s="79"/>
      <c r="Z64" s="84"/>
      <c r="AA64" s="83"/>
      <c r="AB64" s="79"/>
      <c r="AC64" s="86"/>
      <c r="AD64" s="86"/>
      <c r="AE64" s="153"/>
      <c r="AF64" s="153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</row>
    <row r="65" spans="1:45" x14ac:dyDescent="0.25">
      <c r="A65" s="90"/>
      <c r="B65" s="90"/>
      <c r="C65" s="87"/>
      <c r="D65" s="75"/>
      <c r="E65" s="75"/>
      <c r="F65" s="87"/>
      <c r="G65" s="87"/>
      <c r="H65" s="87"/>
      <c r="I65" s="87"/>
      <c r="J65" s="87"/>
      <c r="K65" s="76"/>
      <c r="L65" s="76"/>
      <c r="M65" s="76"/>
      <c r="N65" s="76"/>
      <c r="O65" s="78"/>
      <c r="P65" s="79">
        <f>SUM(K65:N65)-O65</f>
        <v>0</v>
      </c>
      <c r="Q65" s="80"/>
      <c r="R65" s="81"/>
      <c r="S65" s="81"/>
      <c r="T65" s="81"/>
      <c r="U65" s="83"/>
      <c r="V65" s="83"/>
      <c r="W65" s="79">
        <f>+P65-SUM(Q65:V65)</f>
        <v>0</v>
      </c>
      <c r="X65" s="83">
        <f>IF(P65&gt;4500,P65*0.1,0)</f>
        <v>0</v>
      </c>
      <c r="Y65" s="79">
        <f>+W65-X65</f>
        <v>0</v>
      </c>
      <c r="Z65" s="84">
        <f>IF(P65&lt;4500,P65*0.1,0)</f>
        <v>0</v>
      </c>
      <c r="AA65" s="83"/>
      <c r="AB65" s="79">
        <f>+P65+Z65+AA65</f>
        <v>0</v>
      </c>
      <c r="AC65" s="86"/>
      <c r="AD65" s="86"/>
      <c r="AE65" s="153"/>
      <c r="AF65" s="153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</row>
    <row r="66" spans="1:45" x14ac:dyDescent="0.25">
      <c r="A66" s="90"/>
      <c r="B66" s="91"/>
      <c r="C66" s="92"/>
      <c r="D66" s="92"/>
      <c r="E66" s="92"/>
      <c r="F66" s="92"/>
      <c r="G66" s="92"/>
      <c r="H66" s="92"/>
      <c r="I66" s="92"/>
      <c r="J66" s="92"/>
      <c r="K66" s="93"/>
      <c r="L66" s="93"/>
      <c r="M66" s="93"/>
      <c r="N66" s="93"/>
      <c r="O66" s="93"/>
      <c r="P66" s="94"/>
      <c r="Q66" s="93"/>
      <c r="R66" s="93"/>
      <c r="S66" s="83"/>
      <c r="T66" s="83"/>
      <c r="U66" s="83"/>
      <c r="V66" s="83"/>
      <c r="W66" s="95"/>
      <c r="X66" s="83"/>
      <c r="Y66" s="94"/>
      <c r="Z66" s="83"/>
      <c r="AA66" s="83"/>
      <c r="AB66" s="94"/>
      <c r="AC66" s="86"/>
      <c r="AD66" s="86"/>
      <c r="AE66" s="153"/>
      <c r="AF66" s="153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</row>
    <row r="67" spans="1:45" ht="16.5" thickBot="1" x14ac:dyDescent="0.3">
      <c r="C67" s="167" t="s">
        <v>369</v>
      </c>
      <c r="D67" s="167"/>
      <c r="E67" s="167"/>
      <c r="F67" s="167"/>
      <c r="G67" s="167"/>
      <c r="H67" s="167"/>
      <c r="I67" s="167"/>
      <c r="J67" s="167"/>
      <c r="K67" s="168">
        <f t="shared" ref="K67:AB67" si="10">SUM(K7:K58)</f>
        <v>168355.5</v>
      </c>
      <c r="L67" s="168">
        <f t="shared" si="10"/>
        <v>221081.11</v>
      </c>
      <c r="M67" s="168">
        <f t="shared" si="10"/>
        <v>0</v>
      </c>
      <c r="N67" s="168">
        <f t="shared" si="10"/>
        <v>0</v>
      </c>
      <c r="O67" s="168">
        <f t="shared" si="10"/>
        <v>2212.3500000000017</v>
      </c>
      <c r="P67" s="168">
        <f t="shared" si="10"/>
        <v>387224.25999999978</v>
      </c>
      <c r="Q67" s="168">
        <f t="shared" si="10"/>
        <v>0</v>
      </c>
      <c r="R67" s="168"/>
      <c r="S67" s="168">
        <f t="shared" si="10"/>
        <v>0</v>
      </c>
      <c r="T67" s="168">
        <f t="shared" si="10"/>
        <v>0</v>
      </c>
      <c r="U67" s="168">
        <f t="shared" si="10"/>
        <v>1228.97</v>
      </c>
      <c r="V67" s="168">
        <f t="shared" si="10"/>
        <v>12937.09</v>
      </c>
      <c r="W67" s="168">
        <f t="shared" si="10"/>
        <v>372558.19999999978</v>
      </c>
      <c r="X67" s="168">
        <f t="shared" si="10"/>
        <v>31300.806</v>
      </c>
      <c r="Y67" s="168">
        <f t="shared" si="10"/>
        <v>341257.39399999997</v>
      </c>
      <c r="Z67" s="168">
        <f t="shared" si="10"/>
        <v>7421.6199999999972</v>
      </c>
      <c r="AA67" s="168">
        <f t="shared" si="10"/>
        <v>1212.4951999999982</v>
      </c>
      <c r="AB67" s="168">
        <f t="shared" si="10"/>
        <v>395858.37520000018</v>
      </c>
    </row>
    <row r="68" spans="1:45" ht="16.5" thickTop="1" x14ac:dyDescent="0.25"/>
    <row r="69" spans="1:45" x14ac:dyDescent="0.25">
      <c r="A69" s="169" t="s">
        <v>370</v>
      </c>
      <c r="B69" s="169"/>
      <c r="C69" s="169"/>
    </row>
    <row r="70" spans="1:45" x14ac:dyDescent="0.25">
      <c r="A70" s="90"/>
      <c r="B70" s="90"/>
      <c r="C70" s="130" t="s">
        <v>371</v>
      </c>
      <c r="D70" s="75"/>
      <c r="E70" s="75"/>
      <c r="F70" s="87"/>
      <c r="G70" s="87"/>
      <c r="H70" s="87"/>
      <c r="I70" s="87"/>
      <c r="J70" s="87"/>
      <c r="K70" s="76">
        <v>1261</v>
      </c>
      <c r="L70" s="76">
        <f>2882.47+88.27</f>
        <v>2970.74</v>
      </c>
      <c r="M70" s="76">
        <v>1216.5999999999999</v>
      </c>
      <c r="N70" s="76">
        <v>3041.52</v>
      </c>
      <c r="O70" s="76"/>
      <c r="P70" s="79">
        <f>SUM(K70:O70)</f>
        <v>8489.86</v>
      </c>
      <c r="Q70" s="80"/>
      <c r="R70" s="80"/>
      <c r="S70" s="81"/>
      <c r="T70" s="81"/>
      <c r="U70" s="81"/>
      <c r="V70" s="81"/>
      <c r="W70" s="79">
        <f>+P70-Q70</f>
        <v>8489.86</v>
      </c>
      <c r="X70" s="83">
        <f>+W70*0.05</f>
        <v>424.49300000000005</v>
      </c>
      <c r="Y70" s="79">
        <f>+W70-S70-V70</f>
        <v>8489.86</v>
      </c>
      <c r="Z70" s="84">
        <f>IF(W70&lt;3000,W70*0.1,0)</f>
        <v>0</v>
      </c>
      <c r="AA70" s="83">
        <v>0</v>
      </c>
      <c r="AB70" s="79">
        <f>+W70+Z70+AA70</f>
        <v>8489.86</v>
      </c>
    </row>
    <row r="71" spans="1:45" x14ac:dyDescent="0.25">
      <c r="A71" s="90"/>
      <c r="B71" s="90"/>
      <c r="C71" s="130" t="s">
        <v>372</v>
      </c>
      <c r="D71" s="75"/>
      <c r="E71" s="75"/>
      <c r="F71" s="75"/>
      <c r="G71" s="75"/>
      <c r="H71" s="75"/>
      <c r="I71" s="75"/>
      <c r="J71" s="75"/>
      <c r="K71" s="77">
        <v>4500</v>
      </c>
      <c r="L71" s="77"/>
      <c r="M71" s="77"/>
      <c r="N71" s="77"/>
      <c r="O71" s="77"/>
      <c r="P71" s="79">
        <f>SUM(K71:O71)</f>
        <v>4500</v>
      </c>
      <c r="Q71" s="80"/>
      <c r="R71" s="80"/>
      <c r="S71" s="81"/>
      <c r="T71" s="81"/>
      <c r="U71" s="81"/>
      <c r="V71" s="81"/>
      <c r="W71" s="79">
        <f>+P71-Q71</f>
        <v>4500</v>
      </c>
      <c r="X71" s="83">
        <f>+W71*0.05</f>
        <v>225</v>
      </c>
      <c r="Y71" s="79">
        <f>+W71-S71-V71</f>
        <v>4500</v>
      </c>
      <c r="Z71" s="84">
        <f>IF(W71&lt;3000,W71*0.1,0)</f>
        <v>0</v>
      </c>
      <c r="AA71" s="83">
        <v>0</v>
      </c>
      <c r="AB71" s="79">
        <f>+W71+Z71+AA71</f>
        <v>4500</v>
      </c>
    </row>
    <row r="72" spans="1:45" x14ac:dyDescent="0.25">
      <c r="A72" s="90"/>
      <c r="B72" s="90"/>
      <c r="C72" s="130" t="s">
        <v>373</v>
      </c>
      <c r="D72" s="75"/>
      <c r="E72" s="75"/>
      <c r="F72" s="75"/>
      <c r="G72" s="75"/>
      <c r="H72" s="75"/>
      <c r="I72" s="75"/>
      <c r="J72" s="75"/>
      <c r="K72" s="77">
        <v>3200</v>
      </c>
      <c r="L72" s="77">
        <f>2821.42+224</f>
        <v>3045.42</v>
      </c>
      <c r="M72" s="77"/>
      <c r="N72" s="77"/>
      <c r="O72" s="77"/>
      <c r="P72" s="79">
        <f>SUM(K72:O72)</f>
        <v>6245.42</v>
      </c>
      <c r="Q72" s="80"/>
      <c r="R72" s="80"/>
      <c r="S72" s="81"/>
      <c r="T72" s="81"/>
      <c r="U72" s="81"/>
      <c r="V72" s="81"/>
      <c r="W72" s="79">
        <f>+P72-Q72</f>
        <v>6245.42</v>
      </c>
      <c r="X72" s="83">
        <f>+W72*0.05</f>
        <v>312.27100000000002</v>
      </c>
      <c r="Y72" s="79">
        <f>+W72-S72-V72</f>
        <v>6245.42</v>
      </c>
      <c r="Z72" s="84">
        <f>IF(W72&lt;3000,W72*0.1,0)</f>
        <v>0</v>
      </c>
      <c r="AA72" s="83">
        <v>0</v>
      </c>
      <c r="AB72" s="79">
        <f>+W72+Z72+AA72</f>
        <v>6245.42</v>
      </c>
    </row>
    <row r="73" spans="1:45" x14ac:dyDescent="0.25">
      <c r="A73" s="90"/>
      <c r="B73" s="90"/>
      <c r="C73" s="130" t="s">
        <v>374</v>
      </c>
      <c r="D73" s="75"/>
      <c r="E73" s="75"/>
      <c r="F73" s="75"/>
      <c r="G73" s="75"/>
      <c r="H73" s="75"/>
      <c r="I73" s="75"/>
      <c r="J73" s="75"/>
      <c r="K73" s="77">
        <v>1575</v>
      </c>
      <c r="L73" s="77">
        <v>1599.77</v>
      </c>
      <c r="M73" s="77"/>
      <c r="N73" s="77"/>
      <c r="O73" s="77"/>
      <c r="P73" s="79">
        <f>SUM(K73:O73)</f>
        <v>3174.77</v>
      </c>
      <c r="Q73" s="80"/>
      <c r="R73" s="80"/>
      <c r="S73" s="81"/>
      <c r="T73" s="81"/>
      <c r="U73" s="81"/>
      <c r="V73" s="81"/>
      <c r="W73" s="79">
        <f>+P73-Q73</f>
        <v>3174.77</v>
      </c>
      <c r="X73" s="83">
        <f>+W73*0.05</f>
        <v>158.73850000000002</v>
      </c>
      <c r="Y73" s="79">
        <f>+W73-S73-V73</f>
        <v>3174.77</v>
      </c>
      <c r="Z73" s="84">
        <f>IF(W73&lt;3000,W73*0.1,0)</f>
        <v>0</v>
      </c>
      <c r="AA73" s="83">
        <v>0</v>
      </c>
      <c r="AB73" s="79">
        <f>+W73+Z73+AA73</f>
        <v>3174.77</v>
      </c>
    </row>
    <row r="74" spans="1:45" x14ac:dyDescent="0.25">
      <c r="A74" s="90"/>
      <c r="B74" s="90"/>
      <c r="C74" s="130" t="s">
        <v>375</v>
      </c>
      <c r="D74" s="75"/>
      <c r="E74" s="75"/>
      <c r="F74" s="75"/>
      <c r="G74" s="75"/>
      <c r="H74" s="75"/>
      <c r="I74" s="75"/>
      <c r="J74" s="75"/>
      <c r="K74" s="77">
        <v>2500</v>
      </c>
      <c r="L74" s="77">
        <f>429.34+175+124.1736</f>
        <v>728.51359999999988</v>
      </c>
      <c r="M74" s="77"/>
      <c r="N74" s="77"/>
      <c r="O74" s="77"/>
      <c r="P74" s="79">
        <f>SUM(K74:O74)</f>
        <v>3228.5135999999998</v>
      </c>
      <c r="Q74" s="80"/>
      <c r="R74" s="80"/>
      <c r="S74" s="81"/>
      <c r="T74" s="81"/>
      <c r="U74" s="81"/>
      <c r="V74" s="81"/>
      <c r="W74" s="79">
        <f>+P74-Q74</f>
        <v>3228.5135999999998</v>
      </c>
      <c r="X74" s="83">
        <f>+W74*0.05</f>
        <v>161.42568</v>
      </c>
      <c r="Y74" s="79">
        <f>+W74-S74-V74</f>
        <v>3228.5135999999998</v>
      </c>
      <c r="Z74" s="84">
        <f>IF(W74&lt;3000,W74*0.1,0)</f>
        <v>0</v>
      </c>
      <c r="AA74" s="83">
        <v>0</v>
      </c>
      <c r="AB74" s="79">
        <f>+W74+Z74+AA74</f>
        <v>3228.5135999999998</v>
      </c>
    </row>
    <row r="75" spans="1:45" x14ac:dyDescent="0.25">
      <c r="C75" s="97"/>
      <c r="D75" s="97"/>
      <c r="E75" s="97"/>
    </row>
    <row r="76" spans="1:45" x14ac:dyDescent="0.25">
      <c r="C76" s="97" t="s">
        <v>376</v>
      </c>
      <c r="D76" s="97"/>
      <c r="E76" s="97"/>
      <c r="AB76" s="71">
        <f>+AB69+AB74</f>
        <v>3228.5135999999998</v>
      </c>
    </row>
    <row r="83" spans="1:4" x14ac:dyDescent="0.25">
      <c r="A83" s="96" t="s">
        <v>377</v>
      </c>
      <c r="C83" s="70"/>
    </row>
    <row r="84" spans="1:4" x14ac:dyDescent="0.25">
      <c r="A84" s="96" t="s">
        <v>378</v>
      </c>
      <c r="C84" s="70"/>
    </row>
    <row r="85" spans="1:4" x14ac:dyDescent="0.25">
      <c r="A85" s="96" t="s">
        <v>379</v>
      </c>
      <c r="C85" s="70"/>
    </row>
    <row r="86" spans="1:4" x14ac:dyDescent="0.25">
      <c r="A86" s="96" t="s">
        <v>380</v>
      </c>
      <c r="C86" s="70"/>
    </row>
    <row r="87" spans="1:4" x14ac:dyDescent="0.25">
      <c r="A87" s="96" t="s">
        <v>381</v>
      </c>
      <c r="C87" s="70">
        <v>233.33333333333334</v>
      </c>
    </row>
    <row r="88" spans="1:4" x14ac:dyDescent="0.25">
      <c r="A88" s="96" t="s">
        <v>382</v>
      </c>
      <c r="C88" s="70"/>
      <c r="D88" s="70">
        <v>1.1666666666666667</v>
      </c>
    </row>
    <row r="89" spans="1:4" x14ac:dyDescent="0.25">
      <c r="D89" s="176">
        <f>+D88*C87</f>
        <v>272.22222222222223</v>
      </c>
    </row>
  </sheetData>
  <mergeCells count="34">
    <mergeCell ref="AG5:AG6"/>
    <mergeCell ref="AH5:AH6"/>
    <mergeCell ref="AI5:AI6"/>
    <mergeCell ref="A69:C69"/>
    <mergeCell ref="Z5:Z6"/>
    <mergeCell ref="AA5:AA6"/>
    <mergeCell ref="AB5:AB6"/>
    <mergeCell ref="AC5:AC6"/>
    <mergeCell ref="AD5:AD6"/>
    <mergeCell ref="AE5:AF5"/>
    <mergeCell ref="T5:T6"/>
    <mergeCell ref="U5:U6"/>
    <mergeCell ref="V5:V6"/>
    <mergeCell ref="W5:W6"/>
    <mergeCell ref="X5:X6"/>
    <mergeCell ref="Y5:Y6"/>
    <mergeCell ref="M5:M6"/>
    <mergeCell ref="N5:N6"/>
    <mergeCell ref="O5:O6"/>
    <mergeCell ref="P5:P6"/>
    <mergeCell ref="Q5:Q6"/>
    <mergeCell ref="S5:S6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FACTURACIÓN</vt:lpstr>
      <vt:lpstr>C&amp;A</vt:lpstr>
      <vt:lpstr>SINDICATO</vt:lpstr>
      <vt:lpstr>C&amp;A BANCOS</vt:lpstr>
      <vt:lpstr>SINDICATO BANCOS</vt:lpstr>
      <vt:lpstr>SINDICATO BANCOS (2)</vt:lpstr>
      <vt:lpstr>Hoja1</vt:lpstr>
      <vt:lpstr>'C&amp;A'!Área_de_impresión</vt:lpstr>
      <vt:lpstr>'C&amp;A BANCOS'!Área_de_impresión</vt:lpstr>
      <vt:lpstr>SINDICATO!Área_de_impresión</vt:lpstr>
      <vt:lpstr>'SINDICATO BANCOS'!Área_de_impresión</vt:lpstr>
      <vt:lpstr>'SINDICATO BANCOS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lily</cp:lastModifiedBy>
  <cp:lastPrinted>2016-02-27T02:47:40Z</cp:lastPrinted>
  <dcterms:created xsi:type="dcterms:W3CDTF">2016-01-16T18:25:25Z</dcterms:created>
  <dcterms:modified xsi:type="dcterms:W3CDTF">2016-03-14T18:40:03Z</dcterms:modified>
</cp:coreProperties>
</file>