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NOMINA INGENIERIA\SEMANA\"/>
    </mc:Choice>
  </mc:AlternateContent>
  <bookViews>
    <workbookView xWindow="0" yWindow="0" windowWidth="28800" windowHeight="12045"/>
  </bookViews>
  <sheets>
    <sheet name="NOMINA BASE" sheetId="4" r:id="rId1"/>
    <sheet name="NOMINA COMISIONES" sheetId="5" r:id="rId2"/>
    <sheet name="TABLAS" sheetId="6" r:id="rId3"/>
  </sheets>
  <definedNames>
    <definedName name="_xlnm._FilterDatabase" localSheetId="0" hidden="1">'NOMINA BASE'!$A$5:$BA$6</definedName>
  </definedNames>
  <calcPr calcId="152511"/>
</workbook>
</file>

<file path=xl/calcChain.xml><?xml version="1.0" encoding="utf-8"?>
<calcChain xmlns="http://schemas.openxmlformats.org/spreadsheetml/2006/main">
  <c r="AU8" i="4" l="1"/>
  <c r="AU9" i="4"/>
  <c r="AU10" i="4"/>
  <c r="AU11" i="4"/>
  <c r="AU12" i="4"/>
  <c r="AU13" i="4"/>
  <c r="AU14" i="4"/>
  <c r="AU15" i="4"/>
  <c r="AU16" i="4"/>
  <c r="AU17" i="4"/>
  <c r="AU18" i="4"/>
  <c r="AU19" i="4"/>
  <c r="AU20" i="4"/>
  <c r="AU21" i="4"/>
  <c r="AU22" i="4"/>
  <c r="AU23" i="4"/>
  <c r="AU24" i="4"/>
  <c r="AU25" i="4"/>
  <c r="AU26" i="4"/>
  <c r="AU27" i="4"/>
  <c r="AU28" i="4"/>
  <c r="AU29" i="4"/>
  <c r="AU30" i="4"/>
  <c r="AU31" i="4"/>
  <c r="AU32" i="4"/>
  <c r="AU33" i="4"/>
  <c r="AU34" i="4"/>
  <c r="AU35" i="4"/>
  <c r="AU36" i="4"/>
  <c r="AU37" i="4"/>
  <c r="AU38" i="4"/>
  <c r="AU39" i="4"/>
  <c r="AU40" i="4"/>
  <c r="AU41" i="4"/>
  <c r="AU42" i="4"/>
  <c r="AU43" i="4"/>
  <c r="AU44" i="4"/>
  <c r="AU45" i="4"/>
  <c r="AU46" i="4"/>
  <c r="AU47" i="4"/>
  <c r="AU48" i="4"/>
  <c r="AU49" i="4"/>
  <c r="AU50" i="4"/>
  <c r="AU51" i="4"/>
  <c r="AU52" i="4"/>
  <c r="AU53" i="4"/>
  <c r="AU54" i="4"/>
  <c r="AU55" i="4"/>
  <c r="AU56" i="4"/>
  <c r="AU57" i="4"/>
  <c r="AU58" i="4"/>
  <c r="AU59" i="4"/>
  <c r="AU60" i="4"/>
  <c r="AU61" i="4"/>
  <c r="AU62" i="4"/>
  <c r="AU63" i="4"/>
  <c r="AU64" i="4"/>
  <c r="AU65" i="4"/>
  <c r="AU66" i="4"/>
  <c r="AU67" i="4"/>
  <c r="AU68" i="4"/>
  <c r="AU69" i="4"/>
  <c r="AU70" i="4"/>
  <c r="AU71" i="4"/>
  <c r="AU72" i="4"/>
  <c r="AU73" i="4"/>
  <c r="AU74" i="4"/>
  <c r="AU75" i="4"/>
  <c r="AU76" i="4"/>
  <c r="AU77" i="4"/>
  <c r="AU78" i="4"/>
  <c r="AU79" i="4"/>
  <c r="AU80" i="4"/>
  <c r="AU81" i="4"/>
  <c r="AU82" i="4"/>
  <c r="AU83" i="4"/>
  <c r="AU84" i="4"/>
  <c r="AU85" i="4"/>
  <c r="AU86" i="4"/>
  <c r="AU87" i="4"/>
  <c r="AU88" i="4"/>
  <c r="AU89" i="4"/>
  <c r="AU90" i="4"/>
  <c r="AU91" i="4"/>
  <c r="AU92" i="4"/>
  <c r="AU93" i="4"/>
  <c r="AU94" i="4"/>
  <c r="AU95" i="4"/>
  <c r="AU96" i="4"/>
  <c r="AU97" i="4"/>
  <c r="AU98" i="4"/>
  <c r="AU99" i="4"/>
  <c r="AU100" i="4"/>
  <c r="AU101" i="4"/>
  <c r="AU102" i="4"/>
  <c r="AU7" i="4"/>
  <c r="AR8" i="4"/>
  <c r="AR9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1" i="4"/>
  <c r="AR42" i="4"/>
  <c r="AR43" i="4"/>
  <c r="AR44" i="4"/>
  <c r="AR45" i="4"/>
  <c r="AR46" i="4"/>
  <c r="AR47" i="4"/>
  <c r="AR48" i="4"/>
  <c r="AR49" i="4"/>
  <c r="AR50" i="4"/>
  <c r="AR51" i="4"/>
  <c r="AR52" i="4"/>
  <c r="AR53" i="4"/>
  <c r="AR54" i="4"/>
  <c r="AR55" i="4"/>
  <c r="AR56" i="4"/>
  <c r="AR57" i="4"/>
  <c r="AR58" i="4"/>
  <c r="AR59" i="4"/>
  <c r="AR60" i="4"/>
  <c r="AR61" i="4"/>
  <c r="AR62" i="4"/>
  <c r="AR63" i="4"/>
  <c r="AR64" i="4"/>
  <c r="AR65" i="4"/>
  <c r="AR66" i="4"/>
  <c r="AR67" i="4"/>
  <c r="AR68" i="4"/>
  <c r="AR69" i="4"/>
  <c r="AR70" i="4"/>
  <c r="AR71" i="4"/>
  <c r="AR72" i="4"/>
  <c r="AR73" i="4"/>
  <c r="AR74" i="4"/>
  <c r="AR75" i="4"/>
  <c r="AR76" i="4"/>
  <c r="AR77" i="4"/>
  <c r="AR78" i="4"/>
  <c r="AR79" i="4"/>
  <c r="AR80" i="4"/>
  <c r="AR81" i="4"/>
  <c r="AR82" i="4"/>
  <c r="AR83" i="4"/>
  <c r="AR84" i="4"/>
  <c r="AR85" i="4"/>
  <c r="AR86" i="4"/>
  <c r="AR87" i="4"/>
  <c r="AR88" i="4"/>
  <c r="AR89" i="4"/>
  <c r="AR90" i="4"/>
  <c r="AR91" i="4"/>
  <c r="AR92" i="4"/>
  <c r="AR93" i="4"/>
  <c r="AR94" i="4"/>
  <c r="AR95" i="4"/>
  <c r="AR96" i="4"/>
  <c r="AR97" i="4"/>
  <c r="AR98" i="4"/>
  <c r="AR99" i="4"/>
  <c r="AR100" i="4"/>
  <c r="AR101" i="4"/>
  <c r="AR102" i="4"/>
  <c r="AR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O80" i="4"/>
  <c r="AO81" i="4"/>
  <c r="AO82" i="4"/>
  <c r="AO83" i="4"/>
  <c r="AO84" i="4"/>
  <c r="AO85" i="4"/>
  <c r="AO86" i="4"/>
  <c r="AO87" i="4"/>
  <c r="AO88" i="4"/>
  <c r="AO89" i="4"/>
  <c r="AO90" i="4"/>
  <c r="AO91" i="4"/>
  <c r="AO92" i="4"/>
  <c r="AO93" i="4"/>
  <c r="AO94" i="4"/>
  <c r="AO95" i="4"/>
  <c r="AO96" i="4"/>
  <c r="AO97" i="4"/>
  <c r="AO98" i="4"/>
  <c r="AO99" i="4"/>
  <c r="AO100" i="4"/>
  <c r="AO101" i="4"/>
  <c r="AO102" i="4"/>
  <c r="AP8" i="4"/>
  <c r="P12" i="4"/>
  <c r="P20" i="4"/>
  <c r="AQ20" i="4" s="1"/>
  <c r="P39" i="4"/>
  <c r="P43" i="4"/>
  <c r="P48" i="4"/>
  <c r="AQ48" i="4" s="1"/>
  <c r="P59" i="4"/>
  <c r="P64" i="4"/>
  <c r="P66" i="4"/>
  <c r="AQ66" i="4" s="1"/>
  <c r="P68" i="4"/>
  <c r="P71" i="4"/>
  <c r="P79" i="4"/>
  <c r="P82" i="4"/>
  <c r="P84" i="4"/>
  <c r="P87" i="4"/>
  <c r="P91" i="4"/>
  <c r="P98" i="4"/>
  <c r="P99" i="4"/>
  <c r="AS20" i="4"/>
  <c r="AS66" i="4"/>
  <c r="J24" i="4"/>
  <c r="K24" i="4" s="1"/>
  <c r="J16" i="4"/>
  <c r="J22" i="4"/>
  <c r="J21" i="4"/>
  <c r="J27" i="4"/>
  <c r="K27" i="4" s="1"/>
  <c r="J25" i="4"/>
  <c r="K25" i="4" s="1"/>
  <c r="L25" i="4" s="1"/>
  <c r="J28" i="4"/>
  <c r="X102" i="4"/>
  <c r="V102" i="4"/>
  <c r="W102" i="4" s="1"/>
  <c r="U102" i="4"/>
  <c r="T102" i="4"/>
  <c r="S102" i="4"/>
  <c r="K102" i="4"/>
  <c r="X101" i="4"/>
  <c r="W101" i="4"/>
  <c r="V101" i="4"/>
  <c r="U101" i="4"/>
  <c r="T101" i="4"/>
  <c r="S101" i="4"/>
  <c r="K101" i="4"/>
  <c r="X100" i="4"/>
  <c r="V100" i="4"/>
  <c r="W100" i="4" s="1"/>
  <c r="U100" i="4"/>
  <c r="T100" i="4"/>
  <c r="S100" i="4"/>
  <c r="K100" i="4"/>
  <c r="X99" i="4"/>
  <c r="V99" i="4"/>
  <c r="W99" i="4" s="1"/>
  <c r="U99" i="4"/>
  <c r="T99" i="4"/>
  <c r="S99" i="4"/>
  <c r="K99" i="4"/>
  <c r="L99" i="4" s="1"/>
  <c r="X98" i="4"/>
  <c r="V98" i="4"/>
  <c r="W98" i="4" s="1"/>
  <c r="U98" i="4"/>
  <c r="T98" i="4"/>
  <c r="S98" i="4"/>
  <c r="K98" i="4"/>
  <c r="L98" i="4" s="1"/>
  <c r="X97" i="4"/>
  <c r="V97" i="4"/>
  <c r="W97" i="4" s="1"/>
  <c r="U97" i="4"/>
  <c r="T97" i="4"/>
  <c r="S97" i="4"/>
  <c r="K97" i="4"/>
  <c r="X96" i="4"/>
  <c r="V96" i="4"/>
  <c r="W96" i="4" s="1"/>
  <c r="U96" i="4"/>
  <c r="T96" i="4"/>
  <c r="S96" i="4"/>
  <c r="K96" i="4"/>
  <c r="X95" i="4"/>
  <c r="V95" i="4"/>
  <c r="W95" i="4" s="1"/>
  <c r="U95" i="4"/>
  <c r="T95" i="4"/>
  <c r="S95" i="4"/>
  <c r="K95" i="4"/>
  <c r="X94" i="4"/>
  <c r="V94" i="4"/>
  <c r="W94" i="4" s="1"/>
  <c r="U94" i="4"/>
  <c r="T94" i="4"/>
  <c r="S94" i="4"/>
  <c r="K94" i="4"/>
  <c r="L94" i="4" s="1"/>
  <c r="X93" i="4"/>
  <c r="V93" i="4"/>
  <c r="W93" i="4" s="1"/>
  <c r="U93" i="4"/>
  <c r="T93" i="4"/>
  <c r="S93" i="4"/>
  <c r="K93" i="4"/>
  <c r="X92" i="4"/>
  <c r="V92" i="4"/>
  <c r="W92" i="4" s="1"/>
  <c r="Y92" i="4" s="1"/>
  <c r="Z92" i="4" s="1"/>
  <c r="U92" i="4"/>
  <c r="T92" i="4"/>
  <c r="S92" i="4"/>
  <c r="K92" i="4"/>
  <c r="X91" i="4"/>
  <c r="V91" i="4"/>
  <c r="W91" i="4" s="1"/>
  <c r="U91" i="4"/>
  <c r="T91" i="4"/>
  <c r="S91" i="4"/>
  <c r="K91" i="4"/>
  <c r="L91" i="4" s="1"/>
  <c r="X90" i="4"/>
  <c r="V90" i="4"/>
  <c r="W90" i="4" s="1"/>
  <c r="Y90" i="4" s="1"/>
  <c r="Z90" i="4" s="1"/>
  <c r="U90" i="4"/>
  <c r="T90" i="4"/>
  <c r="S90" i="4"/>
  <c r="L90" i="4"/>
  <c r="K90" i="4"/>
  <c r="X89" i="4"/>
  <c r="V89" i="4"/>
  <c r="W89" i="4" s="1"/>
  <c r="U89" i="4"/>
  <c r="T89" i="4"/>
  <c r="S89" i="4"/>
  <c r="K89" i="4"/>
  <c r="L89" i="4" s="1"/>
  <c r="X88" i="4"/>
  <c r="V88" i="4"/>
  <c r="W88" i="4" s="1"/>
  <c r="U88" i="4"/>
  <c r="T88" i="4"/>
  <c r="S88" i="4"/>
  <c r="K88" i="4"/>
  <c r="X87" i="4"/>
  <c r="V87" i="4"/>
  <c r="W87" i="4" s="1"/>
  <c r="U87" i="4"/>
  <c r="T87" i="4"/>
  <c r="S87" i="4"/>
  <c r="K87" i="4"/>
  <c r="L87" i="4" s="1"/>
  <c r="X86" i="4"/>
  <c r="V86" i="4"/>
  <c r="W86" i="4" s="1"/>
  <c r="U86" i="4"/>
  <c r="T86" i="4"/>
  <c r="S86" i="4"/>
  <c r="K86" i="4"/>
  <c r="X85" i="4"/>
  <c r="V85" i="4"/>
  <c r="W85" i="4" s="1"/>
  <c r="U85" i="4"/>
  <c r="T85" i="4"/>
  <c r="S85" i="4"/>
  <c r="K85" i="4"/>
  <c r="X84" i="4"/>
  <c r="W84" i="4"/>
  <c r="V84" i="4"/>
  <c r="U84" i="4"/>
  <c r="T84" i="4"/>
  <c r="S84" i="4"/>
  <c r="K84" i="4"/>
  <c r="L84" i="4" s="1"/>
  <c r="X83" i="4"/>
  <c r="V83" i="4"/>
  <c r="W83" i="4" s="1"/>
  <c r="Y83" i="4" s="1"/>
  <c r="Z83" i="4" s="1"/>
  <c r="U83" i="4"/>
  <c r="T83" i="4"/>
  <c r="S83" i="4"/>
  <c r="L83" i="4"/>
  <c r="K83" i="4"/>
  <c r="X82" i="4"/>
  <c r="V82" i="4"/>
  <c r="W82" i="4" s="1"/>
  <c r="U82" i="4"/>
  <c r="T82" i="4"/>
  <c r="S82" i="4"/>
  <c r="K82" i="4"/>
  <c r="L82" i="4" s="1"/>
  <c r="X81" i="4"/>
  <c r="V81" i="4"/>
  <c r="W81" i="4" s="1"/>
  <c r="U81" i="4"/>
  <c r="T81" i="4"/>
  <c r="S81" i="4"/>
  <c r="K81" i="4"/>
  <c r="X80" i="4"/>
  <c r="V80" i="4"/>
  <c r="W80" i="4" s="1"/>
  <c r="U80" i="4"/>
  <c r="T80" i="4"/>
  <c r="S80" i="4"/>
  <c r="K80" i="4"/>
  <c r="X79" i="4"/>
  <c r="W79" i="4"/>
  <c r="V79" i="4"/>
  <c r="U79" i="4"/>
  <c r="T79" i="4"/>
  <c r="S79" i="4"/>
  <c r="K79" i="4"/>
  <c r="L79" i="4" s="1"/>
  <c r="X78" i="4"/>
  <c r="V78" i="4"/>
  <c r="W78" i="4" s="1"/>
  <c r="U78" i="4"/>
  <c r="T78" i="4"/>
  <c r="S78" i="4"/>
  <c r="K78" i="4"/>
  <c r="X77" i="4"/>
  <c r="V77" i="4"/>
  <c r="W77" i="4" s="1"/>
  <c r="U77" i="4"/>
  <c r="T77" i="4"/>
  <c r="S77" i="4"/>
  <c r="K77" i="4"/>
  <c r="X76" i="4"/>
  <c r="V76" i="4"/>
  <c r="W76" i="4" s="1"/>
  <c r="Y76" i="4" s="1"/>
  <c r="Z76" i="4" s="1"/>
  <c r="U76" i="4"/>
  <c r="T76" i="4"/>
  <c r="S76" i="4"/>
  <c r="K76" i="4"/>
  <c r="X75" i="4"/>
  <c r="V75" i="4"/>
  <c r="W75" i="4" s="1"/>
  <c r="U75" i="4"/>
  <c r="T75" i="4"/>
  <c r="S75" i="4"/>
  <c r="K75" i="4"/>
  <c r="X74" i="4"/>
  <c r="Y74" i="4" s="1"/>
  <c r="Z74" i="4" s="1"/>
  <c r="V74" i="4"/>
  <c r="W74" i="4" s="1"/>
  <c r="U74" i="4"/>
  <c r="T74" i="4"/>
  <c r="S74" i="4"/>
  <c r="K74" i="4"/>
  <c r="X73" i="4"/>
  <c r="V73" i="4"/>
  <c r="W73" i="4" s="1"/>
  <c r="Y73" i="4" s="1"/>
  <c r="Z73" i="4" s="1"/>
  <c r="U73" i="4"/>
  <c r="T73" i="4"/>
  <c r="S73" i="4"/>
  <c r="K73" i="4"/>
  <c r="X72" i="4"/>
  <c r="V72" i="4"/>
  <c r="W72" i="4" s="1"/>
  <c r="U72" i="4"/>
  <c r="T72" i="4"/>
  <c r="S72" i="4"/>
  <c r="K72" i="4"/>
  <c r="Y71" i="4"/>
  <c r="Z71" i="4" s="1"/>
  <c r="X71" i="4"/>
  <c r="V71" i="4"/>
  <c r="W71" i="4" s="1"/>
  <c r="U71" i="4"/>
  <c r="T71" i="4"/>
  <c r="S71" i="4"/>
  <c r="K71" i="4"/>
  <c r="L71" i="4" s="1"/>
  <c r="X70" i="4"/>
  <c r="V70" i="4"/>
  <c r="W70" i="4" s="1"/>
  <c r="U70" i="4"/>
  <c r="T70" i="4"/>
  <c r="S70" i="4"/>
  <c r="K70" i="4"/>
  <c r="X69" i="4"/>
  <c r="V69" i="4"/>
  <c r="W69" i="4" s="1"/>
  <c r="U69" i="4"/>
  <c r="Y69" i="4" s="1"/>
  <c r="Z69" i="4" s="1"/>
  <c r="T69" i="4"/>
  <c r="S69" i="4"/>
  <c r="K69" i="4"/>
  <c r="X68" i="4"/>
  <c r="V68" i="4"/>
  <c r="W68" i="4" s="1"/>
  <c r="U68" i="4"/>
  <c r="T68" i="4"/>
  <c r="S68" i="4"/>
  <c r="K68" i="4"/>
  <c r="L68" i="4" s="1"/>
  <c r="X67" i="4"/>
  <c r="V67" i="4"/>
  <c r="W67" i="4" s="1"/>
  <c r="U67" i="4"/>
  <c r="T67" i="4"/>
  <c r="S67" i="4"/>
  <c r="L67" i="4"/>
  <c r="P67" i="4" s="1"/>
  <c r="K67" i="4"/>
  <c r="X66" i="4"/>
  <c r="V66" i="4"/>
  <c r="W66" i="4" s="1"/>
  <c r="U66" i="4"/>
  <c r="T66" i="4"/>
  <c r="S66" i="4"/>
  <c r="K66" i="4"/>
  <c r="L66" i="4" s="1"/>
  <c r="X65" i="4"/>
  <c r="V65" i="4"/>
  <c r="W65" i="4" s="1"/>
  <c r="U65" i="4"/>
  <c r="T65" i="4"/>
  <c r="S65" i="4"/>
  <c r="K65" i="4"/>
  <c r="X64" i="4"/>
  <c r="V64" i="4"/>
  <c r="W64" i="4" s="1"/>
  <c r="U64" i="4"/>
  <c r="T64" i="4"/>
  <c r="S64" i="4"/>
  <c r="K64" i="4"/>
  <c r="L64" i="4" s="1"/>
  <c r="X63" i="4"/>
  <c r="V63" i="4"/>
  <c r="W63" i="4" s="1"/>
  <c r="Y63" i="4" s="1"/>
  <c r="Z63" i="4" s="1"/>
  <c r="U63" i="4"/>
  <c r="T63" i="4"/>
  <c r="S63" i="4"/>
  <c r="K63" i="4"/>
  <c r="L63" i="4" s="1"/>
  <c r="X62" i="4"/>
  <c r="V62" i="4"/>
  <c r="W62" i="4" s="1"/>
  <c r="U62" i="4"/>
  <c r="T62" i="4"/>
  <c r="S62" i="4"/>
  <c r="K62" i="4"/>
  <c r="L62" i="4" s="1"/>
  <c r="X61" i="4"/>
  <c r="W61" i="4"/>
  <c r="Y61" i="4" s="1"/>
  <c r="Z61" i="4" s="1"/>
  <c r="V61" i="4"/>
  <c r="U61" i="4"/>
  <c r="T61" i="4"/>
  <c r="S61" i="4"/>
  <c r="K61" i="4"/>
  <c r="X60" i="4"/>
  <c r="V60" i="4"/>
  <c r="W60" i="4" s="1"/>
  <c r="U60" i="4"/>
  <c r="T60" i="4"/>
  <c r="S60" i="4"/>
  <c r="K60" i="4"/>
  <c r="X59" i="4"/>
  <c r="V59" i="4"/>
  <c r="W59" i="4" s="1"/>
  <c r="U59" i="4"/>
  <c r="T59" i="4"/>
  <c r="S59" i="4"/>
  <c r="L59" i="4"/>
  <c r="K59" i="4"/>
  <c r="X58" i="4"/>
  <c r="V58" i="4"/>
  <c r="W58" i="4" s="1"/>
  <c r="U58" i="4"/>
  <c r="T58" i="4"/>
  <c r="S58" i="4"/>
  <c r="L58" i="4"/>
  <c r="P58" i="4" s="1"/>
  <c r="K58" i="4"/>
  <c r="X57" i="4"/>
  <c r="V57" i="4"/>
  <c r="W57" i="4" s="1"/>
  <c r="U57" i="4"/>
  <c r="T57" i="4"/>
  <c r="S57" i="4"/>
  <c r="K57" i="4"/>
  <c r="L57" i="4" s="1"/>
  <c r="X56" i="4"/>
  <c r="V56" i="4"/>
  <c r="W56" i="4" s="1"/>
  <c r="U56" i="4"/>
  <c r="T56" i="4"/>
  <c r="S56" i="4"/>
  <c r="K56" i="4"/>
  <c r="L56" i="4" s="1"/>
  <c r="X55" i="4"/>
  <c r="V55" i="4"/>
  <c r="W55" i="4" s="1"/>
  <c r="Y55" i="4" s="1"/>
  <c r="Z55" i="4" s="1"/>
  <c r="U55" i="4"/>
  <c r="T55" i="4"/>
  <c r="S55" i="4"/>
  <c r="K55" i="4"/>
  <c r="L55" i="4" s="1"/>
  <c r="X54" i="4"/>
  <c r="V54" i="4"/>
  <c r="W54" i="4" s="1"/>
  <c r="U54" i="4"/>
  <c r="T54" i="4"/>
  <c r="S54" i="4"/>
  <c r="K54" i="4"/>
  <c r="X53" i="4"/>
  <c r="W53" i="4"/>
  <c r="V53" i="4"/>
  <c r="U53" i="4"/>
  <c r="T53" i="4"/>
  <c r="S53" i="4"/>
  <c r="K53" i="4"/>
  <c r="X52" i="4"/>
  <c r="V52" i="4"/>
  <c r="W52" i="4" s="1"/>
  <c r="U52" i="4"/>
  <c r="T52" i="4"/>
  <c r="S52" i="4"/>
  <c r="K52" i="4"/>
  <c r="L52" i="4" s="1"/>
  <c r="Y51" i="4"/>
  <c r="Z51" i="4" s="1"/>
  <c r="X51" i="4"/>
  <c r="V51" i="4"/>
  <c r="W51" i="4" s="1"/>
  <c r="U51" i="4"/>
  <c r="T51" i="4"/>
  <c r="S51" i="4"/>
  <c r="K51" i="4"/>
  <c r="L51" i="4" s="1"/>
  <c r="X50" i="4"/>
  <c r="V50" i="4"/>
  <c r="W50" i="4" s="1"/>
  <c r="Y50" i="4" s="1"/>
  <c r="Z50" i="4" s="1"/>
  <c r="U50" i="4"/>
  <c r="T50" i="4"/>
  <c r="S50" i="4"/>
  <c r="K50" i="4"/>
  <c r="L50" i="4" s="1"/>
  <c r="X49" i="4"/>
  <c r="V49" i="4"/>
  <c r="W49" i="4" s="1"/>
  <c r="U49" i="4"/>
  <c r="Y49" i="4" s="1"/>
  <c r="Z49" i="4" s="1"/>
  <c r="T49" i="4"/>
  <c r="S49" i="4"/>
  <c r="K49" i="4"/>
  <c r="X48" i="4"/>
  <c r="V48" i="4"/>
  <c r="W48" i="4" s="1"/>
  <c r="U48" i="4"/>
  <c r="T48" i="4"/>
  <c r="S48" i="4"/>
  <c r="K48" i="4"/>
  <c r="L48" i="4" s="1"/>
  <c r="X47" i="4"/>
  <c r="V47" i="4"/>
  <c r="W47" i="4" s="1"/>
  <c r="U47" i="4"/>
  <c r="T47" i="4"/>
  <c r="S47" i="4"/>
  <c r="L47" i="4"/>
  <c r="K47" i="4"/>
  <c r="X46" i="4"/>
  <c r="V46" i="4"/>
  <c r="W46" i="4" s="1"/>
  <c r="U46" i="4"/>
  <c r="T46" i="4"/>
  <c r="S46" i="4"/>
  <c r="K46" i="4"/>
  <c r="X45" i="4"/>
  <c r="W45" i="4"/>
  <c r="V45" i="4"/>
  <c r="U45" i="4"/>
  <c r="T45" i="4"/>
  <c r="S45" i="4"/>
  <c r="K45" i="4"/>
  <c r="X44" i="4"/>
  <c r="V44" i="4"/>
  <c r="W44" i="4" s="1"/>
  <c r="U44" i="4"/>
  <c r="T44" i="4"/>
  <c r="S44" i="4"/>
  <c r="K44" i="4"/>
  <c r="X43" i="4"/>
  <c r="V43" i="4"/>
  <c r="W43" i="4" s="1"/>
  <c r="U43" i="4"/>
  <c r="T43" i="4"/>
  <c r="S43" i="4"/>
  <c r="K43" i="4"/>
  <c r="L43" i="4" s="1"/>
  <c r="X42" i="4"/>
  <c r="V42" i="4"/>
  <c r="W42" i="4" s="1"/>
  <c r="U42" i="4"/>
  <c r="T42" i="4"/>
  <c r="S42" i="4"/>
  <c r="K42" i="4"/>
  <c r="X41" i="4"/>
  <c r="V41" i="4"/>
  <c r="W41" i="4" s="1"/>
  <c r="U41" i="4"/>
  <c r="T41" i="4"/>
  <c r="S41" i="4"/>
  <c r="L41" i="4"/>
  <c r="K41" i="4"/>
  <c r="X40" i="4"/>
  <c r="V40" i="4"/>
  <c r="W40" i="4" s="1"/>
  <c r="U40" i="4"/>
  <c r="T40" i="4"/>
  <c r="S40" i="4"/>
  <c r="K40" i="4"/>
  <c r="L40" i="4" s="1"/>
  <c r="X39" i="4"/>
  <c r="V39" i="4"/>
  <c r="W39" i="4" s="1"/>
  <c r="U39" i="4"/>
  <c r="T39" i="4"/>
  <c r="S39" i="4"/>
  <c r="K39" i="4"/>
  <c r="L39" i="4" s="1"/>
  <c r="X38" i="4"/>
  <c r="V38" i="4"/>
  <c r="W38" i="4" s="1"/>
  <c r="U38" i="4"/>
  <c r="T38" i="4"/>
  <c r="S38" i="4"/>
  <c r="K38" i="4"/>
  <c r="X37" i="4"/>
  <c r="V37" i="4"/>
  <c r="W37" i="4" s="1"/>
  <c r="U37" i="4"/>
  <c r="T37" i="4"/>
  <c r="S37" i="4"/>
  <c r="K37" i="4"/>
  <c r="L37" i="4" s="1"/>
  <c r="X36" i="4"/>
  <c r="V36" i="4"/>
  <c r="W36" i="4" s="1"/>
  <c r="U36" i="4"/>
  <c r="T36" i="4"/>
  <c r="S36" i="4"/>
  <c r="K36" i="4"/>
  <c r="L36" i="4" s="1"/>
  <c r="X35" i="4"/>
  <c r="V35" i="4"/>
  <c r="W35" i="4" s="1"/>
  <c r="U35" i="4"/>
  <c r="T35" i="4"/>
  <c r="S35" i="4"/>
  <c r="K35" i="4"/>
  <c r="X34" i="4"/>
  <c r="V34" i="4"/>
  <c r="W34" i="4" s="1"/>
  <c r="Y34" i="4" s="1"/>
  <c r="Z34" i="4" s="1"/>
  <c r="U34" i="4"/>
  <c r="T34" i="4"/>
  <c r="S34" i="4"/>
  <c r="K34" i="4"/>
  <c r="X33" i="4"/>
  <c r="V33" i="4"/>
  <c r="W33" i="4" s="1"/>
  <c r="Y33" i="4" s="1"/>
  <c r="Z33" i="4" s="1"/>
  <c r="U33" i="4"/>
  <c r="T33" i="4"/>
  <c r="S33" i="4"/>
  <c r="K33" i="4"/>
  <c r="L33" i="4" s="1"/>
  <c r="X32" i="4"/>
  <c r="V32" i="4"/>
  <c r="W32" i="4" s="1"/>
  <c r="Y32" i="4" s="1"/>
  <c r="Z32" i="4" s="1"/>
  <c r="U32" i="4"/>
  <c r="T32" i="4"/>
  <c r="S32" i="4"/>
  <c r="L32" i="4"/>
  <c r="K32" i="4"/>
  <c r="X31" i="4"/>
  <c r="Y31" i="4" s="1"/>
  <c r="Z31" i="4" s="1"/>
  <c r="V31" i="4"/>
  <c r="W31" i="4" s="1"/>
  <c r="U31" i="4"/>
  <c r="T31" i="4"/>
  <c r="S31" i="4"/>
  <c r="K31" i="4"/>
  <c r="X30" i="4"/>
  <c r="V30" i="4"/>
  <c r="W30" i="4" s="1"/>
  <c r="U30" i="4"/>
  <c r="T30" i="4"/>
  <c r="S30" i="4"/>
  <c r="K30" i="4"/>
  <c r="X29" i="4"/>
  <c r="V29" i="4"/>
  <c r="W29" i="4" s="1"/>
  <c r="U29" i="4"/>
  <c r="T29" i="4"/>
  <c r="S29" i="4"/>
  <c r="K29" i="4"/>
  <c r="L29" i="4" s="1"/>
  <c r="X28" i="4"/>
  <c r="V28" i="4"/>
  <c r="W28" i="4" s="1"/>
  <c r="U28" i="4"/>
  <c r="T28" i="4"/>
  <c r="S28" i="4"/>
  <c r="K28" i="4"/>
  <c r="L28" i="4" s="1"/>
  <c r="X27" i="4"/>
  <c r="V27" i="4"/>
  <c r="W27" i="4" s="1"/>
  <c r="U27" i="4"/>
  <c r="T27" i="4"/>
  <c r="S27" i="4"/>
  <c r="X26" i="4"/>
  <c r="V26" i="4"/>
  <c r="W26" i="4" s="1"/>
  <c r="U26" i="4"/>
  <c r="T26" i="4"/>
  <c r="S26" i="4"/>
  <c r="K26" i="4"/>
  <c r="X25" i="4"/>
  <c r="V25" i="4"/>
  <c r="W25" i="4" s="1"/>
  <c r="U25" i="4"/>
  <c r="T25" i="4"/>
  <c r="S25" i="4"/>
  <c r="X24" i="4"/>
  <c r="V24" i="4"/>
  <c r="W24" i="4" s="1"/>
  <c r="U24" i="4"/>
  <c r="T24" i="4"/>
  <c r="S24" i="4"/>
  <c r="X23" i="4"/>
  <c r="V23" i="4"/>
  <c r="W23" i="4" s="1"/>
  <c r="U23" i="4"/>
  <c r="T23" i="4"/>
  <c r="S23" i="4"/>
  <c r="K23" i="4"/>
  <c r="X22" i="4"/>
  <c r="V22" i="4"/>
  <c r="W22" i="4" s="1"/>
  <c r="U22" i="4"/>
  <c r="T22" i="4"/>
  <c r="S22" i="4"/>
  <c r="K22" i="4"/>
  <c r="X21" i="4"/>
  <c r="V21" i="4"/>
  <c r="W21" i="4" s="1"/>
  <c r="U21" i="4"/>
  <c r="T21" i="4"/>
  <c r="S21" i="4"/>
  <c r="K21" i="4"/>
  <c r="L21" i="4" s="1"/>
  <c r="X20" i="4"/>
  <c r="Y20" i="4" s="1"/>
  <c r="Z20" i="4" s="1"/>
  <c r="V20" i="4"/>
  <c r="W20" i="4" s="1"/>
  <c r="U20" i="4"/>
  <c r="T20" i="4"/>
  <c r="S20" i="4"/>
  <c r="K20" i="4"/>
  <c r="L20" i="4" s="1"/>
  <c r="X19" i="4"/>
  <c r="V19" i="4"/>
  <c r="W19" i="4" s="1"/>
  <c r="U19" i="4"/>
  <c r="T19" i="4"/>
  <c r="S19" i="4"/>
  <c r="K19" i="4"/>
  <c r="X18" i="4"/>
  <c r="V18" i="4"/>
  <c r="W18" i="4" s="1"/>
  <c r="U18" i="4"/>
  <c r="T18" i="4"/>
  <c r="S18" i="4"/>
  <c r="K18" i="4"/>
  <c r="X17" i="4"/>
  <c r="V17" i="4"/>
  <c r="W17" i="4" s="1"/>
  <c r="U17" i="4"/>
  <c r="T17" i="4"/>
  <c r="S17" i="4"/>
  <c r="K17" i="4"/>
  <c r="L17" i="4" s="1"/>
  <c r="X16" i="4"/>
  <c r="V16" i="4"/>
  <c r="W16" i="4" s="1"/>
  <c r="U16" i="4"/>
  <c r="T16" i="4"/>
  <c r="S16" i="4"/>
  <c r="K16" i="4"/>
  <c r="X15" i="4"/>
  <c r="V15" i="4"/>
  <c r="W15" i="4" s="1"/>
  <c r="U15" i="4"/>
  <c r="T15" i="4"/>
  <c r="S15" i="4"/>
  <c r="K15" i="4"/>
  <c r="X14" i="4"/>
  <c r="V14" i="4"/>
  <c r="W14" i="4" s="1"/>
  <c r="U14" i="4"/>
  <c r="T14" i="4"/>
  <c r="S14" i="4"/>
  <c r="K14" i="4"/>
  <c r="X13" i="4"/>
  <c r="V13" i="4"/>
  <c r="W13" i="4" s="1"/>
  <c r="U13" i="4"/>
  <c r="T13" i="4"/>
  <c r="S13" i="4"/>
  <c r="K13" i="4"/>
  <c r="L13" i="4" s="1"/>
  <c r="X12" i="4"/>
  <c r="V12" i="4"/>
  <c r="W12" i="4" s="1"/>
  <c r="U12" i="4"/>
  <c r="T12" i="4"/>
  <c r="S12" i="4"/>
  <c r="L12" i="4"/>
  <c r="K12" i="4"/>
  <c r="X11" i="4"/>
  <c r="V11" i="4"/>
  <c r="W11" i="4" s="1"/>
  <c r="U11" i="4"/>
  <c r="T11" i="4"/>
  <c r="S11" i="4"/>
  <c r="K11" i="4"/>
  <c r="L11" i="4" s="1"/>
  <c r="P11" i="4" s="1"/>
  <c r="X10" i="4"/>
  <c r="V10" i="4"/>
  <c r="W10" i="4" s="1"/>
  <c r="U10" i="4"/>
  <c r="T10" i="4"/>
  <c r="S10" i="4"/>
  <c r="K10" i="4"/>
  <c r="X9" i="4"/>
  <c r="V9" i="4"/>
  <c r="W9" i="4" s="1"/>
  <c r="U9" i="4"/>
  <c r="T9" i="4"/>
  <c r="S9" i="4"/>
  <c r="K9" i="4"/>
  <c r="L9" i="4" s="1"/>
  <c r="X8" i="4"/>
  <c r="V8" i="4"/>
  <c r="W8" i="4" s="1"/>
  <c r="U8" i="4"/>
  <c r="T8" i="4"/>
  <c r="S8" i="4"/>
  <c r="K8" i="4"/>
  <c r="L8" i="4" s="1"/>
  <c r="X7" i="4"/>
  <c r="V7" i="4"/>
  <c r="W7" i="4" s="1"/>
  <c r="U7" i="4"/>
  <c r="AB102" i="4"/>
  <c r="AB101" i="4"/>
  <c r="AB100" i="4"/>
  <c r="AB99" i="4"/>
  <c r="AB98" i="4"/>
  <c r="AB97" i="4"/>
  <c r="AB96" i="4"/>
  <c r="AB95" i="4"/>
  <c r="AB94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AB67" i="4"/>
  <c r="AB66" i="4"/>
  <c r="AB65" i="4"/>
  <c r="AB64" i="4"/>
  <c r="AB63" i="4"/>
  <c r="AB62" i="4"/>
  <c r="AB61" i="4"/>
  <c r="AB60" i="4"/>
  <c r="AB59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15" i="4"/>
  <c r="AA14" i="4"/>
  <c r="AA13" i="4"/>
  <c r="AA12" i="4"/>
  <c r="AA11" i="4"/>
  <c r="AA7" i="4"/>
  <c r="AA102" i="4"/>
  <c r="AA101" i="4"/>
  <c r="AA100" i="4"/>
  <c r="AA99" i="4"/>
  <c r="AA98" i="4"/>
  <c r="AA97" i="4"/>
  <c r="AA96" i="4"/>
  <c r="AA95" i="4"/>
  <c r="AA94" i="4"/>
  <c r="AA93" i="4"/>
  <c r="AA92" i="4"/>
  <c r="AA91" i="4"/>
  <c r="AA90" i="4"/>
  <c r="AA89" i="4"/>
  <c r="AA88" i="4"/>
  <c r="AA87" i="4"/>
  <c r="AA86" i="4"/>
  <c r="AA85" i="4"/>
  <c r="AA84" i="4"/>
  <c r="AA83" i="4"/>
  <c r="AA82" i="4"/>
  <c r="AA81" i="4"/>
  <c r="AA80" i="4"/>
  <c r="AA79" i="4"/>
  <c r="AA78" i="4"/>
  <c r="AA77" i="4"/>
  <c r="AA76" i="4"/>
  <c r="AA75" i="4"/>
  <c r="AA74" i="4"/>
  <c r="AA73" i="4"/>
  <c r="AA72" i="4"/>
  <c r="AA71" i="4"/>
  <c r="AA70" i="4"/>
  <c r="AA69" i="4"/>
  <c r="AA68" i="4"/>
  <c r="AA67" i="4"/>
  <c r="AA66" i="4"/>
  <c r="AA65" i="4"/>
  <c r="AA64" i="4"/>
  <c r="AA63" i="4"/>
  <c r="AA62" i="4"/>
  <c r="AA61" i="4"/>
  <c r="AA60" i="4"/>
  <c r="AA59" i="4"/>
  <c r="AA58" i="4"/>
  <c r="AA57" i="4"/>
  <c r="AA56" i="4"/>
  <c r="AA55" i="4"/>
  <c r="AA54" i="4"/>
  <c r="AA53" i="4"/>
  <c r="AA52" i="4"/>
  <c r="AA51" i="4"/>
  <c r="AA50" i="4"/>
  <c r="AA49" i="4"/>
  <c r="AA48" i="4"/>
  <c r="AA47" i="4"/>
  <c r="AA46" i="4"/>
  <c r="AA45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S7" i="4"/>
  <c r="R2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9" i="4"/>
  <c r="I50" i="4"/>
  <c r="I51" i="4"/>
  <c r="I52" i="4"/>
  <c r="I53" i="4"/>
  <c r="I7" i="4"/>
  <c r="K7" i="4" s="1"/>
  <c r="L7" i="4" s="1"/>
  <c r="I86" i="4"/>
  <c r="I79" i="4"/>
  <c r="I80" i="4"/>
  <c r="I81" i="4"/>
  <c r="I82" i="4"/>
  <c r="I83" i="4"/>
  <c r="I84" i="4"/>
  <c r="I85" i="4"/>
  <c r="I96" i="4"/>
  <c r="I97" i="4"/>
  <c r="I45" i="4"/>
  <c r="I46" i="4"/>
  <c r="I47" i="4"/>
  <c r="I48" i="4"/>
  <c r="I11" i="4"/>
  <c r="I12" i="4"/>
  <c r="I13" i="4"/>
  <c r="I10" i="4"/>
  <c r="I14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15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99" i="4"/>
  <c r="I100" i="4"/>
  <c r="I101" i="4"/>
  <c r="I102" i="4"/>
  <c r="I8" i="4"/>
  <c r="I9" i="4"/>
  <c r="I87" i="4"/>
  <c r="I88" i="4"/>
  <c r="I89" i="4"/>
  <c r="I90" i="4"/>
  <c r="I91" i="4"/>
  <c r="I92" i="4"/>
  <c r="I93" i="4"/>
  <c r="I94" i="4"/>
  <c r="I95" i="4"/>
  <c r="I98" i="4"/>
  <c r="P33" i="4" l="1"/>
  <c r="AS33" i="4" s="1"/>
  <c r="P37" i="4"/>
  <c r="P63" i="4"/>
  <c r="AS63" i="4" s="1"/>
  <c r="P76" i="4"/>
  <c r="P9" i="4"/>
  <c r="P41" i="4"/>
  <c r="Y41" i="4"/>
  <c r="Z41" i="4" s="1"/>
  <c r="P57" i="4"/>
  <c r="AS48" i="4"/>
  <c r="P55" i="4"/>
  <c r="P13" i="4"/>
  <c r="P17" i="4"/>
  <c r="AS17" i="4" s="1"/>
  <c r="Y17" i="4"/>
  <c r="Z17" i="4" s="1"/>
  <c r="P21" i="4"/>
  <c r="AS21" i="4" s="1"/>
  <c r="Y26" i="4"/>
  <c r="Z26" i="4" s="1"/>
  <c r="P36" i="4"/>
  <c r="P40" i="4"/>
  <c r="P52" i="4"/>
  <c r="L73" i="4"/>
  <c r="P73" i="4"/>
  <c r="P93" i="4"/>
  <c r="AS98" i="4"/>
  <c r="AQ98" i="4"/>
  <c r="P32" i="4"/>
  <c r="AS32" i="4" s="1"/>
  <c r="P8" i="4"/>
  <c r="AS8" i="4" s="1"/>
  <c r="Y8" i="4"/>
  <c r="Z8" i="4" s="1"/>
  <c r="P29" i="4"/>
  <c r="Y42" i="4"/>
  <c r="Z42" i="4" s="1"/>
  <c r="P47" i="4"/>
  <c r="Y47" i="4"/>
  <c r="Z47" i="4" s="1"/>
  <c r="Y79" i="4"/>
  <c r="Z79" i="4" s="1"/>
  <c r="P83" i="4"/>
  <c r="AQ83" i="4" s="1"/>
  <c r="Y84" i="4"/>
  <c r="Z84" i="4" s="1"/>
  <c r="L88" i="4"/>
  <c r="P88" i="4" s="1"/>
  <c r="P90" i="4"/>
  <c r="L95" i="4"/>
  <c r="P95" i="4"/>
  <c r="AS95" i="4" s="1"/>
  <c r="P7" i="4"/>
  <c r="AQ7" i="4" s="1"/>
  <c r="P86" i="4"/>
  <c r="P50" i="4"/>
  <c r="P28" i="4"/>
  <c r="Y60" i="4"/>
  <c r="Z60" i="4" s="1"/>
  <c r="Y67" i="4"/>
  <c r="Z67" i="4" s="1"/>
  <c r="L72" i="4"/>
  <c r="L80" i="4"/>
  <c r="P80" i="4" s="1"/>
  <c r="Y80" i="4"/>
  <c r="Z80" i="4" s="1"/>
  <c r="Y22" i="4"/>
  <c r="Z22" i="4" s="1"/>
  <c r="Y46" i="4"/>
  <c r="Z46" i="4" s="1"/>
  <c r="AS51" i="4"/>
  <c r="Y56" i="4"/>
  <c r="Z56" i="4" s="1"/>
  <c r="Y64" i="4"/>
  <c r="Z64" i="4" s="1"/>
  <c r="Y91" i="4"/>
  <c r="Z91" i="4" s="1"/>
  <c r="AS94" i="4"/>
  <c r="L96" i="4"/>
  <c r="P96" i="4" s="1"/>
  <c r="L100" i="4"/>
  <c r="P100" i="4" s="1"/>
  <c r="P25" i="4"/>
  <c r="AS25" i="4" s="1"/>
  <c r="P94" i="4"/>
  <c r="P72" i="4"/>
  <c r="P62" i="4"/>
  <c r="P56" i="4"/>
  <c r="P51" i="4"/>
  <c r="AP98" i="4"/>
  <c r="Y14" i="4"/>
  <c r="Z14" i="4" s="1"/>
  <c r="Y23" i="4"/>
  <c r="Z23" i="4" s="1"/>
  <c r="Y24" i="4"/>
  <c r="Z24" i="4" s="1"/>
  <c r="Y28" i="4"/>
  <c r="Z28" i="4" s="1"/>
  <c r="Y39" i="4"/>
  <c r="Z39" i="4" s="1"/>
  <c r="Y58" i="4"/>
  <c r="Z58" i="4" s="1"/>
  <c r="Y59" i="4"/>
  <c r="Z59" i="4" s="1"/>
  <c r="P89" i="4"/>
  <c r="AS12" i="4"/>
  <c r="AS47" i="4"/>
  <c r="AS91" i="4"/>
  <c r="AQ91" i="4"/>
  <c r="AS50" i="4"/>
  <c r="AQ50" i="4"/>
  <c r="AS99" i="4"/>
  <c r="AV99" i="4" s="1"/>
  <c r="AQ99" i="4"/>
  <c r="Y19" i="4"/>
  <c r="Z19" i="4" s="1"/>
  <c r="Y25" i="4"/>
  <c r="Z25" i="4" s="1"/>
  <c r="Y27" i="4"/>
  <c r="Z27" i="4" s="1"/>
  <c r="Y30" i="4"/>
  <c r="Z30" i="4" s="1"/>
  <c r="AS39" i="4"/>
  <c r="AQ39" i="4"/>
  <c r="AS67" i="4"/>
  <c r="AQ67" i="4"/>
  <c r="L78" i="4"/>
  <c r="AS83" i="4"/>
  <c r="Y89" i="4"/>
  <c r="Z89" i="4" s="1"/>
  <c r="AQ33" i="4"/>
  <c r="AQ17" i="4"/>
  <c r="Y15" i="4"/>
  <c r="Z15" i="4" s="1"/>
  <c r="Y21" i="4"/>
  <c r="Z21" i="4" s="1"/>
  <c r="Y53" i="4"/>
  <c r="Z53" i="4" s="1"/>
  <c r="Y57" i="4"/>
  <c r="Z57" i="4" s="1"/>
  <c r="AS59" i="4"/>
  <c r="AQ59" i="4"/>
  <c r="AS62" i="4"/>
  <c r="AQ62" i="4"/>
  <c r="AS71" i="4"/>
  <c r="AQ71" i="4"/>
  <c r="L75" i="4"/>
  <c r="Y86" i="4"/>
  <c r="Z86" i="4" s="1"/>
  <c r="Y88" i="4"/>
  <c r="Z88" i="4" s="1"/>
  <c r="Y93" i="4"/>
  <c r="Z93" i="4" s="1"/>
  <c r="AQ32" i="4"/>
  <c r="Y9" i="4"/>
  <c r="Z9" i="4" s="1"/>
  <c r="Y12" i="4"/>
  <c r="Z12" i="4" s="1"/>
  <c r="Y37" i="4"/>
  <c r="Z37" i="4" s="1"/>
  <c r="Y45" i="4"/>
  <c r="Z45" i="4" s="1"/>
  <c r="Y54" i="4"/>
  <c r="Z54" i="4" s="1"/>
  <c r="AS68" i="4"/>
  <c r="AQ68" i="4"/>
  <c r="Y77" i="4"/>
  <c r="Z77" i="4" s="1"/>
  <c r="AS79" i="4"/>
  <c r="AQ79" i="4"/>
  <c r="Y95" i="4"/>
  <c r="Z95" i="4" s="1"/>
  <c r="AP100" i="4"/>
  <c r="Y100" i="4"/>
  <c r="Z100" i="4" s="1"/>
  <c r="AQ94" i="4"/>
  <c r="AQ21" i="4"/>
  <c r="AQ12" i="4"/>
  <c r="Y10" i="4"/>
  <c r="Z10" i="4" s="1"/>
  <c r="AS11" i="4"/>
  <c r="AQ11" i="4"/>
  <c r="Y11" i="4"/>
  <c r="Z11" i="4" s="1"/>
  <c r="Y16" i="4"/>
  <c r="Z16" i="4" s="1"/>
  <c r="Y18" i="4"/>
  <c r="Z18" i="4" s="1"/>
  <c r="Y29" i="4"/>
  <c r="Z29" i="4" s="1"/>
  <c r="Y36" i="4"/>
  <c r="Z36" i="4" s="1"/>
  <c r="Y43" i="4"/>
  <c r="Z43" i="4" s="1"/>
  <c r="Y52" i="4"/>
  <c r="Z52" i="4" s="1"/>
  <c r="Y68" i="4"/>
  <c r="Z68" i="4" s="1"/>
  <c r="Y78" i="4"/>
  <c r="Z78" i="4" s="1"/>
  <c r="Y96" i="4"/>
  <c r="Z96" i="4" s="1"/>
  <c r="Y99" i="4"/>
  <c r="Z99" i="4" s="1"/>
  <c r="Y101" i="4"/>
  <c r="Z101" i="4" s="1"/>
  <c r="Y13" i="4"/>
  <c r="Z13" i="4" s="1"/>
  <c r="Y35" i="4"/>
  <c r="Z35" i="4" s="1"/>
  <c r="Y38" i="4"/>
  <c r="Z38" i="4" s="1"/>
  <c r="Y44" i="4"/>
  <c r="Z44" i="4" s="1"/>
  <c r="Y48" i="4"/>
  <c r="Z48" i="4" s="1"/>
  <c r="Y65" i="4"/>
  <c r="Z65" i="4" s="1"/>
  <c r="Y66" i="4"/>
  <c r="Z66" i="4" s="1"/>
  <c r="Y70" i="4"/>
  <c r="Z70" i="4" s="1"/>
  <c r="Y75" i="4"/>
  <c r="Z75" i="4" s="1"/>
  <c r="Y81" i="4"/>
  <c r="Z81" i="4" s="1"/>
  <c r="Y82" i="4"/>
  <c r="Z82" i="4" s="1"/>
  <c r="Y85" i="4"/>
  <c r="Z85" i="4" s="1"/>
  <c r="Y87" i="4"/>
  <c r="Z87" i="4" s="1"/>
  <c r="Y97" i="4"/>
  <c r="Z97" i="4" s="1"/>
  <c r="Y98" i="4"/>
  <c r="Z98" i="4" s="1"/>
  <c r="Y102" i="4"/>
  <c r="Z102" i="4" s="1"/>
  <c r="AQ51" i="4"/>
  <c r="AQ47" i="4"/>
  <c r="L24" i="4"/>
  <c r="L16" i="4"/>
  <c r="L46" i="4"/>
  <c r="L44" i="4"/>
  <c r="L35" i="4"/>
  <c r="L38" i="4"/>
  <c r="L10" i="4"/>
  <c r="L15" i="4"/>
  <c r="L42" i="4"/>
  <c r="L60" i="4"/>
  <c r="Y62" i="4"/>
  <c r="Z62" i="4" s="1"/>
  <c r="L74" i="4"/>
  <c r="L92" i="4"/>
  <c r="P92" i="4" s="1"/>
  <c r="Y94" i="4"/>
  <c r="Z94" i="4" s="1"/>
  <c r="L76" i="4"/>
  <c r="L14" i="4"/>
  <c r="L18" i="4"/>
  <c r="L19" i="4"/>
  <c r="L26" i="4"/>
  <c r="L27" i="4"/>
  <c r="L34" i="4"/>
  <c r="L65" i="4"/>
  <c r="L69" i="4"/>
  <c r="L70" i="4"/>
  <c r="L97" i="4"/>
  <c r="L101" i="4"/>
  <c r="L102" i="4"/>
  <c r="L22" i="4"/>
  <c r="L23" i="4"/>
  <c r="L30" i="4"/>
  <c r="L31" i="4"/>
  <c r="Y40" i="4"/>
  <c r="Z40" i="4" s="1"/>
  <c r="L49" i="4"/>
  <c r="L53" i="4"/>
  <c r="L54" i="4"/>
  <c r="Y72" i="4"/>
  <c r="Z72" i="4" s="1"/>
  <c r="L81" i="4"/>
  <c r="P81" i="4" s="1"/>
  <c r="L85" i="4"/>
  <c r="P85" i="4" s="1"/>
  <c r="L86" i="4"/>
  <c r="L45" i="4"/>
  <c r="L61" i="4"/>
  <c r="L77" i="4"/>
  <c r="P77" i="4" s="1"/>
  <c r="L93" i="4"/>
  <c r="T7" i="4"/>
  <c r="Y7" i="4"/>
  <c r="Z7" i="4" s="1"/>
  <c r="AO7" i="4" s="1"/>
  <c r="AP7" i="4" s="1"/>
  <c r="P111" i="4"/>
  <c r="AO111" i="4" s="1"/>
  <c r="P53" i="4" l="1"/>
  <c r="P30" i="4"/>
  <c r="P65" i="4"/>
  <c r="AS65" i="4" s="1"/>
  <c r="P19" i="4"/>
  <c r="P60" i="4"/>
  <c r="AQ60" i="4" s="1"/>
  <c r="P38" i="4"/>
  <c r="P16" i="4"/>
  <c r="AS16" i="4" s="1"/>
  <c r="P61" i="4"/>
  <c r="AQ61" i="4" s="1"/>
  <c r="P49" i="4"/>
  <c r="P23" i="4"/>
  <c r="AS23" i="4" s="1"/>
  <c r="P34" i="4"/>
  <c r="AQ34" i="4" s="1"/>
  <c r="P18" i="4"/>
  <c r="P42" i="4"/>
  <c r="AQ42" i="4" s="1"/>
  <c r="P35" i="4"/>
  <c r="AS35" i="4" s="1"/>
  <c r="P24" i="4"/>
  <c r="AS24" i="4" s="1"/>
  <c r="P75" i="4"/>
  <c r="AQ75" i="4" s="1"/>
  <c r="P78" i="4"/>
  <c r="AS78" i="4" s="1"/>
  <c r="AV25" i="4"/>
  <c r="P45" i="4"/>
  <c r="P22" i="4"/>
  <c r="AS22" i="4" s="1"/>
  <c r="P70" i="4"/>
  <c r="P27" i="4"/>
  <c r="AQ27" i="4" s="1"/>
  <c r="P14" i="4"/>
  <c r="P74" i="4"/>
  <c r="AS74" i="4" s="1"/>
  <c r="P15" i="4"/>
  <c r="AQ15" i="4" s="1"/>
  <c r="P44" i="4"/>
  <c r="AQ44" i="4" s="1"/>
  <c r="AQ25" i="4"/>
  <c r="AQ8" i="4"/>
  <c r="AQ63" i="4"/>
  <c r="AQ95" i="4"/>
  <c r="AS28" i="4"/>
  <c r="AQ28" i="4"/>
  <c r="P101" i="4"/>
  <c r="AQ101" i="4" s="1"/>
  <c r="AS29" i="4"/>
  <c r="AQ29" i="4"/>
  <c r="P54" i="4"/>
  <c r="AQ54" i="4" s="1"/>
  <c r="P31" i="4"/>
  <c r="P102" i="4"/>
  <c r="P69" i="4"/>
  <c r="AS69" i="4" s="1"/>
  <c r="P26" i="4"/>
  <c r="P10" i="4"/>
  <c r="AQ10" i="4" s="1"/>
  <c r="P46" i="4"/>
  <c r="AQ46" i="4" s="1"/>
  <c r="P97" i="4"/>
  <c r="AS75" i="4"/>
  <c r="AS19" i="4"/>
  <c r="AQ19" i="4"/>
  <c r="AS73" i="4"/>
  <c r="AQ73" i="4"/>
  <c r="AS77" i="4"/>
  <c r="AQ77" i="4"/>
  <c r="AS54" i="4"/>
  <c r="AS18" i="4"/>
  <c r="AQ18" i="4"/>
  <c r="AS64" i="4"/>
  <c r="AQ64" i="4"/>
  <c r="AQ9" i="4"/>
  <c r="AS9" i="4"/>
  <c r="AQ13" i="4"/>
  <c r="AS13" i="4"/>
  <c r="AS45" i="4"/>
  <c r="AQ45" i="4"/>
  <c r="AS70" i="4"/>
  <c r="AQ70" i="4"/>
  <c r="AS57" i="4"/>
  <c r="AQ57" i="4"/>
  <c r="AS40" i="4"/>
  <c r="AQ40" i="4"/>
  <c r="AS85" i="4"/>
  <c r="AQ85" i="4"/>
  <c r="AQ65" i="4"/>
  <c r="AS37" i="4"/>
  <c r="AQ37" i="4"/>
  <c r="AQ74" i="4"/>
  <c r="AS42" i="4"/>
  <c r="AS80" i="4"/>
  <c r="AQ80" i="4"/>
  <c r="AQ24" i="4"/>
  <c r="AS52" i="4"/>
  <c r="AQ52" i="4"/>
  <c r="AS93" i="4"/>
  <c r="AQ93" i="4"/>
  <c r="AS56" i="4"/>
  <c r="AQ56" i="4"/>
  <c r="AS81" i="4"/>
  <c r="AQ81" i="4"/>
  <c r="AS31" i="4"/>
  <c r="AQ31" i="4"/>
  <c r="AQ97" i="4"/>
  <c r="AS97" i="4"/>
  <c r="AS34" i="4"/>
  <c r="AQ96" i="4"/>
  <c r="AS96" i="4"/>
  <c r="AS15" i="4"/>
  <c r="AS55" i="4"/>
  <c r="AQ55" i="4"/>
  <c r="AS82" i="4"/>
  <c r="AQ82" i="4"/>
  <c r="AS100" i="4"/>
  <c r="AQ100" i="4"/>
  <c r="AS89" i="4"/>
  <c r="AQ89" i="4"/>
  <c r="AS72" i="4"/>
  <c r="AQ72" i="4"/>
  <c r="AS90" i="4"/>
  <c r="AQ90" i="4"/>
  <c r="AS53" i="4"/>
  <c r="AQ53" i="4"/>
  <c r="AS30" i="4"/>
  <c r="AQ30" i="4"/>
  <c r="AQ102" i="4"/>
  <c r="AS27" i="4"/>
  <c r="AQ14" i="4"/>
  <c r="AS14" i="4"/>
  <c r="AS10" i="4"/>
  <c r="AS46" i="4"/>
  <c r="AS36" i="4"/>
  <c r="AQ36" i="4"/>
  <c r="AS87" i="4"/>
  <c r="AQ87" i="4"/>
  <c r="AQ78" i="4"/>
  <c r="AV100" i="4"/>
  <c r="AP88" i="4"/>
  <c r="AS88" i="4"/>
  <c r="AV88" i="4" s="1"/>
  <c r="AQ88" i="4"/>
  <c r="AS61" i="4"/>
  <c r="AS41" i="4"/>
  <c r="AQ41" i="4"/>
  <c r="AQ86" i="4"/>
  <c r="AS86" i="4"/>
  <c r="AS58" i="4"/>
  <c r="AQ58" i="4"/>
  <c r="AS49" i="4"/>
  <c r="AV49" i="4" s="1"/>
  <c r="AQ49" i="4"/>
  <c r="AS101" i="4"/>
  <c r="AV101" i="4" s="1"/>
  <c r="AS26" i="4"/>
  <c r="AQ26" i="4"/>
  <c r="AS76" i="4"/>
  <c r="AQ76" i="4"/>
  <c r="AS92" i="4"/>
  <c r="AQ92" i="4"/>
  <c r="AS60" i="4"/>
  <c r="AS38" i="4"/>
  <c r="AQ38" i="4"/>
  <c r="AS44" i="4"/>
  <c r="AS84" i="4"/>
  <c r="AQ84" i="4"/>
  <c r="AS43" i="4"/>
  <c r="AQ43" i="4"/>
  <c r="AP49" i="4"/>
  <c r="AP102" i="4"/>
  <c r="AP99" i="4"/>
  <c r="AV98" i="4"/>
  <c r="AP25" i="4"/>
  <c r="AV36" i="4"/>
  <c r="AP36" i="4"/>
  <c r="AR111" i="4"/>
  <c r="AS111" i="4"/>
  <c r="AV111" i="4" s="1"/>
  <c r="AQ111" i="4"/>
  <c r="AV102" i="4" l="1"/>
  <c r="AQ23" i="4"/>
  <c r="AQ69" i="4"/>
  <c r="AQ35" i="4"/>
  <c r="AQ22" i="4"/>
  <c r="AQ16" i="4"/>
  <c r="AP101" i="4"/>
  <c r="AS102" i="4"/>
  <c r="AY36" i="4"/>
  <c r="AV48" i="4" l="1"/>
  <c r="AP48" i="4"/>
  <c r="AP76" i="4" l="1"/>
  <c r="AV76" i="4"/>
  <c r="AP34" i="4" l="1"/>
  <c r="AP37" i="4"/>
  <c r="AV34" i="4"/>
  <c r="AV37" i="4"/>
  <c r="AV44" i="4" l="1"/>
  <c r="AP44" i="4"/>
  <c r="AP42" i="4" l="1"/>
  <c r="AV42" i="4"/>
  <c r="AP39" i="4"/>
  <c r="AV39" i="4"/>
  <c r="AV32" i="4" l="1"/>
  <c r="AV40" i="4"/>
  <c r="AP40" i="4"/>
  <c r="AP18" i="4"/>
  <c r="AP94" i="4"/>
  <c r="AV94" i="4"/>
  <c r="AV71" i="4"/>
  <c r="AP32" i="4"/>
  <c r="AP71" i="4"/>
  <c r="AV79" i="4" l="1"/>
  <c r="AY40" i="4"/>
  <c r="AP79" i="4"/>
  <c r="AV18" i="4" l="1"/>
  <c r="AY39" i="4" l="1"/>
  <c r="AY18" i="4"/>
  <c r="AY94" i="4"/>
  <c r="AY32" i="4" l="1"/>
  <c r="AY71" i="4"/>
  <c r="AV69" i="4" l="1"/>
  <c r="AP69" i="4"/>
  <c r="AY69" i="4" l="1"/>
  <c r="AV56" i="4" l="1"/>
  <c r="AP56" i="4"/>
  <c r="AP62" i="4"/>
  <c r="AV62" i="4"/>
  <c r="AY62" i="4" l="1"/>
  <c r="AY56" i="4"/>
  <c r="AP30" i="4" l="1"/>
  <c r="AV30" i="4"/>
  <c r="AY30" i="4" l="1"/>
  <c r="AV16" i="4" l="1"/>
  <c r="AV73" i="4"/>
  <c r="AP73" i="4"/>
  <c r="AP16" i="4"/>
  <c r="AY16" i="4" l="1"/>
  <c r="AY73" i="4"/>
  <c r="AY114" i="4" l="1"/>
  <c r="AV41" i="4" l="1"/>
  <c r="AP41" i="4"/>
  <c r="AV87" i="4" l="1"/>
  <c r="AP87" i="4"/>
  <c r="AY87" i="4" l="1"/>
  <c r="AV61" i="4" l="1"/>
  <c r="AP61" i="4"/>
  <c r="AY61" i="4" l="1"/>
  <c r="AV23" i="4" l="1"/>
  <c r="AP23" i="4"/>
  <c r="AV63" i="4" l="1"/>
  <c r="AY23" i="4"/>
  <c r="AV75" i="4"/>
  <c r="AP75" i="4"/>
  <c r="AP63" i="4"/>
  <c r="AY75" i="4" l="1"/>
  <c r="AV74" i="4"/>
  <c r="AY63" i="4"/>
  <c r="AT106" i="4"/>
  <c r="AP74" i="4"/>
  <c r="P110" i="4"/>
  <c r="AO110" i="4" s="1"/>
  <c r="P109" i="4"/>
  <c r="AX106" i="4"/>
  <c r="AW106" i="4"/>
  <c r="AL106" i="4"/>
  <c r="AK106" i="4"/>
  <c r="AE106" i="4"/>
  <c r="O106" i="4"/>
  <c r="N106" i="4"/>
  <c r="M106" i="4"/>
  <c r="AV86" i="4" l="1"/>
  <c r="I106" i="4"/>
  <c r="AQ110" i="4"/>
  <c r="AS110" i="4"/>
  <c r="AV110" i="4" s="1"/>
  <c r="AR110" i="4"/>
  <c r="AP38" i="4"/>
  <c r="AV38" i="4"/>
  <c r="AP43" i="4"/>
  <c r="AV43" i="4"/>
  <c r="AV70" i="4"/>
  <c r="AV55" i="4"/>
  <c r="AV46" i="4"/>
  <c r="AV59" i="4"/>
  <c r="AV64" i="4"/>
  <c r="AV60" i="4"/>
  <c r="AV57" i="4"/>
  <c r="AV26" i="4"/>
  <c r="AV13" i="4"/>
  <c r="AV8" i="4"/>
  <c r="AV10" i="4"/>
  <c r="AV20" i="4"/>
  <c r="AV72" i="4"/>
  <c r="AV27" i="4"/>
  <c r="AV11" i="4"/>
  <c r="AV66" i="4"/>
  <c r="AV54" i="4"/>
  <c r="AV15" i="4"/>
  <c r="AV28" i="4"/>
  <c r="AV85" i="4"/>
  <c r="AV93" i="4"/>
  <c r="AV81" i="4"/>
  <c r="AV90" i="4"/>
  <c r="AV89" i="4"/>
  <c r="AV91" i="4"/>
  <c r="AV96" i="4"/>
  <c r="AP77" i="4"/>
  <c r="AV77" i="4"/>
  <c r="AJ109" i="4"/>
  <c r="AI109" i="4"/>
  <c r="AM106" i="4"/>
  <c r="AY74" i="4"/>
  <c r="AP72" i="4"/>
  <c r="AN106" i="4"/>
  <c r="AP11" i="4"/>
  <c r="AP55" i="4"/>
  <c r="AP59" i="4"/>
  <c r="AP66" i="4"/>
  <c r="AY41" i="4"/>
  <c r="AP10" i="4"/>
  <c r="AP60" i="4"/>
  <c r="AP85" i="4"/>
  <c r="AP93" i="4"/>
  <c r="AP20" i="4"/>
  <c r="AP96" i="4"/>
  <c r="J106" i="4"/>
  <c r="AP15" i="4"/>
  <c r="AP54" i="4"/>
  <c r="AP26" i="4"/>
  <c r="AP89" i="4"/>
  <c r="AP91" i="4"/>
  <c r="AP13" i="4"/>
  <c r="AP90" i="4"/>
  <c r="AP64" i="4"/>
  <c r="AY79" i="4"/>
  <c r="AP27" i="4"/>
  <c r="AP57" i="4"/>
  <c r="AP28" i="4"/>
  <c r="AP46" i="4"/>
  <c r="AP81" i="4"/>
  <c r="AP70" i="4"/>
  <c r="AP86" i="4"/>
  <c r="AS7" i="4" l="1"/>
  <c r="AV17" i="4"/>
  <c r="AP35" i="4"/>
  <c r="AV35" i="4"/>
  <c r="AY13" i="4"/>
  <c r="AY93" i="4"/>
  <c r="AY15" i="4"/>
  <c r="AY70" i="4"/>
  <c r="AY46" i="4"/>
  <c r="AY54" i="4"/>
  <c r="AY64" i="4"/>
  <c r="AY55" i="4"/>
  <c r="AV29" i="4"/>
  <c r="AV12" i="4"/>
  <c r="AV7" i="4"/>
  <c r="AY28" i="4"/>
  <c r="AV97" i="4"/>
  <c r="AY96" i="4"/>
  <c r="AV92" i="4"/>
  <c r="AP17" i="4"/>
  <c r="AO109" i="4"/>
  <c r="AQ109" i="4" s="1"/>
  <c r="AY77" i="4"/>
  <c r="AP12" i="4"/>
  <c r="AP92" i="4"/>
  <c r="AP97" i="4"/>
  <c r="AP29" i="4"/>
  <c r="AY91" i="4"/>
  <c r="AY42" i="4"/>
  <c r="AY66" i="4"/>
  <c r="AY57" i="4"/>
  <c r="AY60" i="4"/>
  <c r="AY20" i="4"/>
  <c r="AY8" i="4"/>
  <c r="AY72" i="4"/>
  <c r="AY26" i="4"/>
  <c r="AY89" i="4"/>
  <c r="AY59" i="4"/>
  <c r="AY27" i="4"/>
  <c r="AY85" i="4"/>
  <c r="AY90" i="4"/>
  <c r="AY81" i="4"/>
  <c r="AY10" i="4"/>
  <c r="AY11" i="4"/>
  <c r="AY86" i="4"/>
  <c r="AV33" i="4"/>
  <c r="AV95" i="4"/>
  <c r="AV84" i="4"/>
  <c r="AV52" i="4"/>
  <c r="AV51" i="4"/>
  <c r="AV65" i="4"/>
  <c r="AV53" i="4"/>
  <c r="AV78" i="4"/>
  <c r="AV19" i="4"/>
  <c r="AV9" i="4"/>
  <c r="AV67" i="4"/>
  <c r="AV21" i="4"/>
  <c r="AV31" i="4"/>
  <c r="AV14" i="4"/>
  <c r="AV68" i="4"/>
  <c r="AV83" i="4"/>
  <c r="AU106" i="4"/>
  <c r="AP52" i="4"/>
  <c r="AP53" i="4"/>
  <c r="AP84" i="4"/>
  <c r="AP31" i="4"/>
  <c r="AP45" i="4"/>
  <c r="AV45" i="4"/>
  <c r="AV22" i="4"/>
  <c r="AV82" i="4"/>
  <c r="AP50" i="4"/>
  <c r="AV50" i="4"/>
  <c r="AP47" i="4"/>
  <c r="AV47" i="4"/>
  <c r="AP58" i="4"/>
  <c r="AV58" i="4"/>
  <c r="AP80" i="4"/>
  <c r="AV80" i="4"/>
  <c r="AP19" i="4"/>
  <c r="AP22" i="4"/>
  <c r="AP67" i="4"/>
  <c r="AP68" i="4"/>
  <c r="AP51" i="4"/>
  <c r="AP33" i="4"/>
  <c r="AP14" i="4"/>
  <c r="AH106" i="4"/>
  <c r="AP65" i="4"/>
  <c r="AP78" i="4"/>
  <c r="AP95" i="4"/>
  <c r="AI106" i="4"/>
  <c r="AJ106" i="4"/>
  <c r="AP82" i="4"/>
  <c r="AP21" i="4"/>
  <c r="AP9" i="4"/>
  <c r="AP83" i="4"/>
  <c r="AY83" i="4" l="1"/>
  <c r="AY65" i="4"/>
  <c r="AY51" i="4"/>
  <c r="AY19" i="4"/>
  <c r="AY52" i="4"/>
  <c r="AY9" i="4"/>
  <c r="AY68" i="4"/>
  <c r="AY31" i="4"/>
  <c r="AY21" i="4"/>
  <c r="AY95" i="4"/>
  <c r="AY14" i="4"/>
  <c r="AY67" i="4"/>
  <c r="AY84" i="4"/>
  <c r="AY78" i="4"/>
  <c r="AY33" i="4"/>
  <c r="AY53" i="4"/>
  <c r="AY35" i="4"/>
  <c r="AY97" i="4"/>
  <c r="AY29" i="4"/>
  <c r="AY38" i="4"/>
  <c r="AY17" i="4"/>
  <c r="AY92" i="4"/>
  <c r="AR109" i="4"/>
  <c r="AS109" i="4"/>
  <c r="AV109" i="4" s="1"/>
  <c r="AV112" i="4" s="1"/>
  <c r="AV113" i="4" s="1"/>
  <c r="AY12" i="4"/>
  <c r="AY43" i="4"/>
  <c r="AY22" i="4"/>
  <c r="AY45" i="4"/>
  <c r="AY82" i="4"/>
  <c r="AY50" i="4"/>
  <c r="AY58" i="4"/>
  <c r="AY80" i="4"/>
  <c r="AY7" i="4"/>
  <c r="P106" i="4" l="1"/>
  <c r="AS106" i="4"/>
  <c r="AQ106" i="4"/>
  <c r="AP24" i="4"/>
  <c r="AO106" i="4" l="1"/>
  <c r="AV24" i="4"/>
  <c r="AV106" i="4" s="1"/>
  <c r="AR106" i="4" l="1"/>
  <c r="AY24" i="4"/>
  <c r="AY106" i="4" s="1"/>
  <c r="AV107" i="4"/>
  <c r="AV108" i="4" s="1"/>
  <c r="C7" i="4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</calcChain>
</file>

<file path=xl/comments1.xml><?xml version="1.0" encoding="utf-8"?>
<comments xmlns="http://schemas.openxmlformats.org/spreadsheetml/2006/main">
  <authors>
    <author>ljimenez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SALARIO DIARIO INTEGRADO
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SALARIO BASE DE COTIZACION</t>
        </r>
      </text>
    </comment>
  </commentList>
</comments>
</file>

<file path=xl/sharedStrings.xml><?xml version="1.0" encoding="utf-8"?>
<sst xmlns="http://schemas.openxmlformats.org/spreadsheetml/2006/main" count="482" uniqueCount="212">
  <si>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</si>
  <si>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</si>
  <si>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</si>
  <si>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</si>
  <si>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</si>
  <si>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</si>
  <si>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</si>
  <si>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</si>
  <si>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</si>
  <si>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</si>
  <si>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</si>
  <si>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</si>
  <si>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</si>
  <si>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</si>
  <si>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</si>
  <si>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</si>
  <si>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</si>
  <si>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</si>
  <si>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</si>
  <si>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</si>
  <si>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</si>
  <si>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</si>
  <si>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</si>
  <si>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</si>
  <si>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</si>
  <si>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</si>
  <si>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</si>
  <si>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</si>
  <si>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</si>
  <si>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</si>
  <si>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</si>
  <si>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</si>
  <si>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</si>
  <si>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</si>
  <si>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</si>
  <si>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</si>
  <si>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</si>
  <si>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</si>
  <si>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</si>
  <si>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</si>
  <si>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</si>
  <si>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</si>
  <si>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</si>
  <si>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</si>
  <si>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</si>
  <si>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HOJALATERO</t>
  </si>
  <si>
    <t>TELEMARKETING</t>
  </si>
  <si>
    <t>VIGILANTE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</si>
  <si>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</si>
  <si>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</si>
  <si>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</si>
  <si>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</si>
  <si>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</si>
  <si>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</si>
  <si>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</si>
  <si>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</si>
  <si>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</si>
  <si>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</si>
  <si>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</si>
  <si>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</si>
  <si>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</si>
  <si>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</si>
  <si>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</si>
  <si>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</si>
  <si>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</si>
  <si>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</si>
  <si>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</si>
  <si>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</si>
  <si>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</si>
  <si>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MIJANGOS HERNANDEZ JULIO CESAR</t>
  </si>
  <si>
    <t>REYES FLORES ALAN RICARDO</t>
  </si>
  <si>
    <t>AGUILAR GONZALEZ ANAEL</t>
  </si>
  <si>
    <t>ARROYO ZARAZUA GILBERTO</t>
  </si>
  <si>
    <t>HERNANDEZ SOLIS GUMERCINDO</t>
  </si>
  <si>
    <t>CRUZ ORTIZ JUAN ANTONIO</t>
  </si>
  <si>
    <t>FONSECA GUILLEN JOSE FELIPE</t>
  </si>
  <si>
    <t>HERNANDEZ SILVA EDGAR SAMUEL</t>
  </si>
  <si>
    <t>MARTINEZ LORENZO LUIS ALEJANDRO</t>
  </si>
  <si>
    <t>AGUILAR BRAVO CRISTIAN SAUL</t>
  </si>
  <si>
    <t>TINOCO LOPEZ ALFREDO</t>
  </si>
  <si>
    <t>NUÑEZ DE JESUS JOSE DANIEL</t>
  </si>
  <si>
    <t>RIVERA AGUILAR GABRIEL</t>
  </si>
  <si>
    <t>CASTILLO ORDOÑEZ JORGE</t>
  </si>
  <si>
    <t>FECHA DE INICIO</t>
  </si>
  <si>
    <t>COACH</t>
  </si>
  <si>
    <t>CUENTA</t>
  </si>
  <si>
    <t>OBSERVACIONES</t>
  </si>
  <si>
    <t>MALDONADO HERNANDEZ ERICK</t>
  </si>
  <si>
    <t>NORIA BADILLO JUAN JOSE</t>
  </si>
  <si>
    <t>MARTINEZ GALLEGOS LUIS FERNANDO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</si>
  <si>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</si>
  <si>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</si>
  <si>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</si>
  <si>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</si>
  <si>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</si>
  <si>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</si>
  <si>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TORIBIO DEL ANGEL OSCAR</t>
  </si>
  <si>
    <t>UNIFORMES</t>
  </si>
  <si>
    <t>PALETA GUADARRAMA RICARDO</t>
  </si>
  <si>
    <t>Subsidio</t>
  </si>
  <si>
    <t>ESPECIALES</t>
  </si>
  <si>
    <t>CORONEL DE LEON JONATHAN</t>
  </si>
  <si>
    <t>MORALES SANCHEZ ANGEL</t>
  </si>
  <si>
    <t>COACH DE VENTAS SEMINUEVOS</t>
  </si>
  <si>
    <t>SERENO CUELLAR JUVENAL</t>
  </si>
  <si>
    <t>MONTES DE OCA JUAREZ JOSE ANTONIO</t>
  </si>
  <si>
    <t>NIETO MEDINA PEDRO EMMANUEL</t>
  </si>
  <si>
    <t>DISPERSION</t>
  </si>
  <si>
    <t>INCAPACIDADES</t>
  </si>
  <si>
    <t>QUILLO ARRIAGA OSIEL JONATHAN</t>
  </si>
  <si>
    <t>BARRAGAN SERRANO HECTOR TONATIUH</t>
  </si>
  <si>
    <t>CORTES MIRANDA CARLOS ARMANDO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</si>
  <si>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</si>
  <si>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</si>
  <si>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</si>
  <si>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</si>
  <si>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</si>
  <si>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</si>
  <si>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</si>
  <si>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</si>
  <si>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</si>
  <si>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GRANADOS PEREZ BRENDA LAURA</t>
  </si>
  <si>
    <t>DOMINGUEZ ALCANTARA MIGUEL ANGEL</t>
  </si>
  <si>
    <t>MELENDEZ PADILLA CLAUDIA CRISTINA</t>
  </si>
  <si>
    <t>Sueldo Semanal</t>
  </si>
  <si>
    <t>OLVERA TAPIA SERGIO ANIRAK</t>
  </si>
  <si>
    <t>ENRIQUEZ RUBIO FERNANDO</t>
  </si>
  <si>
    <t>BLANCO SALOMON RACIEL</t>
  </si>
  <si>
    <t>TRONCOSO PEÑA GERARDO</t>
  </si>
  <si>
    <t>PATIÑO NAVARRO OSCAR MARTIN</t>
  </si>
  <si>
    <t>HEREDIA HERNANDEZ ANDREA</t>
  </si>
  <si>
    <t>HERNANDEZ ARREOLA RODOLFO MAYOLO</t>
  </si>
  <si>
    <t>MORALES ROSAS ISRAEL</t>
  </si>
  <si>
    <t>GUTIERREZ OLVERA ARMANDO</t>
  </si>
  <si>
    <t>HURTADO PAJARO JOSE</t>
  </si>
  <si>
    <t>JEFE DE TALLER</t>
  </si>
  <si>
    <t>GALLEGOS RAMIREZ JOSE</t>
  </si>
  <si>
    <t>TECNICO</t>
  </si>
  <si>
    <t>REYES ARMADILLO JORGE ANDRES</t>
  </si>
  <si>
    <t>FALTAS</t>
  </si>
  <si>
    <t>GUERRERO GOMEZ MARVIN NOE</t>
  </si>
  <si>
    <t>SIFONTES SARDUA DAYAN JESUS</t>
  </si>
  <si>
    <t>Periodo Semana 31</t>
  </si>
  <si>
    <t>27/07/2016 AL 02/08/2016</t>
  </si>
  <si>
    <t xml:space="preserve">FEREGRINO RAMIREZ JUAN MANUEL </t>
  </si>
  <si>
    <t>RODRIGUEZ RODRIGUEZ RODOLFO ANUAR</t>
  </si>
  <si>
    <t xml:space="preserve">RANGEL ZUÑIGA HUGO </t>
  </si>
  <si>
    <t>BARCENAS COMENERO JORGE ALEJANDRO</t>
  </si>
  <si>
    <t xml:space="preserve">SOLORZANO LUNA MARIANA </t>
  </si>
  <si>
    <t>LOPEZ MIRELES ERICK</t>
  </si>
  <si>
    <t>SANTIAGO MATILDE URIEL</t>
  </si>
  <si>
    <t>VALDEZ MARTINEZ JOSE MARTIN</t>
  </si>
  <si>
    <t>AGUILAR PEREZ MARCO ARTEMIO</t>
  </si>
  <si>
    <t>BERDEJA LEON FRANCISCO GERARDO</t>
  </si>
  <si>
    <t>HERNANDEZ CHAVEZ PEDRO</t>
  </si>
  <si>
    <t>LOBATO RECAMIER ROSSELIN CATALINA</t>
  </si>
  <si>
    <t>SANCHEZ LOPEZ GABRIEL</t>
  </si>
  <si>
    <t>HERNANDEZ HERRERA J HECTOR</t>
  </si>
  <si>
    <t>CAMACHO HERNANDEZ LEOPOLDO</t>
  </si>
  <si>
    <t>PADILLA RUIZ JOSE ANTONIO</t>
  </si>
  <si>
    <t xml:space="preserve">SEMINUEVOS </t>
  </si>
  <si>
    <t xml:space="preserve">TECNICO </t>
  </si>
  <si>
    <t xml:space="preserve">VENTAS </t>
  </si>
  <si>
    <t>VIGILANCIA</t>
  </si>
  <si>
    <t>MANTENIMIENTO</t>
  </si>
  <si>
    <t>AYUDANTE</t>
  </si>
  <si>
    <t xml:space="preserve">AYUDANTE </t>
  </si>
  <si>
    <t>TECNICO A</t>
  </si>
  <si>
    <t>TECNICO B</t>
  </si>
  <si>
    <t>ESTETICAS AYUDANTE</t>
  </si>
  <si>
    <t>QM</t>
  </si>
  <si>
    <t>BASE SEMANAL</t>
  </si>
  <si>
    <t>INFONAVIT</t>
  </si>
  <si>
    <t>SDI</t>
  </si>
  <si>
    <t>SBC</t>
  </si>
  <si>
    <t>SD</t>
  </si>
  <si>
    <t>SMGDF</t>
  </si>
  <si>
    <t>SUELDO MENSUAL</t>
  </si>
  <si>
    <t>IMSS EMPRESA</t>
  </si>
  <si>
    <t>IMSS TRABAJADOR</t>
  </si>
  <si>
    <t>Impuesto - Artículo 113</t>
  </si>
  <si>
    <t>Subsidio - Artículo 114</t>
  </si>
  <si>
    <t>Crédito al salario - Artículo 115</t>
  </si>
  <si>
    <t>Límite</t>
  </si>
  <si>
    <t>Cuota</t>
  </si>
  <si>
    <t>% Exce-</t>
  </si>
  <si>
    <t>% s/</t>
  </si>
  <si>
    <t>Con ingreso</t>
  </si>
  <si>
    <t>Hasta</t>
  </si>
  <si>
    <t>Crédito</t>
  </si>
  <si>
    <t>inferior</t>
  </si>
  <si>
    <t>superior</t>
  </si>
  <si>
    <t>fija</t>
  </si>
  <si>
    <t>dente del</t>
  </si>
  <si>
    <t>impuesto</t>
  </si>
  <si>
    <t>desde</t>
  </si>
  <si>
    <t>(ingreso)</t>
  </si>
  <si>
    <t>al salario</t>
  </si>
  <si>
    <t>lím. inferior</t>
  </si>
  <si>
    <t>marginal</t>
  </si>
  <si>
    <t>... y más</t>
  </si>
  <si>
    <t xml:space="preserve"> En adelante </t>
  </si>
  <si>
    <t>TASA</t>
  </si>
  <si>
    <t>LI</t>
  </si>
  <si>
    <t>EXEDENTE</t>
  </si>
  <si>
    <t>CUOTA FIJA</t>
  </si>
  <si>
    <t>ISR PROMEDIO MENSUAL</t>
  </si>
  <si>
    <t>ISR PERIODO</t>
  </si>
  <si>
    <t>TOTAL</t>
  </si>
  <si>
    <t>TOTAL A PERCIVIR</t>
  </si>
  <si>
    <t xml:space="preserve">EMPRESA </t>
  </si>
  <si>
    <t>EMPLEADO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</si>
</sst>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dd/mm/yy"/>
  </numFmts>
  <fonts count="19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7" borderId="0" xfId="0" applyFont="1" applyFill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vertic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14" fontId="6" fillId="0" borderId="7" xfId="0" applyNumberFormat="1" applyFont="1" applyFill="1" applyBorder="1" applyAlignment="1"/>
    <xf numFmtId="0" fontId="7" fillId="11" borderId="7" xfId="0" applyFont="1" applyFill="1" applyBorder="1"/>
    <xf numFmtId="0" fontId="6" fillId="7" borderId="7" xfId="0" applyFont="1" applyFill="1" applyBorder="1"/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7" fillId="7" borderId="7" xfId="0" applyFont="1" applyFill="1" applyBorder="1"/>
    <xf numFmtId="14" fontId="6" fillId="7" borderId="7" xfId="4" applyNumberFormat="1" applyFont="1" applyFill="1" applyBorder="1" applyAlignment="1"/>
    <xf numFmtId="43" fontId="11" fillId="7" borderId="7" xfId="2" applyFont="1" applyFill="1" applyBorder="1"/>
    <xf numFmtId="43" fontId="1" fillId="7" borderId="7" xfId="2" applyFill="1" applyBorder="1"/>
    <xf numFmtId="14" fontId="6" fillId="0" borderId="7" xfId="0" applyNumberFormat="1" applyFont="1" applyBorder="1"/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0" fontId="14" fillId="0" borderId="7" xfId="0" applyFont="1" applyFill="1" applyBorder="1" applyAlignment="1">
      <alignment wrapText="1"/>
    </xf>
    <xf numFmtId="43" fontId="7" fillId="9" borderId="1" xfId="2" applyFont="1" applyFill="1" applyBorder="1" applyAlignment="1">
      <alignment horizontal="center" wrapText="1"/>
    </xf>
    <xf numFmtId="43" fontId="7" fillId="9" borderId="2" xfId="2" applyFont="1" applyFill="1" applyBorder="1" applyAlignment="1">
      <alignment horizontal="center" wrapText="1"/>
    </xf>
    <xf numFmtId="43" fontId="7" fillId="7" borderId="1" xfId="2" applyFont="1" applyFill="1" applyBorder="1" applyAlignment="1">
      <alignment horizontal="center" wrapText="1"/>
    </xf>
    <xf numFmtId="43" fontId="7" fillId="7" borderId="2" xfId="2" applyFont="1" applyFill="1" applyBorder="1" applyAlignment="1">
      <alignment horizontal="center" wrapText="1"/>
    </xf>
    <xf numFmtId="43" fontId="7" fillId="10" borderId="1" xfId="2" applyFont="1" applyFill="1" applyBorder="1" applyAlignment="1">
      <alignment horizontal="center" wrapText="1"/>
    </xf>
    <xf numFmtId="43" fontId="7" fillId="10" borderId="2" xfId="2" applyFont="1" applyFill="1" applyBorder="1" applyAlignment="1">
      <alignment horizontal="center" wrapText="1"/>
    </xf>
    <xf numFmtId="43" fontId="7" fillId="7" borderId="2" xfId="2" applyFont="1" applyFill="1" applyBorder="1" applyAlignment="1">
      <alignment horizontal="center" wrapText="1"/>
    </xf>
    <xf numFmtId="43" fontId="7" fillId="8" borderId="2" xfId="2" applyFont="1" applyFill="1" applyBorder="1" applyAlignment="1">
      <alignment horizontal="center" wrapText="1"/>
    </xf>
    <xf numFmtId="43" fontId="7" fillId="8" borderId="8" xfId="2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center" vertical="center" wrapText="1"/>
    </xf>
    <xf numFmtId="43" fontId="7" fillId="8" borderId="1" xfId="2" applyFont="1" applyFill="1" applyBorder="1" applyAlignment="1">
      <alignment horizontal="center" wrapText="1"/>
    </xf>
    <xf numFmtId="0" fontId="7" fillId="8" borderId="8" xfId="0" applyFont="1" applyFill="1" applyBorder="1" applyAlignment="1">
      <alignment horizontal="center" vertical="center" wrapText="1"/>
    </xf>
    <xf numFmtId="43" fontId="7" fillId="8" borderId="2" xfId="2" applyFont="1" applyFill="1" applyBorder="1" applyAlignment="1">
      <alignment horizontal="center" wrapText="1"/>
    </xf>
    <xf numFmtId="43" fontId="7" fillId="7" borderId="1" xfId="2" applyFont="1" applyFill="1" applyBorder="1" applyAlignment="1">
      <alignment horizontal="center" wrapText="1"/>
    </xf>
    <xf numFmtId="43" fontId="7" fillId="6" borderId="1" xfId="2" applyFont="1" applyFill="1" applyBorder="1" applyAlignment="1">
      <alignment horizontal="center" wrapText="1"/>
    </xf>
    <xf numFmtId="43" fontId="7" fillId="6" borderId="2" xfId="2" applyFont="1" applyFill="1" applyBorder="1" applyAlignment="1">
      <alignment horizontal="center" wrapText="1"/>
    </xf>
    <xf numFmtId="9" fontId="7" fillId="0" borderId="0" xfId="6" applyFont="1" applyFill="1" applyAlignment="1" applyProtection="1">
      <alignment horizontal="center"/>
    </xf>
    <xf numFmtId="9" fontId="7" fillId="0" borderId="0" xfId="6" applyFont="1"/>
    <xf numFmtId="9" fontId="7" fillId="7" borderId="2" xfId="6" applyFont="1" applyFill="1" applyBorder="1" applyAlignment="1">
      <alignment horizontal="center" wrapText="1"/>
    </xf>
    <xf numFmtId="9" fontId="7" fillId="0" borderId="7" xfId="6" applyFont="1" applyFill="1" applyBorder="1"/>
    <xf numFmtId="9" fontId="7" fillId="0" borderId="8" xfId="6" applyFont="1" applyFill="1" applyBorder="1"/>
    <xf numFmtId="9" fontId="7" fillId="0" borderId="7" xfId="6" applyFont="1" applyBorder="1"/>
    <xf numFmtId="9" fontId="7" fillId="7" borderId="7" xfId="6" applyFont="1" applyFill="1" applyBorder="1"/>
    <xf numFmtId="9" fontId="7" fillId="3" borderId="7" xfId="6" applyFont="1" applyFill="1" applyBorder="1"/>
    <xf numFmtId="9" fontId="0" fillId="0" borderId="0" xfId="6" applyFont="1"/>
    <xf numFmtId="44" fontId="7" fillId="0" borderId="0" xfId="5" applyFont="1" applyFill="1" applyAlignment="1" applyProtection="1">
      <alignment horizontal="center"/>
    </xf>
    <xf numFmtId="44" fontId="7" fillId="0" borderId="0" xfId="5" applyFont="1"/>
    <xf numFmtId="44" fontId="7" fillId="7" borderId="2" xfId="5" applyFont="1" applyFill="1" applyBorder="1" applyAlignment="1">
      <alignment horizontal="center" wrapText="1"/>
    </xf>
    <xf numFmtId="44" fontId="7" fillId="0" borderId="7" xfId="5" applyFont="1" applyFill="1" applyBorder="1"/>
    <xf numFmtId="44" fontId="7" fillId="0" borderId="8" xfId="5" applyFont="1" applyFill="1" applyBorder="1"/>
    <xf numFmtId="44" fontId="7" fillId="0" borderId="7" xfId="5" applyFont="1" applyBorder="1"/>
    <xf numFmtId="44" fontId="7" fillId="7" borderId="7" xfId="5" applyFont="1" applyFill="1" applyBorder="1"/>
    <xf numFmtId="44" fontId="7" fillId="3" borderId="7" xfId="5" applyFont="1" applyFill="1" applyBorder="1"/>
    <xf numFmtId="43" fontId="7" fillId="8" borderId="3" xfId="2" applyFont="1" applyFill="1" applyBorder="1" applyAlignment="1">
      <alignment horizontal="center" wrapText="1"/>
    </xf>
    <xf numFmtId="43" fontId="7" fillId="8" borderId="4" xfId="2" applyFont="1" applyFill="1" applyBorder="1" applyAlignment="1">
      <alignment horizontal="center" wrapText="1"/>
    </xf>
    <xf numFmtId="0" fontId="0" fillId="0" borderId="7" xfId="0" applyFont="1" applyFill="1" applyBorder="1" applyAlignment="1">
      <alignment wrapText="1"/>
    </xf>
    <xf numFmtId="1" fontId="0" fillId="0" borderId="7" xfId="0" applyNumberFormat="1" applyFont="1" applyFill="1" applyBorder="1" applyAlignment="1">
      <alignment horizontal="center"/>
    </xf>
    <xf numFmtId="43" fontId="0" fillId="0" borderId="7" xfId="2" applyFont="1" applyFill="1" applyBorder="1"/>
    <xf numFmtId="43" fontId="0" fillId="0" borderId="7" xfId="2" applyFont="1" applyFill="1" applyBorder="1" applyAlignment="1">
      <alignment horizontal="center"/>
    </xf>
    <xf numFmtId="0" fontId="0" fillId="0" borderId="0" xfId="0" applyFont="1" applyFill="1"/>
    <xf numFmtId="0" fontId="0" fillId="0" borderId="7" xfId="0" applyFont="1" applyFill="1" applyBorder="1"/>
    <xf numFmtId="165" fontId="0" fillId="0" borderId="7" xfId="0" applyNumberFormat="1" applyFont="1" applyFill="1" applyBorder="1"/>
    <xf numFmtId="43" fontId="17" fillId="0" borderId="7" xfId="2" applyFont="1" applyFill="1" applyBorder="1"/>
    <xf numFmtId="43" fontId="14" fillId="0" borderId="7" xfId="2" applyFont="1" applyFill="1" applyBorder="1"/>
    <xf numFmtId="9" fontId="14" fillId="0" borderId="7" xfId="6" applyFont="1" applyFill="1" applyBorder="1"/>
    <xf numFmtId="44" fontId="14" fillId="0" borderId="7" xfId="5" applyFont="1" applyFill="1" applyBorder="1"/>
    <xf numFmtId="4" fontId="0" fillId="0" borderId="7" xfId="0" applyNumberFormat="1" applyFont="1" applyFill="1" applyBorder="1" applyAlignment="1">
      <alignment wrapText="1"/>
    </xf>
    <xf numFmtId="165" fontId="0" fillId="0" borderId="7" xfId="0" applyNumberFormat="1" applyFont="1" applyFill="1" applyBorder="1" applyAlignment="1">
      <alignment horizontal="right" vertical="center"/>
    </xf>
    <xf numFmtId="43" fontId="0" fillId="0" borderId="9" xfId="2" applyFont="1" applyFill="1" applyBorder="1"/>
    <xf numFmtId="2" fontId="0" fillId="0" borderId="7" xfId="0" applyNumberFormat="1" applyFont="1" applyFill="1" applyBorder="1"/>
    <xf numFmtId="4" fontId="0" fillId="0" borderId="7" xfId="0" applyNumberFormat="1" applyFont="1" applyFill="1" applyBorder="1"/>
    <xf numFmtId="0" fontId="18" fillId="0" borderId="7" xfId="0" applyFont="1" applyFill="1" applyBorder="1"/>
    <xf numFmtId="14" fontId="0" fillId="0" borderId="7" xfId="0" applyNumberFormat="1" applyFont="1" applyFill="1" applyBorder="1"/>
    <xf numFmtId="0" fontId="14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wrapText="1"/>
    </xf>
  </cellXfs>
  <cellStyles count="7">
    <cellStyle name="Excel Built-in Normal" xfId="1"/>
    <cellStyle name="Millares" xfId="2" builtinId="3"/>
    <cellStyle name="Moneda" xfId="5" builtinId="4"/>
    <cellStyle name="Normal" xfId="0" builtinId="0"/>
    <cellStyle name="Normal 4" xfId="4"/>
    <cellStyle name="Normal_Hoja1" xfId="3"/>
    <cellStyle name="Porcentaje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BCD6EE"/>
      <color rgb="FFFF00FF"/>
      <color rgb="FFFFFF66"/>
      <color rgb="FFF4B082"/>
      <color rgb="FF99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Y132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6" sqref="O16"/>
    </sheetView>
  </sheetViews>
  <sheetFormatPr baseColWidth="10" defaultColWidth="11.5703125" defaultRowHeight="15"/>
  <cols>
    <col min="1" max="1" width="28.7109375" style="19" customWidth="1"/>
    <col min="2" max="2" width="51.85546875" style="19" customWidth="1"/>
    <col min="3" max="3" width="8.140625" style="19" customWidth="1"/>
    <col min="4" max="4" width="8.85546875" style="19" customWidth="1"/>
    <col min="5" max="5" width="16.7109375" style="19" customWidth="1"/>
    <col min="6" max="6" width="12.7109375" style="19" hidden="1" customWidth="1"/>
    <col min="7" max="8" width="13" style="19" customWidth="1"/>
    <col min="9" max="12" width="13.85546875" style="13" customWidth="1"/>
    <col min="13" max="15" width="13.5703125" style="13" customWidth="1"/>
    <col min="16" max="16" width="17" style="14" customWidth="1"/>
    <col min="17" max="20" width="17" style="14" hidden="1" customWidth="1"/>
    <col min="21" max="21" width="17" style="113" hidden="1" customWidth="1"/>
    <col min="22" max="22" width="17" style="122" hidden="1" customWidth="1"/>
    <col min="23" max="24" width="17" style="14" hidden="1" customWidth="1"/>
    <col min="25" max="30" width="17" style="14" customWidth="1"/>
    <col min="31" max="33" width="13.5703125" style="13" hidden="1" customWidth="1"/>
    <col min="34" max="34" width="13.5703125" style="15" hidden="1" customWidth="1"/>
    <col min="35" max="35" width="19.28515625" style="15" hidden="1" customWidth="1"/>
    <col min="36" max="36" width="16.85546875" style="15" hidden="1" customWidth="1"/>
    <col min="37" max="37" width="16.140625" style="15" hidden="1" customWidth="1"/>
    <col min="38" max="39" width="13.5703125" style="13" hidden="1" customWidth="1"/>
    <col min="40" max="40" width="13.5703125" style="13" customWidth="1"/>
    <col min="41" max="42" width="16.7109375" style="14" customWidth="1"/>
    <col min="43" max="43" width="16.7109375" style="13" customWidth="1"/>
    <col min="44" max="44" width="15.42578125" style="14" customWidth="1"/>
    <col min="45" max="47" width="13.5703125" style="13" customWidth="1"/>
    <col min="48" max="48" width="15.42578125" style="14" customWidth="1"/>
    <col min="49" max="49" width="15.28515625" style="58" hidden="1" customWidth="1"/>
    <col min="50" max="50" width="12.7109375" style="58" hidden="1" customWidth="1"/>
    <col min="51" max="51" width="11.5703125" style="1" hidden="1" customWidth="1"/>
    <col min="52" max="52" width="36.7109375" style="19" customWidth="1"/>
    <col min="53" max="53" width="65.85546875" style="19" customWidth="1"/>
    <col min="54" max="67" width="11.5703125" style="18"/>
    <col min="68" max="16384" width="11.5703125" style="19"/>
  </cols>
  <sheetData>
    <row r="1" spans="1:67" s="7" customFormat="1">
      <c r="A1" s="2" t="s">
        <v>2</v>
      </c>
      <c r="B1" s="2"/>
      <c r="C1" s="2"/>
      <c r="D1" s="2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112"/>
      <c r="V1" s="121"/>
      <c r="W1" s="5"/>
      <c r="X1" s="5"/>
      <c r="Y1" s="5"/>
      <c r="Z1" s="5"/>
      <c r="AA1" s="5"/>
      <c r="AB1" s="5"/>
      <c r="AC1" s="5"/>
      <c r="AD1" s="5"/>
      <c r="AE1" s="4"/>
      <c r="AF1" s="4"/>
      <c r="AG1" s="4"/>
      <c r="AH1" s="4"/>
      <c r="AI1" s="4"/>
      <c r="AJ1" s="4"/>
      <c r="AK1" s="4"/>
      <c r="AL1" s="4"/>
      <c r="AM1" s="4"/>
      <c r="AN1" s="4"/>
      <c r="AO1" s="5"/>
      <c r="AP1" s="5"/>
      <c r="AQ1" s="4"/>
      <c r="AR1" s="5"/>
      <c r="AS1" s="4"/>
      <c r="AT1" s="4"/>
      <c r="AU1" s="4"/>
      <c r="AV1" s="5"/>
      <c r="AW1" s="57"/>
      <c r="AX1" s="57"/>
      <c r="AY1" s="27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</row>
    <row r="2" spans="1:67" s="7" customFormat="1">
      <c r="A2" s="8" t="s">
        <v>34</v>
      </c>
      <c r="B2" s="8"/>
      <c r="C2" s="8"/>
      <c r="D2" s="8"/>
      <c r="E2" s="9"/>
      <c r="F2" s="9"/>
      <c r="G2" s="9"/>
      <c r="H2" s="9"/>
      <c r="I2" s="4"/>
      <c r="J2" s="4"/>
      <c r="K2" s="4"/>
      <c r="L2" s="4"/>
      <c r="M2" s="4"/>
      <c r="N2" s="4"/>
      <c r="O2" s="4"/>
      <c r="P2" s="5"/>
      <c r="Q2" s="5" t="s">
        <v>176</v>
      </c>
      <c r="R2" s="5">
        <f>73.04</f>
        <v>73.040000000000006</v>
      </c>
      <c r="S2" s="5"/>
      <c r="T2" s="5"/>
      <c r="U2" s="112"/>
      <c r="V2" s="121"/>
      <c r="W2" s="5"/>
      <c r="X2" s="5"/>
      <c r="Y2" s="5"/>
      <c r="Z2" s="5"/>
      <c r="AA2" s="5"/>
      <c r="AB2" s="5"/>
      <c r="AC2" s="5"/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  <c r="AO2" s="5"/>
      <c r="AP2" s="5"/>
      <c r="AQ2" s="4"/>
      <c r="AR2" s="5"/>
      <c r="AS2" s="4"/>
      <c r="AT2" s="4"/>
      <c r="AU2" s="4"/>
      <c r="AV2" s="5"/>
      <c r="AW2" s="57"/>
      <c r="AX2" s="57"/>
      <c r="AY2" s="27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spans="1:67" s="7" customFormat="1">
      <c r="A3" s="10" t="s">
        <v>142</v>
      </c>
      <c r="B3" s="10"/>
      <c r="C3" s="10"/>
      <c r="D3" s="10"/>
      <c r="E3" s="11"/>
      <c r="F3" s="11"/>
      <c r="G3" s="11"/>
      <c r="H3" s="11"/>
      <c r="I3" s="4"/>
      <c r="J3" s="4"/>
      <c r="K3" s="4"/>
      <c r="L3" s="4"/>
      <c r="M3" s="4"/>
      <c r="N3" s="4"/>
      <c r="O3" s="4"/>
      <c r="P3" s="5"/>
      <c r="Q3" s="5"/>
      <c r="R3" s="5"/>
      <c r="S3" s="5"/>
      <c r="T3" s="5"/>
      <c r="U3" s="112"/>
      <c r="V3" s="121"/>
      <c r="W3" s="5"/>
      <c r="X3" s="5"/>
      <c r="Y3" s="5"/>
      <c r="Z3" s="5"/>
      <c r="AA3" s="5"/>
      <c r="AB3" s="5"/>
      <c r="AC3" s="5"/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  <c r="AO3" s="5"/>
      <c r="AP3" s="5"/>
      <c r="AQ3" s="4"/>
      <c r="AR3" s="5"/>
      <c r="AS3" s="4"/>
      <c r="AT3" s="4"/>
      <c r="AU3" s="4"/>
      <c r="AV3" s="5"/>
      <c r="AW3" s="57"/>
      <c r="AX3" s="57"/>
      <c r="AY3" s="27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</row>
    <row r="4" spans="1:67" s="12" customFormat="1">
      <c r="A4" s="12" t="s">
        <v>143</v>
      </c>
      <c r="I4" s="13"/>
      <c r="J4" s="13"/>
      <c r="K4" s="13"/>
      <c r="L4" s="13"/>
      <c r="M4" s="13"/>
      <c r="N4" s="13"/>
      <c r="O4" s="13"/>
      <c r="P4" s="14"/>
      <c r="Q4" s="14"/>
      <c r="R4" s="14"/>
      <c r="S4" s="14"/>
      <c r="T4" s="14"/>
      <c r="U4" s="113"/>
      <c r="V4" s="122"/>
      <c r="W4" s="14"/>
      <c r="X4" s="14"/>
      <c r="Y4" s="14"/>
      <c r="Z4" s="14"/>
      <c r="AA4" s="14"/>
      <c r="AB4" s="14"/>
      <c r="AC4" s="14"/>
      <c r="AD4" s="14"/>
      <c r="AE4" s="13"/>
      <c r="AF4" s="13"/>
      <c r="AG4" s="13"/>
      <c r="AH4" s="15"/>
      <c r="AI4" s="15"/>
      <c r="AJ4" s="15"/>
      <c r="AK4" s="15"/>
      <c r="AL4" s="13"/>
      <c r="AM4" s="13"/>
      <c r="AN4" s="13"/>
      <c r="AO4" s="14"/>
      <c r="AP4" s="14"/>
      <c r="AQ4" s="13"/>
      <c r="AR4" s="14"/>
      <c r="AS4" s="13"/>
      <c r="AT4" s="13"/>
      <c r="AU4" s="13"/>
      <c r="AV4" s="14"/>
      <c r="AW4" s="58"/>
      <c r="AX4" s="58"/>
      <c r="AY4" s="1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</row>
    <row r="5" spans="1:67" s="12" customFormat="1" ht="28.5" customHeight="1">
      <c r="A5" s="91" t="s">
        <v>13</v>
      </c>
      <c r="B5" s="93" t="s">
        <v>14</v>
      </c>
      <c r="C5" s="91" t="s">
        <v>84</v>
      </c>
      <c r="D5" s="93" t="s">
        <v>15</v>
      </c>
      <c r="E5" s="93" t="s">
        <v>0</v>
      </c>
      <c r="F5" s="91" t="s">
        <v>83</v>
      </c>
      <c r="G5" s="84" t="s">
        <v>171</v>
      </c>
      <c r="H5" s="79"/>
      <c r="I5" s="110" t="s">
        <v>124</v>
      </c>
      <c r="J5" s="89" t="s">
        <v>33</v>
      </c>
      <c r="K5" s="77"/>
      <c r="L5" s="26"/>
      <c r="M5" s="84" t="s">
        <v>9</v>
      </c>
      <c r="N5" s="84" t="s">
        <v>10</v>
      </c>
      <c r="O5" s="96" t="s">
        <v>24</v>
      </c>
      <c r="P5" s="98" t="s">
        <v>11</v>
      </c>
      <c r="Q5" s="109"/>
      <c r="R5" s="109"/>
      <c r="S5" s="109"/>
      <c r="T5" s="102"/>
      <c r="U5" s="114"/>
      <c r="V5" s="123"/>
      <c r="W5" s="102"/>
      <c r="X5" s="102"/>
      <c r="Y5" s="103"/>
      <c r="Z5" s="103"/>
      <c r="AA5" s="103" t="s">
        <v>178</v>
      </c>
      <c r="AB5" s="103" t="s">
        <v>179</v>
      </c>
      <c r="AC5" s="129" t="s">
        <v>172</v>
      </c>
      <c r="AD5" s="130"/>
      <c r="AE5" s="100" t="s">
        <v>12</v>
      </c>
      <c r="AF5" s="103"/>
      <c r="AG5" s="103"/>
      <c r="AH5" s="105" t="s">
        <v>49</v>
      </c>
      <c r="AI5" s="105" t="s">
        <v>67</v>
      </c>
      <c r="AJ5" s="105" t="s">
        <v>66</v>
      </c>
      <c r="AK5" s="105" t="s">
        <v>50</v>
      </c>
      <c r="AL5" s="106" t="s">
        <v>7</v>
      </c>
      <c r="AM5" s="106" t="s">
        <v>17</v>
      </c>
      <c r="AN5" s="96" t="s">
        <v>16</v>
      </c>
      <c r="AO5" s="84" t="s">
        <v>25</v>
      </c>
      <c r="AP5" s="79"/>
      <c r="AQ5" s="84" t="s">
        <v>4</v>
      </c>
      <c r="AR5" s="84" t="s">
        <v>8</v>
      </c>
      <c r="AS5" s="84" t="s">
        <v>3</v>
      </c>
      <c r="AT5" s="84" t="s">
        <v>5</v>
      </c>
      <c r="AU5" s="29"/>
      <c r="AV5" s="84" t="s">
        <v>6</v>
      </c>
      <c r="AW5" s="86" t="s">
        <v>107</v>
      </c>
      <c r="AX5" s="87"/>
      <c r="AY5" s="88" t="s">
        <v>51</v>
      </c>
      <c r="AZ5" s="82" t="s">
        <v>85</v>
      </c>
      <c r="BA5" s="82" t="s">
        <v>86</v>
      </c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</row>
    <row r="6" spans="1:67" s="23" customFormat="1" ht="39" customHeight="1">
      <c r="A6" s="92"/>
      <c r="B6" s="94"/>
      <c r="C6" s="92"/>
      <c r="D6" s="94"/>
      <c r="E6" s="94"/>
      <c r="F6" s="92"/>
      <c r="G6" s="85"/>
      <c r="H6" s="80" t="s">
        <v>177</v>
      </c>
      <c r="I6" s="111"/>
      <c r="J6" s="90"/>
      <c r="K6" s="78" t="s">
        <v>208</v>
      </c>
      <c r="L6" s="30" t="s">
        <v>99</v>
      </c>
      <c r="M6" s="85"/>
      <c r="N6" s="85"/>
      <c r="O6" s="97"/>
      <c r="P6" s="99"/>
      <c r="Q6" s="102" t="s">
        <v>175</v>
      </c>
      <c r="R6" s="102" t="s">
        <v>174</v>
      </c>
      <c r="S6" s="102" t="s">
        <v>173</v>
      </c>
      <c r="T6" s="102" t="s">
        <v>173</v>
      </c>
      <c r="U6" s="114" t="s">
        <v>202</v>
      </c>
      <c r="V6" s="123" t="s">
        <v>203</v>
      </c>
      <c r="W6" s="102" t="s">
        <v>204</v>
      </c>
      <c r="X6" s="102" t="s">
        <v>205</v>
      </c>
      <c r="Y6" s="103" t="s">
        <v>206</v>
      </c>
      <c r="Z6" s="103" t="s">
        <v>207</v>
      </c>
      <c r="AA6" s="103"/>
      <c r="AB6" s="103"/>
      <c r="AC6" s="103" t="s">
        <v>210</v>
      </c>
      <c r="AD6" s="103" t="s">
        <v>211</v>
      </c>
      <c r="AE6" s="101"/>
      <c r="AF6" s="104" t="s">
        <v>139</v>
      </c>
      <c r="AG6" s="104" t="s">
        <v>97</v>
      </c>
      <c r="AH6" s="107"/>
      <c r="AI6" s="107"/>
      <c r="AJ6" s="107"/>
      <c r="AK6" s="107"/>
      <c r="AL6" s="108"/>
      <c r="AM6" s="108"/>
      <c r="AN6" s="97"/>
      <c r="AO6" s="85"/>
      <c r="AP6" s="80" t="s">
        <v>209</v>
      </c>
      <c r="AQ6" s="85"/>
      <c r="AR6" s="85"/>
      <c r="AS6" s="85"/>
      <c r="AT6" s="85"/>
      <c r="AU6" s="25"/>
      <c r="AV6" s="85"/>
      <c r="AW6" s="56" t="s">
        <v>26</v>
      </c>
      <c r="AX6" s="56" t="s">
        <v>27</v>
      </c>
      <c r="AY6" s="88"/>
      <c r="AZ6" s="82"/>
      <c r="BA6" s="8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</row>
    <row r="7" spans="1:67" s="18" customFormat="1">
      <c r="A7" s="131" t="s">
        <v>28</v>
      </c>
      <c r="B7" s="136" t="s">
        <v>68</v>
      </c>
      <c r="C7" s="132">
        <f>C6+1</f>
        <v>1</v>
      </c>
      <c r="D7" s="150" t="s">
        <v>170</v>
      </c>
      <c r="E7" s="131" t="s">
        <v>48</v>
      </c>
      <c r="F7" s="137"/>
      <c r="G7" s="133">
        <v>547.79999999999995</v>
      </c>
      <c r="H7" s="133">
        <v>2191.1999999999998</v>
      </c>
      <c r="I7" s="133">
        <f>+G7</f>
        <v>547.79999999999995</v>
      </c>
      <c r="J7" s="133">
        <v>1452.48</v>
      </c>
      <c r="K7" s="133">
        <f>$I7+$J7</f>
        <v>2000.28</v>
      </c>
      <c r="L7" s="133">
        <f>(VLOOKUP($K7,TABLAS!$G$6:$I$16,3,TRUE)/30.4)*7</f>
        <v>0</v>
      </c>
      <c r="M7" s="133"/>
      <c r="N7" s="133"/>
      <c r="O7" s="138"/>
      <c r="P7" s="139">
        <f>+K7+L7+M7+N7-O7</f>
        <v>2000.28</v>
      </c>
      <c r="Q7" s="139"/>
      <c r="R7" s="139"/>
      <c r="S7" s="139">
        <f>(H7/31)*1.25%</f>
        <v>0.88354838709677408</v>
      </c>
      <c r="T7" s="139">
        <f>I7/7</f>
        <v>78.257142857142853</v>
      </c>
      <c r="U7" s="140">
        <f>VLOOKUP($H7,TABLAS!$B$6:$E$16,4,TRUE)</f>
        <v>0.1792</v>
      </c>
      <c r="V7" s="141">
        <f>VLOOKUP($H7,TABLAS!$B$6:$E$16,1,TRUE)</f>
        <v>1980.59</v>
      </c>
      <c r="W7" s="139">
        <f>$H7-$V7</f>
        <v>210.6099999999999</v>
      </c>
      <c r="X7" s="141">
        <f>VLOOKUP($H7,TABLAS!$B$6:$E$16,3,TRUE)</f>
        <v>181.09</v>
      </c>
      <c r="Y7" s="139">
        <f>($W7*$U7)+$X7</f>
        <v>218.83131199999997</v>
      </c>
      <c r="Z7" s="139">
        <f>$Y7/30.4*7</f>
        <v>50.388788947368418</v>
      </c>
      <c r="AA7" s="139">
        <f>(236.69+164.36+246.54+410.91)/4</f>
        <v>264.625</v>
      </c>
      <c r="AB7" s="139">
        <v>14.16</v>
      </c>
      <c r="AC7" s="139"/>
      <c r="AD7" s="139"/>
      <c r="AE7" s="133"/>
      <c r="AF7" s="133"/>
      <c r="AG7" s="133"/>
      <c r="AH7" s="133">
        <v>0</v>
      </c>
      <c r="AI7" s="133"/>
      <c r="AJ7" s="133"/>
      <c r="AK7" s="133"/>
      <c r="AL7" s="134"/>
      <c r="AM7" s="134"/>
      <c r="AN7" s="136"/>
      <c r="AO7" s="139">
        <f>+Z7-AB7-AD7-AE7-AF7-AG7-AH7-AI7-AJ7-AK7-AL7-AM7-AN7</f>
        <v>36.228788947368415</v>
      </c>
      <c r="AP7" s="139">
        <f>K7+L7-AO7</f>
        <v>1964.0512110526315</v>
      </c>
      <c r="AQ7" s="134">
        <f>IF(P7&gt;2000,P7*0.075,0)</f>
        <v>150.02099999999999</v>
      </c>
      <c r="AR7" s="139">
        <f>AP7-AQ7</f>
        <v>1814.0302110526316</v>
      </c>
      <c r="AS7" s="134">
        <f>IF(P7&lt;2000,P7*0.075,0)</f>
        <v>0</v>
      </c>
      <c r="AT7" s="134"/>
      <c r="AU7" s="134">
        <f>AP7*2%</f>
        <v>39.281024221052633</v>
      </c>
      <c r="AV7" s="139">
        <f>+P7+AS7+AT7+AU7</f>
        <v>2039.5610242210525</v>
      </c>
      <c r="AW7" s="131"/>
      <c r="AX7" s="142"/>
      <c r="AY7" s="133">
        <f t="shared" ref="AY7:AY33" si="0">+AW7+AX7-AR7</f>
        <v>-1814.0302110526316</v>
      </c>
      <c r="AZ7" s="136"/>
      <c r="BA7" s="42"/>
    </row>
    <row r="8" spans="1:67" s="18" customFormat="1">
      <c r="A8" s="131" t="s">
        <v>162</v>
      </c>
      <c r="B8" s="136" t="s">
        <v>57</v>
      </c>
      <c r="C8" s="132">
        <f>C7+1</f>
        <v>2</v>
      </c>
      <c r="D8" s="150" t="s">
        <v>170</v>
      </c>
      <c r="E8" s="131" t="s">
        <v>48</v>
      </c>
      <c r="F8" s="137"/>
      <c r="G8" s="133">
        <v>547.79999999999995</v>
      </c>
      <c r="H8" s="133">
        <v>2191.1999999999998</v>
      </c>
      <c r="I8" s="133">
        <f>+G8</f>
        <v>547.79999999999995</v>
      </c>
      <c r="J8" s="133">
        <v>4218.6000000000004</v>
      </c>
      <c r="K8" s="133">
        <f t="shared" ref="K8:K71" si="1">$I8+$J8</f>
        <v>4766.4000000000005</v>
      </c>
      <c r="L8" s="133">
        <f>(VLOOKUP($K8,TABLAS!$G$6:$I$16,3,TRUE)/30.4)*7</f>
        <v>0</v>
      </c>
      <c r="M8" s="133"/>
      <c r="N8" s="133"/>
      <c r="O8" s="138"/>
      <c r="P8" s="139">
        <f t="shared" ref="P8:P71" si="2">+K8+L8+M8+N8-O8</f>
        <v>4766.4000000000005</v>
      </c>
      <c r="Q8" s="139"/>
      <c r="R8" s="139"/>
      <c r="S8" s="139">
        <f t="shared" ref="S8:S71" si="3">(H8/31)*1.25%</f>
        <v>0.88354838709677408</v>
      </c>
      <c r="T8" s="139">
        <f t="shared" ref="T8:T71" si="4">I8/7</f>
        <v>78.257142857142853</v>
      </c>
      <c r="U8" s="140">
        <f>VLOOKUP($H8,TABLAS!$B$6:$E$16,4,TRUE)</f>
        <v>0.1792</v>
      </c>
      <c r="V8" s="141">
        <f>VLOOKUP($H8,TABLAS!$B$6:$E$16,1,TRUE)</f>
        <v>1980.59</v>
      </c>
      <c r="W8" s="139">
        <f t="shared" ref="W8:W71" si="5">$H8-$V8</f>
        <v>210.6099999999999</v>
      </c>
      <c r="X8" s="141">
        <f>VLOOKUP($H8,TABLAS!$B$6:$E$16,3,TRUE)</f>
        <v>181.09</v>
      </c>
      <c r="Y8" s="139">
        <f t="shared" ref="Y8:Y71" si="6">($W8*$U8)+$X8</f>
        <v>218.83131199999997</v>
      </c>
      <c r="Z8" s="139">
        <f t="shared" ref="Z8:Z71" si="7">$Y8/30.4*7</f>
        <v>50.388788947368418</v>
      </c>
      <c r="AA8" s="139">
        <v>264.63</v>
      </c>
      <c r="AB8" s="139">
        <v>14.16</v>
      </c>
      <c r="AC8" s="139"/>
      <c r="AD8" s="139"/>
      <c r="AE8" s="133"/>
      <c r="AF8" s="133"/>
      <c r="AG8" s="135"/>
      <c r="AH8" s="133"/>
      <c r="AI8" s="133"/>
      <c r="AJ8" s="133"/>
      <c r="AK8" s="133"/>
      <c r="AL8" s="134"/>
      <c r="AM8" s="134"/>
      <c r="AN8" s="136"/>
      <c r="AO8" s="139">
        <f t="shared" ref="AO8:AO71" si="8">+Z8-AB8-AD8-AE8-AF8-AG8-AH8-AI8-AJ8-AK8-AL8-AM8-AN8</f>
        <v>36.228788947368415</v>
      </c>
      <c r="AP8" s="139">
        <f>P8-AO8</f>
        <v>4730.1712110526323</v>
      </c>
      <c r="AQ8" s="134">
        <f t="shared" ref="AQ8:AQ71" si="9">IF(P8&gt;2000,P8*0.075,0)</f>
        <v>357.48</v>
      </c>
      <c r="AR8" s="139">
        <f t="shared" ref="AR8:AR71" si="10">AP8-AQ8</f>
        <v>4372.6912110526318</v>
      </c>
      <c r="AS8" s="134">
        <f t="shared" ref="AS8:AS71" si="11">IF(P8&lt;2000,P8*0.075,0)</f>
        <v>0</v>
      </c>
      <c r="AT8" s="134"/>
      <c r="AU8" s="134">
        <f t="shared" ref="AU8:AU71" si="12">AP8*2%</f>
        <v>94.603424221052649</v>
      </c>
      <c r="AV8" s="139">
        <f>+P8+AS8+AT8+AU8</f>
        <v>4861.0034242210531</v>
      </c>
      <c r="AW8" s="131"/>
      <c r="AX8" s="142"/>
      <c r="AY8" s="133">
        <f t="shared" si="0"/>
        <v>-4372.6912110526318</v>
      </c>
      <c r="AZ8" s="136"/>
      <c r="BA8" s="42"/>
    </row>
    <row r="9" spans="1:67" s="18" customFormat="1" ht="15.75" customHeight="1">
      <c r="A9" s="131" t="s">
        <v>162</v>
      </c>
      <c r="B9" s="136" t="s">
        <v>58</v>
      </c>
      <c r="C9" s="132">
        <f>C8+1</f>
        <v>3</v>
      </c>
      <c r="D9" s="150" t="s">
        <v>170</v>
      </c>
      <c r="E9" s="131" t="s">
        <v>169</v>
      </c>
      <c r="F9" s="137"/>
      <c r="G9" s="133">
        <v>547.79999999999995</v>
      </c>
      <c r="H9" s="133">
        <v>2191.1999999999998</v>
      </c>
      <c r="I9" s="133">
        <f>+G9</f>
        <v>547.79999999999995</v>
      </c>
      <c r="J9" s="133">
        <v>4005</v>
      </c>
      <c r="K9" s="133">
        <f t="shared" si="1"/>
        <v>4552.8</v>
      </c>
      <c r="L9" s="133">
        <f>(VLOOKUP($K9,TABLAS!$G$6:$I$16,3,TRUE)/30.4)*7</f>
        <v>0</v>
      </c>
      <c r="M9" s="133"/>
      <c r="N9" s="133"/>
      <c r="O9" s="138"/>
      <c r="P9" s="139">
        <f t="shared" si="2"/>
        <v>4552.8</v>
      </c>
      <c r="Q9" s="139"/>
      <c r="R9" s="139"/>
      <c r="S9" s="139">
        <f t="shared" si="3"/>
        <v>0.88354838709677408</v>
      </c>
      <c r="T9" s="139">
        <f t="shared" si="4"/>
        <v>78.257142857142853</v>
      </c>
      <c r="U9" s="140">
        <f>VLOOKUP($H9,TABLAS!$B$6:$E$16,4,TRUE)</f>
        <v>0.1792</v>
      </c>
      <c r="V9" s="141">
        <f>VLOOKUP($H9,TABLAS!$B$6:$E$16,1,TRUE)</f>
        <v>1980.59</v>
      </c>
      <c r="W9" s="139">
        <f t="shared" si="5"/>
        <v>210.6099999999999</v>
      </c>
      <c r="X9" s="141">
        <f>VLOOKUP($H9,TABLAS!$B$6:$E$16,3,TRUE)</f>
        <v>181.09</v>
      </c>
      <c r="Y9" s="139">
        <f t="shared" si="6"/>
        <v>218.83131199999997</v>
      </c>
      <c r="Z9" s="139">
        <f t="shared" si="7"/>
        <v>50.388788947368418</v>
      </c>
      <c r="AA9" s="139">
        <v>264.63</v>
      </c>
      <c r="AB9" s="139">
        <v>14.16</v>
      </c>
      <c r="AC9" s="139"/>
      <c r="AD9" s="139"/>
      <c r="AE9" s="133"/>
      <c r="AF9" s="133"/>
      <c r="AG9" s="133"/>
      <c r="AH9" s="133"/>
      <c r="AI9" s="133"/>
      <c r="AJ9" s="133"/>
      <c r="AK9" s="133"/>
      <c r="AL9" s="134"/>
      <c r="AM9" s="134"/>
      <c r="AN9" s="136"/>
      <c r="AO9" s="139">
        <f t="shared" si="8"/>
        <v>36.228788947368415</v>
      </c>
      <c r="AP9" s="139">
        <f t="shared" ref="AP8:AP71" si="13">K9+L9-AO9</f>
        <v>4516.571211052632</v>
      </c>
      <c r="AQ9" s="134">
        <f t="shared" si="9"/>
        <v>341.46</v>
      </c>
      <c r="AR9" s="139">
        <f t="shared" si="10"/>
        <v>4175.1112110526319</v>
      </c>
      <c r="AS9" s="134">
        <f t="shared" si="11"/>
        <v>0</v>
      </c>
      <c r="AT9" s="134"/>
      <c r="AU9" s="134">
        <f t="shared" si="12"/>
        <v>90.331424221052643</v>
      </c>
      <c r="AV9" s="139">
        <f>+P9+AS9+AT9+AU9</f>
        <v>4643.1314242210528</v>
      </c>
      <c r="AW9" s="131"/>
      <c r="AX9" s="142"/>
      <c r="AY9" s="133">
        <f t="shared" si="0"/>
        <v>-4175.1112110526319</v>
      </c>
      <c r="AZ9" s="136"/>
      <c r="BA9" s="42"/>
    </row>
    <row r="10" spans="1:67" s="18" customFormat="1">
      <c r="A10" s="131" t="s">
        <v>137</v>
      </c>
      <c r="B10" s="136" t="s">
        <v>150</v>
      </c>
      <c r="C10" s="132">
        <f>C9+1</f>
        <v>4</v>
      </c>
      <c r="D10" s="150" t="s">
        <v>170</v>
      </c>
      <c r="E10" s="131" t="s">
        <v>165</v>
      </c>
      <c r="F10" s="137"/>
      <c r="G10" s="133">
        <v>548.33571428571418</v>
      </c>
      <c r="H10" s="133">
        <v>2193.3428571428567</v>
      </c>
      <c r="I10" s="133">
        <f>+G10</f>
        <v>548.33571428571418</v>
      </c>
      <c r="J10" s="133">
        <v>619.64</v>
      </c>
      <c r="K10" s="133">
        <f t="shared" si="1"/>
        <v>1167.9757142857143</v>
      </c>
      <c r="L10" s="133">
        <f>(VLOOKUP($K10,TABLAS!$G$6:$I$16,3,TRUE)/30.4)*7</f>
        <v>17.23059210526316</v>
      </c>
      <c r="M10" s="133"/>
      <c r="N10" s="133"/>
      <c r="O10" s="138"/>
      <c r="P10" s="139">
        <f t="shared" si="2"/>
        <v>1185.2063063909775</v>
      </c>
      <c r="Q10" s="139"/>
      <c r="R10" s="139"/>
      <c r="S10" s="139">
        <f t="shared" si="3"/>
        <v>0.88441244239631323</v>
      </c>
      <c r="T10" s="139">
        <f t="shared" si="4"/>
        <v>78.333673469387733</v>
      </c>
      <c r="U10" s="140">
        <f>VLOOKUP($H10,TABLAS!$B$6:$E$16,4,TRUE)</f>
        <v>0.1792</v>
      </c>
      <c r="V10" s="141">
        <f>VLOOKUP($H10,TABLAS!$B$6:$E$16,1,TRUE)</f>
        <v>1980.59</v>
      </c>
      <c r="W10" s="139">
        <f t="shared" si="5"/>
        <v>212.75285714285678</v>
      </c>
      <c r="X10" s="141">
        <f>VLOOKUP($H10,TABLAS!$B$6:$E$16,3,TRUE)</f>
        <v>181.09</v>
      </c>
      <c r="Y10" s="139">
        <f t="shared" si="6"/>
        <v>219.21531199999993</v>
      </c>
      <c r="Z10" s="139">
        <f t="shared" si="7"/>
        <v>50.477209999999985</v>
      </c>
      <c r="AA10" s="139">
        <v>264.63</v>
      </c>
      <c r="AB10" s="139">
        <v>14.16</v>
      </c>
      <c r="AC10" s="139"/>
      <c r="AD10" s="139"/>
      <c r="AE10" s="133"/>
      <c r="AF10" s="133"/>
      <c r="AG10" s="133"/>
      <c r="AH10" s="133"/>
      <c r="AI10" s="133"/>
      <c r="AJ10" s="133"/>
      <c r="AK10" s="133"/>
      <c r="AL10" s="134"/>
      <c r="AM10" s="134"/>
      <c r="AN10" s="136"/>
      <c r="AO10" s="139">
        <f t="shared" si="8"/>
        <v>36.317209999999989</v>
      </c>
      <c r="AP10" s="139">
        <f t="shared" si="13"/>
        <v>1148.8890963909776</v>
      </c>
      <c r="AQ10" s="134">
        <f t="shared" si="9"/>
        <v>0</v>
      </c>
      <c r="AR10" s="139">
        <f t="shared" si="10"/>
        <v>1148.8890963909776</v>
      </c>
      <c r="AS10" s="134">
        <f t="shared" si="11"/>
        <v>88.890472979323306</v>
      </c>
      <c r="AT10" s="134"/>
      <c r="AU10" s="134">
        <f t="shared" si="12"/>
        <v>22.977781927819553</v>
      </c>
      <c r="AV10" s="139">
        <f>+P10+AS10+AT10+AU10</f>
        <v>1297.0745612981202</v>
      </c>
      <c r="AW10" s="131"/>
      <c r="AX10" s="142"/>
      <c r="AY10" s="133">
        <f t="shared" si="0"/>
        <v>-1148.8890963909776</v>
      </c>
      <c r="AZ10" s="136"/>
      <c r="BA10" s="42"/>
    </row>
    <row r="11" spans="1:67" s="18" customFormat="1">
      <c r="A11" s="131" t="s">
        <v>137</v>
      </c>
      <c r="B11" s="136" t="s">
        <v>149</v>
      </c>
      <c r="C11" s="132">
        <f>C10+1</f>
        <v>5</v>
      </c>
      <c r="D11" s="150" t="s">
        <v>170</v>
      </c>
      <c r="E11" s="131" t="s">
        <v>165</v>
      </c>
      <c r="F11" s="143"/>
      <c r="G11" s="133">
        <v>596.54999999999995</v>
      </c>
      <c r="H11" s="133">
        <v>2386.1999999999998</v>
      </c>
      <c r="I11" s="133">
        <f>+G11</f>
        <v>596.54999999999995</v>
      </c>
      <c r="J11" s="133">
        <v>1813.23</v>
      </c>
      <c r="K11" s="133">
        <f t="shared" si="1"/>
        <v>2409.7799999999997</v>
      </c>
      <c r="L11" s="133">
        <f>(VLOOKUP($K11,TABLAS!$G$6:$I$16,3,TRUE)/30.4)*7</f>
        <v>0</v>
      </c>
      <c r="M11" s="133"/>
      <c r="N11" s="133"/>
      <c r="O11" s="138"/>
      <c r="P11" s="139">
        <f t="shared" si="2"/>
        <v>2409.7799999999997</v>
      </c>
      <c r="Q11" s="139"/>
      <c r="R11" s="139"/>
      <c r="S11" s="139">
        <f t="shared" si="3"/>
        <v>0.96217741935483869</v>
      </c>
      <c r="T11" s="139">
        <f t="shared" si="4"/>
        <v>85.221428571428561</v>
      </c>
      <c r="U11" s="140">
        <f>VLOOKUP($H11,TABLAS!$B$6:$E$16,4,TRUE)</f>
        <v>0.21360000000000001</v>
      </c>
      <c r="V11" s="141">
        <f>VLOOKUP($H11,TABLAS!$B$6:$E$16,1,TRUE)</f>
        <v>2371.33</v>
      </c>
      <c r="W11" s="139">
        <f t="shared" si="5"/>
        <v>14.869999999999891</v>
      </c>
      <c r="X11" s="141">
        <f>VLOOKUP($H11,TABLAS!$B$6:$E$16,3,TRUE)</f>
        <v>251.16</v>
      </c>
      <c r="Y11" s="139">
        <f t="shared" si="6"/>
        <v>254.33623199999997</v>
      </c>
      <c r="Z11" s="139">
        <f t="shared" si="7"/>
        <v>58.564263947368417</v>
      </c>
      <c r="AA11" s="139">
        <f>(260.05+178.96+268.45+447.41)/4</f>
        <v>288.71750000000003</v>
      </c>
      <c r="AB11" s="139">
        <v>14.16</v>
      </c>
      <c r="AC11" s="139"/>
      <c r="AD11" s="139"/>
      <c r="AE11" s="133"/>
      <c r="AF11" s="133"/>
      <c r="AG11" s="133"/>
      <c r="AH11" s="133"/>
      <c r="AI11" s="133"/>
      <c r="AJ11" s="133"/>
      <c r="AK11" s="133"/>
      <c r="AL11" s="134"/>
      <c r="AM11" s="134"/>
      <c r="AN11" s="136"/>
      <c r="AO11" s="139">
        <f t="shared" si="8"/>
        <v>44.40426394736842</v>
      </c>
      <c r="AP11" s="139">
        <f t="shared" si="13"/>
        <v>2365.3757360526315</v>
      </c>
      <c r="AQ11" s="134">
        <f t="shared" si="9"/>
        <v>180.73349999999996</v>
      </c>
      <c r="AR11" s="139">
        <f t="shared" si="10"/>
        <v>2184.6422360526317</v>
      </c>
      <c r="AS11" s="134">
        <f t="shared" si="11"/>
        <v>0</v>
      </c>
      <c r="AT11" s="134"/>
      <c r="AU11" s="134">
        <f t="shared" si="12"/>
        <v>47.307514721052634</v>
      </c>
      <c r="AV11" s="139">
        <f>+P11+AS11+AT11+AU11</f>
        <v>2457.0875147210522</v>
      </c>
      <c r="AW11" s="131"/>
      <c r="AX11" s="142"/>
      <c r="AY11" s="133">
        <f t="shared" si="0"/>
        <v>-2184.6422360526317</v>
      </c>
      <c r="AZ11" s="136"/>
      <c r="BA11" s="45"/>
    </row>
    <row r="12" spans="1:67" s="18" customFormat="1">
      <c r="A12" s="131" t="s">
        <v>137</v>
      </c>
      <c r="B12" s="136" t="s">
        <v>52</v>
      </c>
      <c r="C12" s="132">
        <f>C11+1</f>
        <v>6</v>
      </c>
      <c r="D12" s="150" t="s">
        <v>170</v>
      </c>
      <c r="E12" s="131" t="s">
        <v>165</v>
      </c>
      <c r="F12" s="137"/>
      <c r="G12" s="133">
        <v>596.54999999999995</v>
      </c>
      <c r="H12" s="133">
        <v>2386.1999999999998</v>
      </c>
      <c r="I12" s="133">
        <f>+G12</f>
        <v>596.54999999999995</v>
      </c>
      <c r="J12" s="133">
        <v>233.16</v>
      </c>
      <c r="K12" s="133">
        <f t="shared" si="1"/>
        <v>829.70999999999992</v>
      </c>
      <c r="L12" s="133">
        <f>(VLOOKUP($K12,TABLAS!$G$6:$I$16,3,TRUE)/30.4)*7</f>
        <v>20.276973684210528</v>
      </c>
      <c r="M12" s="133"/>
      <c r="N12" s="133"/>
      <c r="O12" s="138"/>
      <c r="P12" s="139">
        <f t="shared" si="2"/>
        <v>849.9869736842104</v>
      </c>
      <c r="Q12" s="139"/>
      <c r="R12" s="139"/>
      <c r="S12" s="139">
        <f t="shared" si="3"/>
        <v>0.96217741935483869</v>
      </c>
      <c r="T12" s="139">
        <f t="shared" si="4"/>
        <v>85.221428571428561</v>
      </c>
      <c r="U12" s="140">
        <f>VLOOKUP($H12,TABLAS!$B$6:$E$16,4,TRUE)</f>
        <v>0.21360000000000001</v>
      </c>
      <c r="V12" s="141">
        <f>VLOOKUP($H12,TABLAS!$B$6:$E$16,1,TRUE)</f>
        <v>2371.33</v>
      </c>
      <c r="W12" s="139">
        <f t="shared" si="5"/>
        <v>14.869999999999891</v>
      </c>
      <c r="X12" s="141">
        <f>VLOOKUP($H12,TABLAS!$B$6:$E$16,3,TRUE)</f>
        <v>251.16</v>
      </c>
      <c r="Y12" s="139">
        <f t="shared" si="6"/>
        <v>254.33623199999997</v>
      </c>
      <c r="Z12" s="139">
        <f t="shared" si="7"/>
        <v>58.564263947368417</v>
      </c>
      <c r="AA12" s="139">
        <f t="shared" ref="AA12:AA15" si="14">(260.05+178.96+268.45+447.41)/4</f>
        <v>288.71750000000003</v>
      </c>
      <c r="AB12" s="139">
        <v>14.16</v>
      </c>
      <c r="AC12" s="139"/>
      <c r="AD12" s="139"/>
      <c r="AE12" s="133"/>
      <c r="AF12" s="133"/>
      <c r="AG12" s="133"/>
      <c r="AH12" s="133"/>
      <c r="AI12" s="133"/>
      <c r="AJ12" s="133"/>
      <c r="AK12" s="133"/>
      <c r="AL12" s="134"/>
      <c r="AM12" s="134"/>
      <c r="AN12" s="136"/>
      <c r="AO12" s="139">
        <f t="shared" si="8"/>
        <v>44.40426394736842</v>
      </c>
      <c r="AP12" s="139">
        <f t="shared" si="13"/>
        <v>805.58270973684193</v>
      </c>
      <c r="AQ12" s="134">
        <f t="shared" si="9"/>
        <v>0</v>
      </c>
      <c r="AR12" s="139">
        <f t="shared" si="10"/>
        <v>805.58270973684193</v>
      </c>
      <c r="AS12" s="134">
        <f t="shared" si="11"/>
        <v>63.749023026315776</v>
      </c>
      <c r="AT12" s="134"/>
      <c r="AU12" s="134">
        <f t="shared" si="12"/>
        <v>16.11165419473684</v>
      </c>
      <c r="AV12" s="139">
        <f>+P12+AS12+AT12+AU12</f>
        <v>929.84765090526298</v>
      </c>
      <c r="AW12" s="131"/>
      <c r="AX12" s="142"/>
      <c r="AY12" s="133">
        <f t="shared" si="0"/>
        <v>-805.58270973684193</v>
      </c>
      <c r="AZ12" s="136"/>
      <c r="BA12" s="42"/>
    </row>
    <row r="13" spans="1:67" s="18" customFormat="1">
      <c r="A13" s="131" t="s">
        <v>137</v>
      </c>
      <c r="B13" s="136" t="s">
        <v>105</v>
      </c>
      <c r="C13" s="132">
        <f>C12+1</f>
        <v>7</v>
      </c>
      <c r="D13" s="150" t="s">
        <v>170</v>
      </c>
      <c r="E13" s="131" t="s">
        <v>165</v>
      </c>
      <c r="F13" s="137"/>
      <c r="G13" s="133">
        <v>596.54999999999995</v>
      </c>
      <c r="H13" s="133">
        <v>2386.1999999999998</v>
      </c>
      <c r="I13" s="133">
        <f>+G13</f>
        <v>596.54999999999995</v>
      </c>
      <c r="J13" s="133">
        <v>367.16</v>
      </c>
      <c r="K13" s="133">
        <f t="shared" si="1"/>
        <v>963.71</v>
      </c>
      <c r="L13" s="133">
        <f>(VLOOKUP($K13,TABLAS!$G$6:$I$16,3,TRUE)/30.4)*7</f>
        <v>20.276973684210528</v>
      </c>
      <c r="M13" s="133"/>
      <c r="N13" s="133"/>
      <c r="O13" s="138"/>
      <c r="P13" s="139">
        <f t="shared" si="2"/>
        <v>983.98697368421051</v>
      </c>
      <c r="Q13" s="139"/>
      <c r="R13" s="139"/>
      <c r="S13" s="139">
        <f t="shared" si="3"/>
        <v>0.96217741935483869</v>
      </c>
      <c r="T13" s="139">
        <f t="shared" si="4"/>
        <v>85.221428571428561</v>
      </c>
      <c r="U13" s="140">
        <f>VLOOKUP($H13,TABLAS!$B$6:$E$16,4,TRUE)</f>
        <v>0.21360000000000001</v>
      </c>
      <c r="V13" s="141">
        <f>VLOOKUP($H13,TABLAS!$B$6:$E$16,1,TRUE)</f>
        <v>2371.33</v>
      </c>
      <c r="W13" s="139">
        <f t="shared" si="5"/>
        <v>14.869999999999891</v>
      </c>
      <c r="X13" s="141">
        <f>VLOOKUP($H13,TABLAS!$B$6:$E$16,3,TRUE)</f>
        <v>251.16</v>
      </c>
      <c r="Y13" s="139">
        <f t="shared" si="6"/>
        <v>254.33623199999997</v>
      </c>
      <c r="Z13" s="139">
        <f t="shared" si="7"/>
        <v>58.564263947368417</v>
      </c>
      <c r="AA13" s="139">
        <f t="shared" si="14"/>
        <v>288.71750000000003</v>
      </c>
      <c r="AB13" s="139">
        <v>14.16</v>
      </c>
      <c r="AC13" s="139"/>
      <c r="AD13" s="139"/>
      <c r="AE13" s="133"/>
      <c r="AF13" s="133"/>
      <c r="AG13" s="133"/>
      <c r="AH13" s="133"/>
      <c r="AI13" s="133"/>
      <c r="AJ13" s="133"/>
      <c r="AK13" s="133"/>
      <c r="AL13" s="134"/>
      <c r="AM13" s="134"/>
      <c r="AN13" s="136"/>
      <c r="AO13" s="139">
        <f t="shared" si="8"/>
        <v>44.40426394736842</v>
      </c>
      <c r="AP13" s="139">
        <f t="shared" si="13"/>
        <v>939.58270973684205</v>
      </c>
      <c r="AQ13" s="134">
        <f t="shared" si="9"/>
        <v>0</v>
      </c>
      <c r="AR13" s="139">
        <f t="shared" si="10"/>
        <v>939.58270973684205</v>
      </c>
      <c r="AS13" s="134">
        <f t="shared" si="11"/>
        <v>73.79902302631578</v>
      </c>
      <c r="AT13" s="134"/>
      <c r="AU13" s="134">
        <f t="shared" si="12"/>
        <v>18.791654194736843</v>
      </c>
      <c r="AV13" s="139">
        <f>+P13+AS13+AT13+AU13</f>
        <v>1076.577650905263</v>
      </c>
      <c r="AW13" s="131"/>
      <c r="AX13" s="142"/>
      <c r="AY13" s="133">
        <f t="shared" si="0"/>
        <v>-939.58270973684205</v>
      </c>
      <c r="AZ13" s="136"/>
      <c r="BA13" s="42"/>
    </row>
    <row r="14" spans="1:67" s="18" customFormat="1">
      <c r="A14" s="131" t="s">
        <v>137</v>
      </c>
      <c r="B14" s="136" t="s">
        <v>80</v>
      </c>
      <c r="C14" s="132">
        <f>C13+1</f>
        <v>8</v>
      </c>
      <c r="D14" s="150" t="s">
        <v>170</v>
      </c>
      <c r="E14" s="131" t="s">
        <v>165</v>
      </c>
      <c r="F14" s="137"/>
      <c r="G14" s="133">
        <v>596.54999999999995</v>
      </c>
      <c r="H14" s="133">
        <v>2386.1999999999998</v>
      </c>
      <c r="I14" s="133">
        <f>+G14</f>
        <v>596.54999999999995</v>
      </c>
      <c r="J14" s="133">
        <v>295.77</v>
      </c>
      <c r="K14" s="133">
        <f t="shared" si="1"/>
        <v>892.31999999999994</v>
      </c>
      <c r="L14" s="133">
        <f>(VLOOKUP($K14,TABLAS!$G$6:$I$16,3,TRUE)/30.4)*7</f>
        <v>20.276973684210528</v>
      </c>
      <c r="M14" s="133"/>
      <c r="N14" s="133"/>
      <c r="O14" s="138"/>
      <c r="P14" s="139">
        <f t="shared" si="2"/>
        <v>912.59697368421041</v>
      </c>
      <c r="Q14" s="139"/>
      <c r="R14" s="139"/>
      <c r="S14" s="139">
        <f t="shared" si="3"/>
        <v>0.96217741935483869</v>
      </c>
      <c r="T14" s="139">
        <f t="shared" si="4"/>
        <v>85.221428571428561</v>
      </c>
      <c r="U14" s="140">
        <f>VLOOKUP($H14,TABLAS!$B$6:$E$16,4,TRUE)</f>
        <v>0.21360000000000001</v>
      </c>
      <c r="V14" s="141">
        <f>VLOOKUP($H14,TABLAS!$B$6:$E$16,1,TRUE)</f>
        <v>2371.33</v>
      </c>
      <c r="W14" s="139">
        <f t="shared" si="5"/>
        <v>14.869999999999891</v>
      </c>
      <c r="X14" s="141">
        <f>VLOOKUP($H14,TABLAS!$B$6:$E$16,3,TRUE)</f>
        <v>251.16</v>
      </c>
      <c r="Y14" s="139">
        <f t="shared" si="6"/>
        <v>254.33623199999997</v>
      </c>
      <c r="Z14" s="139">
        <f t="shared" si="7"/>
        <v>58.564263947368417</v>
      </c>
      <c r="AA14" s="139">
        <f t="shared" si="14"/>
        <v>288.71750000000003</v>
      </c>
      <c r="AB14" s="139">
        <v>14.16</v>
      </c>
      <c r="AC14" s="139"/>
      <c r="AD14" s="139"/>
      <c r="AE14" s="133"/>
      <c r="AF14" s="133"/>
      <c r="AG14" s="133"/>
      <c r="AH14" s="133"/>
      <c r="AI14" s="133"/>
      <c r="AJ14" s="133"/>
      <c r="AK14" s="133"/>
      <c r="AL14" s="134"/>
      <c r="AM14" s="134"/>
      <c r="AN14" s="136"/>
      <c r="AO14" s="139">
        <f t="shared" si="8"/>
        <v>44.40426394736842</v>
      </c>
      <c r="AP14" s="139">
        <f t="shared" si="13"/>
        <v>868.19270973684195</v>
      </c>
      <c r="AQ14" s="134">
        <f t="shared" si="9"/>
        <v>0</v>
      </c>
      <c r="AR14" s="139">
        <f t="shared" si="10"/>
        <v>868.19270973684195</v>
      </c>
      <c r="AS14" s="134">
        <f t="shared" si="11"/>
        <v>68.444773026315772</v>
      </c>
      <c r="AT14" s="134"/>
      <c r="AU14" s="134">
        <f t="shared" si="12"/>
        <v>17.363854194736838</v>
      </c>
      <c r="AV14" s="139">
        <f>+P14+AS14+AT14+AU14</f>
        <v>998.4056009052631</v>
      </c>
      <c r="AW14" s="131"/>
      <c r="AX14" s="142"/>
      <c r="AY14" s="133">
        <f t="shared" si="0"/>
        <v>-868.19270973684195</v>
      </c>
      <c r="AZ14" s="136"/>
      <c r="BA14" s="45"/>
    </row>
    <row r="15" spans="1:67" s="18" customFormat="1">
      <c r="A15" s="131" t="s">
        <v>161</v>
      </c>
      <c r="B15" s="136" t="s">
        <v>91</v>
      </c>
      <c r="C15" s="132">
        <f>C14+1</f>
        <v>9</v>
      </c>
      <c r="D15" s="150" t="s">
        <v>170</v>
      </c>
      <c r="E15" s="131" t="s">
        <v>165</v>
      </c>
      <c r="F15" s="137"/>
      <c r="G15" s="133">
        <v>596.54999999999995</v>
      </c>
      <c r="H15" s="133">
        <v>2386.1999999999998</v>
      </c>
      <c r="I15" s="133">
        <f>+G15</f>
        <v>596.54999999999995</v>
      </c>
      <c r="J15" s="144">
        <v>648</v>
      </c>
      <c r="K15" s="133">
        <f t="shared" si="1"/>
        <v>1244.55</v>
      </c>
      <c r="L15" s="133">
        <f>(VLOOKUP($K15,TABLAS!$G$6:$I$16,3,TRUE)/30.4)*7</f>
        <v>15.618750000000002</v>
      </c>
      <c r="M15" s="133"/>
      <c r="N15" s="133"/>
      <c r="O15" s="138"/>
      <c r="P15" s="139">
        <f t="shared" si="2"/>
        <v>1260.16875</v>
      </c>
      <c r="Q15" s="139"/>
      <c r="R15" s="139"/>
      <c r="S15" s="139">
        <f t="shared" si="3"/>
        <v>0.96217741935483869</v>
      </c>
      <c r="T15" s="139">
        <f t="shared" si="4"/>
        <v>85.221428571428561</v>
      </c>
      <c r="U15" s="140">
        <f>VLOOKUP($H15,TABLAS!$B$6:$E$16,4,TRUE)</f>
        <v>0.21360000000000001</v>
      </c>
      <c r="V15" s="141">
        <f>VLOOKUP($H15,TABLAS!$B$6:$E$16,1,TRUE)</f>
        <v>2371.33</v>
      </c>
      <c r="W15" s="139">
        <f t="shared" si="5"/>
        <v>14.869999999999891</v>
      </c>
      <c r="X15" s="141">
        <f>VLOOKUP($H15,TABLAS!$B$6:$E$16,3,TRUE)</f>
        <v>251.16</v>
      </c>
      <c r="Y15" s="139">
        <f t="shared" si="6"/>
        <v>254.33623199999997</v>
      </c>
      <c r="Z15" s="139">
        <f t="shared" si="7"/>
        <v>58.564263947368417</v>
      </c>
      <c r="AA15" s="139">
        <f t="shared" si="14"/>
        <v>288.71750000000003</v>
      </c>
      <c r="AB15" s="139">
        <v>14.16</v>
      </c>
      <c r="AC15" s="139"/>
      <c r="AD15" s="139"/>
      <c r="AE15" s="133"/>
      <c r="AF15" s="133"/>
      <c r="AG15" s="133"/>
      <c r="AH15" s="133"/>
      <c r="AI15" s="133"/>
      <c r="AJ15" s="133"/>
      <c r="AK15" s="133"/>
      <c r="AL15" s="134"/>
      <c r="AM15" s="134"/>
      <c r="AN15" s="145"/>
      <c r="AO15" s="139">
        <f t="shared" si="8"/>
        <v>44.40426394736842</v>
      </c>
      <c r="AP15" s="139">
        <f t="shared" si="13"/>
        <v>1215.7644860526316</v>
      </c>
      <c r="AQ15" s="134">
        <f t="shared" si="9"/>
        <v>0</v>
      </c>
      <c r="AR15" s="139">
        <f t="shared" si="10"/>
        <v>1215.7644860526316</v>
      </c>
      <c r="AS15" s="134">
        <f t="shared" si="11"/>
        <v>94.512656250000006</v>
      </c>
      <c r="AT15" s="134"/>
      <c r="AU15" s="134">
        <f t="shared" si="12"/>
        <v>24.315289721052633</v>
      </c>
      <c r="AV15" s="139">
        <f>+P15+AS15+AT15+AU15</f>
        <v>1378.9966959710525</v>
      </c>
      <c r="AW15" s="136"/>
      <c r="AX15" s="136"/>
      <c r="AY15" s="133">
        <f t="shared" si="0"/>
        <v>-1215.7644860526316</v>
      </c>
      <c r="AZ15" s="136"/>
      <c r="BA15" s="42"/>
    </row>
    <row r="16" spans="1:67" s="18" customFormat="1">
      <c r="A16" s="131" t="s">
        <v>137</v>
      </c>
      <c r="B16" s="136" t="s">
        <v>62</v>
      </c>
      <c r="C16" s="132">
        <f>C15+1</f>
        <v>10</v>
      </c>
      <c r="D16" s="150" t="s">
        <v>170</v>
      </c>
      <c r="E16" s="131" t="s">
        <v>167</v>
      </c>
      <c r="F16" s="137"/>
      <c r="G16" s="133">
        <v>667.88571428571436</v>
      </c>
      <c r="H16" s="133">
        <v>2671.5428571428574</v>
      </c>
      <c r="I16" s="133">
        <f>+G16</f>
        <v>667.88571428571436</v>
      </c>
      <c r="J16" s="134">
        <f>2899.3+3.71</f>
        <v>2903.01</v>
      </c>
      <c r="K16" s="133">
        <f t="shared" si="1"/>
        <v>3570.8957142857143</v>
      </c>
      <c r="L16" s="133">
        <f>(VLOOKUP($K16,TABLAS!$G$6:$I$16,3,TRUE)/30.4)*7</f>
        <v>0</v>
      </c>
      <c r="M16" s="133"/>
      <c r="N16" s="133"/>
      <c r="O16" s="138"/>
      <c r="P16" s="139">
        <f t="shared" si="2"/>
        <v>3570.8957142857143</v>
      </c>
      <c r="Q16" s="139"/>
      <c r="R16" s="139"/>
      <c r="S16" s="139">
        <f t="shared" si="3"/>
        <v>1.0772350230414749</v>
      </c>
      <c r="T16" s="139">
        <f t="shared" si="4"/>
        <v>95.412244897959198</v>
      </c>
      <c r="U16" s="140">
        <f>VLOOKUP($H16,TABLAS!$B$6:$E$16,4,TRUE)</f>
        <v>0.21360000000000001</v>
      </c>
      <c r="V16" s="141">
        <f>VLOOKUP($H16,TABLAS!$B$6:$E$16,1,TRUE)</f>
        <v>2371.33</v>
      </c>
      <c r="W16" s="139">
        <f t="shared" si="5"/>
        <v>300.2128571428575</v>
      </c>
      <c r="X16" s="141">
        <f>VLOOKUP($H16,TABLAS!$B$6:$E$16,3,TRUE)</f>
        <v>251.16</v>
      </c>
      <c r="Y16" s="139">
        <f t="shared" si="6"/>
        <v>315.28546628571439</v>
      </c>
      <c r="Z16" s="139">
        <f t="shared" si="7"/>
        <v>72.598627105263176</v>
      </c>
      <c r="AA16" s="134">
        <f>1066.35684760342/4</f>
        <v>266.58921190085499</v>
      </c>
      <c r="AB16" s="134">
        <f>67.2012713691429/4</f>
        <v>16.800317842285725</v>
      </c>
      <c r="AC16" s="134"/>
      <c r="AD16" s="139"/>
      <c r="AE16" s="133"/>
      <c r="AF16" s="133"/>
      <c r="AG16" s="133"/>
      <c r="AH16" s="133"/>
      <c r="AI16" s="133"/>
      <c r="AJ16" s="133"/>
      <c r="AK16" s="133"/>
      <c r="AL16" s="134"/>
      <c r="AM16" s="134"/>
      <c r="AN16" s="136"/>
      <c r="AO16" s="139">
        <f t="shared" si="8"/>
        <v>55.798309262977455</v>
      </c>
      <c r="AP16" s="139">
        <f t="shared" si="13"/>
        <v>3515.0974050227369</v>
      </c>
      <c r="AQ16" s="134">
        <f t="shared" si="9"/>
        <v>267.81717857142854</v>
      </c>
      <c r="AR16" s="139">
        <f t="shared" si="10"/>
        <v>3247.2802264513084</v>
      </c>
      <c r="AS16" s="134">
        <f t="shared" si="11"/>
        <v>0</v>
      </c>
      <c r="AT16" s="134"/>
      <c r="AU16" s="134">
        <f t="shared" si="12"/>
        <v>70.301948100454737</v>
      </c>
      <c r="AV16" s="139">
        <f>+P16+AS16+AT16+AU16</f>
        <v>3641.1976623861692</v>
      </c>
      <c r="AW16" s="136"/>
      <c r="AX16" s="146"/>
      <c r="AY16" s="133">
        <f t="shared" si="0"/>
        <v>-3247.2802264513084</v>
      </c>
      <c r="AZ16" s="136"/>
      <c r="BA16" s="45"/>
    </row>
    <row r="17" spans="1:53" s="18" customFormat="1">
      <c r="A17" s="131" t="s">
        <v>137</v>
      </c>
      <c r="B17" s="136" t="s">
        <v>151</v>
      </c>
      <c r="C17" s="132">
        <f>C16+1</f>
        <v>11</v>
      </c>
      <c r="D17" s="150" t="s">
        <v>170</v>
      </c>
      <c r="E17" s="131" t="s">
        <v>167</v>
      </c>
      <c r="F17" s="137"/>
      <c r="G17" s="133">
        <v>667.88571428571436</v>
      </c>
      <c r="H17" s="133">
        <v>2671.5428571428574</v>
      </c>
      <c r="I17" s="133">
        <f>+G17</f>
        <v>667.88571428571436</v>
      </c>
      <c r="J17" s="133">
        <v>1543.46</v>
      </c>
      <c r="K17" s="133">
        <f t="shared" si="1"/>
        <v>2211.3457142857142</v>
      </c>
      <c r="L17" s="133">
        <f>(VLOOKUP($K17,TABLAS!$G$6:$I$16,3,TRUE)/30.4)*7</f>
        <v>0</v>
      </c>
      <c r="M17" s="133"/>
      <c r="N17" s="133"/>
      <c r="O17" s="138"/>
      <c r="P17" s="139">
        <f t="shared" si="2"/>
        <v>2211.3457142857142</v>
      </c>
      <c r="Q17" s="139"/>
      <c r="R17" s="139"/>
      <c r="S17" s="139">
        <f t="shared" si="3"/>
        <v>1.0772350230414749</v>
      </c>
      <c r="T17" s="139">
        <f t="shared" si="4"/>
        <v>95.412244897959198</v>
      </c>
      <c r="U17" s="140">
        <f>VLOOKUP($H17,TABLAS!$B$6:$E$16,4,TRUE)</f>
        <v>0.21360000000000001</v>
      </c>
      <c r="V17" s="141">
        <f>VLOOKUP($H17,TABLAS!$B$6:$E$16,1,TRUE)</f>
        <v>2371.33</v>
      </c>
      <c r="W17" s="139">
        <f t="shared" si="5"/>
        <v>300.2128571428575</v>
      </c>
      <c r="X17" s="141">
        <f>VLOOKUP($H17,TABLAS!$B$6:$E$16,3,TRUE)</f>
        <v>251.16</v>
      </c>
      <c r="Y17" s="139">
        <f t="shared" si="6"/>
        <v>315.28546628571439</v>
      </c>
      <c r="Z17" s="139">
        <f t="shared" si="7"/>
        <v>72.598627105263176</v>
      </c>
      <c r="AA17" s="134">
        <f t="shared" ref="AA17:AA28" si="15">1066.35684760342/4</f>
        <v>266.58921190085499</v>
      </c>
      <c r="AB17" s="134">
        <f t="shared" ref="AB17:AB28" si="16">67.2012713691429/4</f>
        <v>16.800317842285725</v>
      </c>
      <c r="AC17" s="134"/>
      <c r="AD17" s="139"/>
      <c r="AE17" s="133"/>
      <c r="AF17" s="133"/>
      <c r="AG17" s="133"/>
      <c r="AH17" s="133"/>
      <c r="AI17" s="133"/>
      <c r="AJ17" s="133"/>
      <c r="AK17" s="133"/>
      <c r="AL17" s="134"/>
      <c r="AM17" s="134"/>
      <c r="AN17" s="136"/>
      <c r="AO17" s="139">
        <f t="shared" si="8"/>
        <v>55.798309262977455</v>
      </c>
      <c r="AP17" s="139">
        <f t="shared" si="13"/>
        <v>2155.5474050227367</v>
      </c>
      <c r="AQ17" s="134">
        <f t="shared" si="9"/>
        <v>165.85092857142857</v>
      </c>
      <c r="AR17" s="139">
        <f t="shared" si="10"/>
        <v>1989.6964764513082</v>
      </c>
      <c r="AS17" s="134">
        <f t="shared" si="11"/>
        <v>0</v>
      </c>
      <c r="AT17" s="134"/>
      <c r="AU17" s="134">
        <f t="shared" si="12"/>
        <v>43.110948100454735</v>
      </c>
      <c r="AV17" s="139">
        <f>+P17+AS17+AT17+AU17</f>
        <v>2254.4566623861688</v>
      </c>
      <c r="AW17" s="147"/>
      <c r="AX17" s="131"/>
      <c r="AY17" s="133">
        <f t="shared" si="0"/>
        <v>-1989.6964764513082</v>
      </c>
      <c r="AZ17" s="136"/>
      <c r="BA17" s="45"/>
    </row>
    <row r="18" spans="1:53" s="18" customFormat="1">
      <c r="A18" s="131" t="s">
        <v>137</v>
      </c>
      <c r="B18" s="136" t="s">
        <v>118</v>
      </c>
      <c r="C18" s="132">
        <f>C17+1</f>
        <v>12</v>
      </c>
      <c r="D18" s="150" t="s">
        <v>170</v>
      </c>
      <c r="E18" s="131" t="s">
        <v>168</v>
      </c>
      <c r="F18" s="137"/>
      <c r="G18" s="133">
        <v>667.88571428571436</v>
      </c>
      <c r="H18" s="133">
        <v>2671.5428571428574</v>
      </c>
      <c r="I18" s="133">
        <f>+G18</f>
        <v>667.88571428571436</v>
      </c>
      <c r="J18" s="133">
        <v>2388.8200000000002</v>
      </c>
      <c r="K18" s="133">
        <f t="shared" si="1"/>
        <v>3056.7057142857147</v>
      </c>
      <c r="L18" s="133">
        <f>(VLOOKUP($K18,TABLAS!$G$6:$I$16,3,TRUE)/30.4)*7</f>
        <v>0</v>
      </c>
      <c r="M18" s="133"/>
      <c r="N18" s="133"/>
      <c r="O18" s="138"/>
      <c r="P18" s="139">
        <f t="shared" si="2"/>
        <v>3056.7057142857147</v>
      </c>
      <c r="Q18" s="139"/>
      <c r="R18" s="139"/>
      <c r="S18" s="139">
        <f t="shared" si="3"/>
        <v>1.0772350230414749</v>
      </c>
      <c r="T18" s="139">
        <f t="shared" si="4"/>
        <v>95.412244897959198</v>
      </c>
      <c r="U18" s="140">
        <f>VLOOKUP($H18,TABLAS!$B$6:$E$16,4,TRUE)</f>
        <v>0.21360000000000001</v>
      </c>
      <c r="V18" s="141">
        <f>VLOOKUP($H18,TABLAS!$B$6:$E$16,1,TRUE)</f>
        <v>2371.33</v>
      </c>
      <c r="W18" s="139">
        <f t="shared" si="5"/>
        <v>300.2128571428575</v>
      </c>
      <c r="X18" s="141">
        <f>VLOOKUP($H18,TABLAS!$B$6:$E$16,3,TRUE)</f>
        <v>251.16</v>
      </c>
      <c r="Y18" s="139">
        <f t="shared" si="6"/>
        <v>315.28546628571439</v>
      </c>
      <c r="Z18" s="139">
        <f t="shared" si="7"/>
        <v>72.598627105263176</v>
      </c>
      <c r="AA18" s="134">
        <f t="shared" si="15"/>
        <v>266.58921190085499</v>
      </c>
      <c r="AB18" s="134">
        <f t="shared" si="16"/>
        <v>16.800317842285725</v>
      </c>
      <c r="AC18" s="134"/>
      <c r="AD18" s="139"/>
      <c r="AE18" s="133"/>
      <c r="AF18" s="133"/>
      <c r="AG18" s="133"/>
      <c r="AH18" s="133"/>
      <c r="AI18" s="133"/>
      <c r="AJ18" s="133"/>
      <c r="AK18" s="133"/>
      <c r="AL18" s="134"/>
      <c r="AM18" s="134"/>
      <c r="AN18" s="136"/>
      <c r="AO18" s="139">
        <f t="shared" si="8"/>
        <v>55.798309262977455</v>
      </c>
      <c r="AP18" s="139">
        <f t="shared" si="13"/>
        <v>3000.9074050227373</v>
      </c>
      <c r="AQ18" s="134">
        <f t="shared" si="9"/>
        <v>229.25292857142861</v>
      </c>
      <c r="AR18" s="139">
        <f t="shared" si="10"/>
        <v>2771.6544764513087</v>
      </c>
      <c r="AS18" s="134">
        <f t="shared" si="11"/>
        <v>0</v>
      </c>
      <c r="AT18" s="134"/>
      <c r="AU18" s="134">
        <f t="shared" si="12"/>
        <v>60.018148100454745</v>
      </c>
      <c r="AV18" s="139">
        <f>+P18+AS18+AT18+AU18</f>
        <v>3116.7238623861695</v>
      </c>
      <c r="AW18" s="131"/>
      <c r="AX18" s="131"/>
      <c r="AY18" s="133">
        <f t="shared" si="0"/>
        <v>-2771.6544764513087</v>
      </c>
      <c r="AZ18" s="135"/>
      <c r="BA18" s="45"/>
    </row>
    <row r="19" spans="1:53" s="18" customFormat="1">
      <c r="A19" s="131" t="s">
        <v>137</v>
      </c>
      <c r="B19" s="136" t="s">
        <v>55</v>
      </c>
      <c r="C19" s="132">
        <f>C18+1</f>
        <v>13</v>
      </c>
      <c r="D19" s="150" t="s">
        <v>170</v>
      </c>
      <c r="E19" s="131" t="s">
        <v>168</v>
      </c>
      <c r="F19" s="148"/>
      <c r="G19" s="133">
        <v>667.88571428571436</v>
      </c>
      <c r="H19" s="133">
        <v>2671.5428571428574</v>
      </c>
      <c r="I19" s="133">
        <f>+G19</f>
        <v>667.88571428571436</v>
      </c>
      <c r="J19" s="133">
        <v>168.87</v>
      </c>
      <c r="K19" s="133">
        <f t="shared" si="1"/>
        <v>836.75571428571436</v>
      </c>
      <c r="L19" s="133">
        <f>(VLOOKUP($K19,TABLAS!$G$6:$I$16,3,TRUE)/30.4)*7</f>
        <v>20.276973684210528</v>
      </c>
      <c r="M19" s="133"/>
      <c r="N19" s="133"/>
      <c r="O19" s="138"/>
      <c r="P19" s="139">
        <f t="shared" si="2"/>
        <v>857.03268796992484</v>
      </c>
      <c r="Q19" s="139"/>
      <c r="R19" s="139"/>
      <c r="S19" s="139">
        <f t="shared" si="3"/>
        <v>1.0772350230414749</v>
      </c>
      <c r="T19" s="139">
        <f t="shared" si="4"/>
        <v>95.412244897959198</v>
      </c>
      <c r="U19" s="140">
        <f>VLOOKUP($H19,TABLAS!$B$6:$E$16,4,TRUE)</f>
        <v>0.21360000000000001</v>
      </c>
      <c r="V19" s="141">
        <f>VLOOKUP($H19,TABLAS!$B$6:$E$16,1,TRUE)</f>
        <v>2371.33</v>
      </c>
      <c r="W19" s="139">
        <f t="shared" si="5"/>
        <v>300.2128571428575</v>
      </c>
      <c r="X19" s="141">
        <f>VLOOKUP($H19,TABLAS!$B$6:$E$16,3,TRUE)</f>
        <v>251.16</v>
      </c>
      <c r="Y19" s="139">
        <f t="shared" si="6"/>
        <v>315.28546628571439</v>
      </c>
      <c r="Z19" s="139">
        <f t="shared" si="7"/>
        <v>72.598627105263176</v>
      </c>
      <c r="AA19" s="134">
        <f t="shared" si="15"/>
        <v>266.58921190085499</v>
      </c>
      <c r="AB19" s="134">
        <f t="shared" si="16"/>
        <v>16.800317842285725</v>
      </c>
      <c r="AC19" s="134"/>
      <c r="AD19" s="139"/>
      <c r="AE19" s="133"/>
      <c r="AF19" s="133"/>
      <c r="AG19" s="133"/>
      <c r="AH19" s="133"/>
      <c r="AI19" s="133"/>
      <c r="AJ19" s="133"/>
      <c r="AK19" s="133"/>
      <c r="AL19" s="134"/>
      <c r="AM19" s="134"/>
      <c r="AN19" s="136"/>
      <c r="AO19" s="139">
        <f t="shared" si="8"/>
        <v>55.798309262977455</v>
      </c>
      <c r="AP19" s="139">
        <f t="shared" si="13"/>
        <v>801.23437870694738</v>
      </c>
      <c r="AQ19" s="134">
        <f t="shared" si="9"/>
        <v>0</v>
      </c>
      <c r="AR19" s="139">
        <f t="shared" si="10"/>
        <v>801.23437870694738</v>
      </c>
      <c r="AS19" s="134">
        <f t="shared" si="11"/>
        <v>64.27745159774436</v>
      </c>
      <c r="AT19" s="134"/>
      <c r="AU19" s="134">
        <f t="shared" si="12"/>
        <v>16.024687574138948</v>
      </c>
      <c r="AV19" s="139">
        <f>+P19+AS19+AT19+AU19</f>
        <v>937.3348271418082</v>
      </c>
      <c r="AW19" s="131"/>
      <c r="AX19" s="131"/>
      <c r="AY19" s="133">
        <f t="shared" si="0"/>
        <v>-801.23437870694738</v>
      </c>
      <c r="AZ19" s="136"/>
      <c r="BA19" s="42"/>
    </row>
    <row r="20" spans="1:53" s="18" customFormat="1">
      <c r="A20" s="131" t="s">
        <v>137</v>
      </c>
      <c r="B20" s="136" t="s">
        <v>117</v>
      </c>
      <c r="C20" s="132">
        <f>C19+1</f>
        <v>14</v>
      </c>
      <c r="D20" s="150" t="s">
        <v>170</v>
      </c>
      <c r="E20" s="131" t="s">
        <v>168</v>
      </c>
      <c r="F20" s="148"/>
      <c r="G20" s="133">
        <v>667.88571428571436</v>
      </c>
      <c r="H20" s="133">
        <v>2671.5428571428574</v>
      </c>
      <c r="I20" s="133">
        <f>+G20</f>
        <v>667.88571428571436</v>
      </c>
      <c r="J20" s="133">
        <v>1145.57</v>
      </c>
      <c r="K20" s="133">
        <f t="shared" si="1"/>
        <v>1813.4557142857143</v>
      </c>
      <c r="L20" s="133">
        <f>(VLOOKUP($K20,TABLAS!$G$6:$I$16,3,TRUE)/30.4)*7</f>
        <v>0</v>
      </c>
      <c r="M20" s="133"/>
      <c r="N20" s="133"/>
      <c r="O20" s="138"/>
      <c r="P20" s="139">
        <f t="shared" si="2"/>
        <v>1813.4557142857143</v>
      </c>
      <c r="Q20" s="139"/>
      <c r="R20" s="139"/>
      <c r="S20" s="139">
        <f t="shared" si="3"/>
        <v>1.0772350230414749</v>
      </c>
      <c r="T20" s="139">
        <f t="shared" si="4"/>
        <v>95.412244897959198</v>
      </c>
      <c r="U20" s="140">
        <f>VLOOKUP($H20,TABLAS!$B$6:$E$16,4,TRUE)</f>
        <v>0.21360000000000001</v>
      </c>
      <c r="V20" s="141">
        <f>VLOOKUP($H20,TABLAS!$B$6:$E$16,1,TRUE)</f>
        <v>2371.33</v>
      </c>
      <c r="W20" s="139">
        <f t="shared" si="5"/>
        <v>300.2128571428575</v>
      </c>
      <c r="X20" s="141">
        <f>VLOOKUP($H20,TABLAS!$B$6:$E$16,3,TRUE)</f>
        <v>251.16</v>
      </c>
      <c r="Y20" s="139">
        <f t="shared" si="6"/>
        <v>315.28546628571439</v>
      </c>
      <c r="Z20" s="139">
        <f t="shared" si="7"/>
        <v>72.598627105263176</v>
      </c>
      <c r="AA20" s="134">
        <f t="shared" si="15"/>
        <v>266.58921190085499</v>
      </c>
      <c r="AB20" s="134">
        <f t="shared" si="16"/>
        <v>16.800317842285725</v>
      </c>
      <c r="AC20" s="134"/>
      <c r="AD20" s="139"/>
      <c r="AE20" s="133"/>
      <c r="AF20" s="133"/>
      <c r="AG20" s="133"/>
      <c r="AH20" s="133"/>
      <c r="AI20" s="133"/>
      <c r="AJ20" s="133"/>
      <c r="AK20" s="133"/>
      <c r="AL20" s="134"/>
      <c r="AM20" s="134"/>
      <c r="AN20" s="136"/>
      <c r="AO20" s="139">
        <f t="shared" si="8"/>
        <v>55.798309262977455</v>
      </c>
      <c r="AP20" s="139">
        <f t="shared" si="13"/>
        <v>1757.6574050227368</v>
      </c>
      <c r="AQ20" s="134">
        <f t="shared" si="9"/>
        <v>0</v>
      </c>
      <c r="AR20" s="139">
        <f t="shared" si="10"/>
        <v>1757.6574050227368</v>
      </c>
      <c r="AS20" s="134">
        <f t="shared" si="11"/>
        <v>136.00917857142858</v>
      </c>
      <c r="AT20" s="134"/>
      <c r="AU20" s="134">
        <f t="shared" si="12"/>
        <v>35.153148100454736</v>
      </c>
      <c r="AV20" s="139">
        <f>+P20+AS20+AT20+AU20</f>
        <v>1984.6180409575975</v>
      </c>
      <c r="AW20" s="131"/>
      <c r="AX20" s="142"/>
      <c r="AY20" s="133">
        <f t="shared" si="0"/>
        <v>-1757.6574050227368</v>
      </c>
      <c r="AZ20" s="136"/>
      <c r="BA20" s="42"/>
    </row>
    <row r="21" spans="1:53" s="18" customFormat="1">
      <c r="A21" s="131" t="s">
        <v>137</v>
      </c>
      <c r="B21" s="136" t="s">
        <v>54</v>
      </c>
      <c r="C21" s="132">
        <f>C20+1</f>
        <v>15</v>
      </c>
      <c r="D21" s="150" t="s">
        <v>170</v>
      </c>
      <c r="E21" s="131" t="s">
        <v>168</v>
      </c>
      <c r="F21" s="148"/>
      <c r="G21" s="133">
        <v>667.88571428571436</v>
      </c>
      <c r="H21" s="133">
        <v>2671.5428571428574</v>
      </c>
      <c r="I21" s="133">
        <f>+G21</f>
        <v>667.88571428571436</v>
      </c>
      <c r="J21" s="133">
        <f>1615.35+2.97</f>
        <v>1618.32</v>
      </c>
      <c r="K21" s="133">
        <f t="shared" si="1"/>
        <v>2286.2057142857143</v>
      </c>
      <c r="L21" s="133">
        <f>(VLOOKUP($K21,TABLAS!$G$6:$I$16,3,TRUE)/30.4)*7</f>
        <v>0</v>
      </c>
      <c r="M21" s="133"/>
      <c r="N21" s="133"/>
      <c r="O21" s="138"/>
      <c r="P21" s="139">
        <f t="shared" si="2"/>
        <v>2286.2057142857143</v>
      </c>
      <c r="Q21" s="139"/>
      <c r="R21" s="139"/>
      <c r="S21" s="139">
        <f t="shared" si="3"/>
        <v>1.0772350230414749</v>
      </c>
      <c r="T21" s="139">
        <f t="shared" si="4"/>
        <v>95.412244897959198</v>
      </c>
      <c r="U21" s="140">
        <f>VLOOKUP($H21,TABLAS!$B$6:$E$16,4,TRUE)</f>
        <v>0.21360000000000001</v>
      </c>
      <c r="V21" s="141">
        <f>VLOOKUP($H21,TABLAS!$B$6:$E$16,1,TRUE)</f>
        <v>2371.33</v>
      </c>
      <c r="W21" s="139">
        <f t="shared" si="5"/>
        <v>300.2128571428575</v>
      </c>
      <c r="X21" s="141">
        <f>VLOOKUP($H21,TABLAS!$B$6:$E$16,3,TRUE)</f>
        <v>251.16</v>
      </c>
      <c r="Y21" s="139">
        <f t="shared" si="6"/>
        <v>315.28546628571439</v>
      </c>
      <c r="Z21" s="139">
        <f t="shared" si="7"/>
        <v>72.598627105263176</v>
      </c>
      <c r="AA21" s="134">
        <f t="shared" si="15"/>
        <v>266.58921190085499</v>
      </c>
      <c r="AB21" s="134">
        <f t="shared" si="16"/>
        <v>16.800317842285725</v>
      </c>
      <c r="AC21" s="134"/>
      <c r="AD21" s="139"/>
      <c r="AE21" s="133"/>
      <c r="AF21" s="133"/>
      <c r="AG21" s="133"/>
      <c r="AH21" s="133"/>
      <c r="AI21" s="133"/>
      <c r="AJ21" s="133"/>
      <c r="AK21" s="133"/>
      <c r="AL21" s="134"/>
      <c r="AM21" s="134"/>
      <c r="AN21" s="136"/>
      <c r="AO21" s="139">
        <f t="shared" si="8"/>
        <v>55.798309262977455</v>
      </c>
      <c r="AP21" s="139">
        <f t="shared" si="13"/>
        <v>2230.4074050227368</v>
      </c>
      <c r="AQ21" s="134">
        <f t="shared" si="9"/>
        <v>171.46542857142856</v>
      </c>
      <c r="AR21" s="139">
        <f t="shared" si="10"/>
        <v>2058.9419764513082</v>
      </c>
      <c r="AS21" s="134">
        <f t="shared" si="11"/>
        <v>0</v>
      </c>
      <c r="AT21" s="134"/>
      <c r="AU21" s="134">
        <f t="shared" si="12"/>
        <v>44.608148100454734</v>
      </c>
      <c r="AV21" s="139">
        <f>+P21+AS21+AT21+AU21</f>
        <v>2330.8138623861691</v>
      </c>
      <c r="AW21" s="131"/>
      <c r="AX21" s="142"/>
      <c r="AY21" s="133">
        <f t="shared" si="0"/>
        <v>-2058.9419764513082</v>
      </c>
      <c r="AZ21" s="136"/>
      <c r="BA21" s="42"/>
    </row>
    <row r="22" spans="1:53" s="18" customFormat="1">
      <c r="A22" s="131" t="s">
        <v>161</v>
      </c>
      <c r="B22" s="136" t="s">
        <v>56</v>
      </c>
      <c r="C22" s="132">
        <f>C21+1</f>
        <v>16</v>
      </c>
      <c r="D22" s="150" t="s">
        <v>170</v>
      </c>
      <c r="E22" s="131" t="s">
        <v>168</v>
      </c>
      <c r="F22" s="137"/>
      <c r="G22" s="133">
        <v>667.88571428571436</v>
      </c>
      <c r="H22" s="133">
        <v>2671.5428571428574</v>
      </c>
      <c r="I22" s="133">
        <f>+G22</f>
        <v>667.88571428571436</v>
      </c>
      <c r="J22" s="133">
        <f>5650.32+2.59</f>
        <v>5652.91</v>
      </c>
      <c r="K22" s="133">
        <f t="shared" si="1"/>
        <v>6320.795714285714</v>
      </c>
      <c r="L22" s="133">
        <f>(VLOOKUP($K22,TABLAS!$G$6:$I$16,3,TRUE)/30.4)*7</f>
        <v>0</v>
      </c>
      <c r="M22" s="133"/>
      <c r="N22" s="133"/>
      <c r="O22" s="138"/>
      <c r="P22" s="139">
        <f t="shared" si="2"/>
        <v>6320.795714285714</v>
      </c>
      <c r="Q22" s="139"/>
      <c r="R22" s="139"/>
      <c r="S22" s="139">
        <f t="shared" si="3"/>
        <v>1.0772350230414749</v>
      </c>
      <c r="T22" s="139">
        <f t="shared" si="4"/>
        <v>95.412244897959198</v>
      </c>
      <c r="U22" s="140">
        <f>VLOOKUP($H22,TABLAS!$B$6:$E$16,4,TRUE)</f>
        <v>0.21360000000000001</v>
      </c>
      <c r="V22" s="141">
        <f>VLOOKUP($H22,TABLAS!$B$6:$E$16,1,TRUE)</f>
        <v>2371.33</v>
      </c>
      <c r="W22" s="139">
        <f t="shared" si="5"/>
        <v>300.2128571428575</v>
      </c>
      <c r="X22" s="141">
        <f>VLOOKUP($H22,TABLAS!$B$6:$E$16,3,TRUE)</f>
        <v>251.16</v>
      </c>
      <c r="Y22" s="139">
        <f t="shared" si="6"/>
        <v>315.28546628571439</v>
      </c>
      <c r="Z22" s="139">
        <f t="shared" si="7"/>
        <v>72.598627105263176</v>
      </c>
      <c r="AA22" s="134">
        <f t="shared" si="15"/>
        <v>266.58921190085499</v>
      </c>
      <c r="AB22" s="134">
        <f t="shared" si="16"/>
        <v>16.800317842285725</v>
      </c>
      <c r="AC22" s="134"/>
      <c r="AD22" s="139"/>
      <c r="AE22" s="133"/>
      <c r="AF22" s="133"/>
      <c r="AG22" s="133"/>
      <c r="AH22" s="133"/>
      <c r="AI22" s="133"/>
      <c r="AJ22" s="133"/>
      <c r="AK22" s="133"/>
      <c r="AL22" s="134"/>
      <c r="AM22" s="134"/>
      <c r="AN22" s="136"/>
      <c r="AO22" s="139">
        <f t="shared" si="8"/>
        <v>55.798309262977455</v>
      </c>
      <c r="AP22" s="139">
        <f t="shared" si="13"/>
        <v>6264.9974050227365</v>
      </c>
      <c r="AQ22" s="134">
        <f t="shared" si="9"/>
        <v>474.05967857142855</v>
      </c>
      <c r="AR22" s="139">
        <f t="shared" si="10"/>
        <v>5790.9377264513078</v>
      </c>
      <c r="AS22" s="134">
        <f t="shared" si="11"/>
        <v>0</v>
      </c>
      <c r="AT22" s="134"/>
      <c r="AU22" s="134">
        <f t="shared" si="12"/>
        <v>125.29994810045473</v>
      </c>
      <c r="AV22" s="139">
        <f>+P22+AS22+AT22+AU22</f>
        <v>6446.0956623861684</v>
      </c>
      <c r="AW22" s="131"/>
      <c r="AX22" s="142"/>
      <c r="AY22" s="133">
        <f t="shared" si="0"/>
        <v>-5790.9377264513078</v>
      </c>
      <c r="AZ22" s="136"/>
      <c r="BA22" s="42"/>
    </row>
    <row r="23" spans="1:53" s="18" customFormat="1">
      <c r="A23" s="131" t="s">
        <v>161</v>
      </c>
      <c r="B23" s="136" t="s">
        <v>126</v>
      </c>
      <c r="C23" s="132">
        <f>C22+1</f>
        <v>17</v>
      </c>
      <c r="D23" s="150" t="s">
        <v>170</v>
      </c>
      <c r="E23" s="131" t="s">
        <v>168</v>
      </c>
      <c r="F23" s="137"/>
      <c r="G23" s="133">
        <v>667.88571428571436</v>
      </c>
      <c r="H23" s="133">
        <v>2671.5428571428574</v>
      </c>
      <c r="I23" s="133">
        <f>+G23</f>
        <v>667.88571428571436</v>
      </c>
      <c r="J23" s="133">
        <v>1508.45</v>
      </c>
      <c r="K23" s="133">
        <f t="shared" si="1"/>
        <v>2176.3357142857144</v>
      </c>
      <c r="L23" s="133">
        <f>(VLOOKUP($K23,TABLAS!$G$6:$I$16,3,TRUE)/30.4)*7</f>
        <v>0</v>
      </c>
      <c r="M23" s="133"/>
      <c r="N23" s="133"/>
      <c r="O23" s="138"/>
      <c r="P23" s="139">
        <f t="shared" si="2"/>
        <v>2176.3357142857144</v>
      </c>
      <c r="Q23" s="139"/>
      <c r="R23" s="139"/>
      <c r="S23" s="139">
        <f t="shared" si="3"/>
        <v>1.0772350230414749</v>
      </c>
      <c r="T23" s="139">
        <f t="shared" si="4"/>
        <v>95.412244897959198</v>
      </c>
      <c r="U23" s="140">
        <f>VLOOKUP($H23,TABLAS!$B$6:$E$16,4,TRUE)</f>
        <v>0.21360000000000001</v>
      </c>
      <c r="V23" s="141">
        <f>VLOOKUP($H23,TABLAS!$B$6:$E$16,1,TRUE)</f>
        <v>2371.33</v>
      </c>
      <c r="W23" s="139">
        <f t="shared" si="5"/>
        <v>300.2128571428575</v>
      </c>
      <c r="X23" s="141">
        <f>VLOOKUP($H23,TABLAS!$B$6:$E$16,3,TRUE)</f>
        <v>251.16</v>
      </c>
      <c r="Y23" s="139">
        <f t="shared" si="6"/>
        <v>315.28546628571439</v>
      </c>
      <c r="Z23" s="139">
        <f t="shared" si="7"/>
        <v>72.598627105263176</v>
      </c>
      <c r="AA23" s="134">
        <f t="shared" si="15"/>
        <v>266.58921190085499</v>
      </c>
      <c r="AB23" s="134">
        <f t="shared" si="16"/>
        <v>16.800317842285725</v>
      </c>
      <c r="AC23" s="134"/>
      <c r="AD23" s="139"/>
      <c r="AE23" s="133"/>
      <c r="AF23" s="133"/>
      <c r="AG23" s="133"/>
      <c r="AH23" s="133"/>
      <c r="AI23" s="133"/>
      <c r="AJ23" s="133"/>
      <c r="AK23" s="133"/>
      <c r="AL23" s="134"/>
      <c r="AM23" s="134"/>
      <c r="AN23" s="136"/>
      <c r="AO23" s="139">
        <f t="shared" si="8"/>
        <v>55.798309262977455</v>
      </c>
      <c r="AP23" s="139">
        <f t="shared" si="13"/>
        <v>2120.5374050227369</v>
      </c>
      <c r="AQ23" s="134">
        <f t="shared" si="9"/>
        <v>163.22517857142859</v>
      </c>
      <c r="AR23" s="139">
        <f t="shared" si="10"/>
        <v>1957.3122264513083</v>
      </c>
      <c r="AS23" s="134">
        <f t="shared" si="11"/>
        <v>0</v>
      </c>
      <c r="AT23" s="134"/>
      <c r="AU23" s="134">
        <f t="shared" si="12"/>
        <v>42.41074810045474</v>
      </c>
      <c r="AV23" s="139">
        <f>+P23+AS23+AT23+AU23</f>
        <v>2218.7464623861692</v>
      </c>
      <c r="AW23" s="131"/>
      <c r="AX23" s="142"/>
      <c r="AY23" s="133">
        <f t="shared" si="0"/>
        <v>-1957.3122264513083</v>
      </c>
      <c r="AZ23" s="136"/>
      <c r="BA23" s="45"/>
    </row>
    <row r="24" spans="1:53" s="18" customFormat="1">
      <c r="A24" s="131" t="s">
        <v>161</v>
      </c>
      <c r="B24" s="136" t="s">
        <v>75</v>
      </c>
      <c r="C24" s="132">
        <f>C23+1</f>
        <v>18</v>
      </c>
      <c r="D24" s="150" t="s">
        <v>170</v>
      </c>
      <c r="E24" s="131" t="s">
        <v>168</v>
      </c>
      <c r="F24" s="137"/>
      <c r="G24" s="133">
        <v>667.88571428571436</v>
      </c>
      <c r="H24" s="133">
        <v>2671.5428571428574</v>
      </c>
      <c r="I24" s="133">
        <f>+G24</f>
        <v>667.88571428571436</v>
      </c>
      <c r="J24" s="133">
        <f>4378.27+3500</f>
        <v>7878.27</v>
      </c>
      <c r="K24" s="133">
        <f t="shared" si="1"/>
        <v>8546.1557142857146</v>
      </c>
      <c r="L24" s="133">
        <f>(VLOOKUP($K24,TABLAS!$G$6:$I$16,3,TRUE)/30.4)*7</f>
        <v>0</v>
      </c>
      <c r="M24" s="133"/>
      <c r="N24" s="133"/>
      <c r="O24" s="138"/>
      <c r="P24" s="139">
        <f t="shared" si="2"/>
        <v>8546.1557142857146</v>
      </c>
      <c r="Q24" s="139"/>
      <c r="R24" s="139"/>
      <c r="S24" s="139">
        <f t="shared" si="3"/>
        <v>1.0772350230414749</v>
      </c>
      <c r="T24" s="139">
        <f t="shared" si="4"/>
        <v>95.412244897959198</v>
      </c>
      <c r="U24" s="140">
        <f>VLOOKUP($H24,TABLAS!$B$6:$E$16,4,TRUE)</f>
        <v>0.21360000000000001</v>
      </c>
      <c r="V24" s="141">
        <f>VLOOKUP($H24,TABLAS!$B$6:$E$16,1,TRUE)</f>
        <v>2371.33</v>
      </c>
      <c r="W24" s="139">
        <f t="shared" si="5"/>
        <v>300.2128571428575</v>
      </c>
      <c r="X24" s="141">
        <f>VLOOKUP($H24,TABLAS!$B$6:$E$16,3,TRUE)</f>
        <v>251.16</v>
      </c>
      <c r="Y24" s="139">
        <f t="shared" si="6"/>
        <v>315.28546628571439</v>
      </c>
      <c r="Z24" s="139">
        <f t="shared" si="7"/>
        <v>72.598627105263176</v>
      </c>
      <c r="AA24" s="134">
        <f t="shared" si="15"/>
        <v>266.58921190085499</v>
      </c>
      <c r="AB24" s="134">
        <f t="shared" si="16"/>
        <v>16.800317842285725</v>
      </c>
      <c r="AC24" s="134"/>
      <c r="AD24" s="139"/>
      <c r="AE24" s="133"/>
      <c r="AF24" s="133"/>
      <c r="AG24" s="133"/>
      <c r="AH24" s="133"/>
      <c r="AI24" s="133"/>
      <c r="AJ24" s="133"/>
      <c r="AK24" s="133"/>
      <c r="AL24" s="134"/>
      <c r="AM24" s="134"/>
      <c r="AN24" s="136"/>
      <c r="AO24" s="139">
        <f t="shared" si="8"/>
        <v>55.798309262977455</v>
      </c>
      <c r="AP24" s="139">
        <f t="shared" si="13"/>
        <v>8490.3574050227362</v>
      </c>
      <c r="AQ24" s="134">
        <f t="shared" si="9"/>
        <v>640.96167857142859</v>
      </c>
      <c r="AR24" s="139">
        <f t="shared" si="10"/>
        <v>7849.3957264513074</v>
      </c>
      <c r="AS24" s="134">
        <f t="shared" si="11"/>
        <v>0</v>
      </c>
      <c r="AT24" s="134"/>
      <c r="AU24" s="134">
        <f t="shared" si="12"/>
        <v>169.80714810045473</v>
      </c>
      <c r="AV24" s="139">
        <f>+P24+AS24+AT24+AU24</f>
        <v>8715.9628623861699</v>
      </c>
      <c r="AW24" s="131"/>
      <c r="AX24" s="142"/>
      <c r="AY24" s="133">
        <f t="shared" si="0"/>
        <v>-7849.3957264513074</v>
      </c>
      <c r="AZ24" s="136"/>
      <c r="BA24" s="45"/>
    </row>
    <row r="25" spans="1:53" s="18" customFormat="1">
      <c r="A25" s="131" t="s">
        <v>161</v>
      </c>
      <c r="B25" s="136" t="s">
        <v>89</v>
      </c>
      <c r="C25" s="132">
        <f>C24+1</f>
        <v>19</v>
      </c>
      <c r="D25" s="150" t="s">
        <v>170</v>
      </c>
      <c r="E25" s="131" t="s">
        <v>168</v>
      </c>
      <c r="F25" s="137"/>
      <c r="G25" s="133">
        <v>667.88571428571436</v>
      </c>
      <c r="H25" s="133">
        <v>2671.5428571428574</v>
      </c>
      <c r="I25" s="133">
        <f>+G25</f>
        <v>667.88571428571436</v>
      </c>
      <c r="J25" s="133">
        <f>3193.56+2.599</f>
        <v>3196.1590000000001</v>
      </c>
      <c r="K25" s="133">
        <f t="shared" si="1"/>
        <v>3864.0447142857147</v>
      </c>
      <c r="L25" s="133">
        <f>(VLOOKUP($K25,TABLAS!$G$6:$I$16,3,TRUE)/30.4)*7</f>
        <v>0</v>
      </c>
      <c r="M25" s="133"/>
      <c r="N25" s="133"/>
      <c r="O25" s="138"/>
      <c r="P25" s="139">
        <f t="shared" si="2"/>
        <v>3864.0447142857147</v>
      </c>
      <c r="Q25" s="139"/>
      <c r="R25" s="139"/>
      <c r="S25" s="139">
        <f t="shared" si="3"/>
        <v>1.0772350230414749</v>
      </c>
      <c r="T25" s="139">
        <f t="shared" si="4"/>
        <v>95.412244897959198</v>
      </c>
      <c r="U25" s="140">
        <f>VLOOKUP($H25,TABLAS!$B$6:$E$16,4,TRUE)</f>
        <v>0.21360000000000001</v>
      </c>
      <c r="V25" s="141">
        <f>VLOOKUP($H25,TABLAS!$B$6:$E$16,1,TRUE)</f>
        <v>2371.33</v>
      </c>
      <c r="W25" s="139">
        <f t="shared" si="5"/>
        <v>300.2128571428575</v>
      </c>
      <c r="X25" s="141">
        <f>VLOOKUP($H25,TABLAS!$B$6:$E$16,3,TRUE)</f>
        <v>251.16</v>
      </c>
      <c r="Y25" s="139">
        <f t="shared" si="6"/>
        <v>315.28546628571439</v>
      </c>
      <c r="Z25" s="139">
        <f t="shared" si="7"/>
        <v>72.598627105263176</v>
      </c>
      <c r="AA25" s="134">
        <f t="shared" si="15"/>
        <v>266.58921190085499</v>
      </c>
      <c r="AB25" s="134">
        <f t="shared" si="16"/>
        <v>16.800317842285725</v>
      </c>
      <c r="AC25" s="134"/>
      <c r="AD25" s="139"/>
      <c r="AE25" s="133"/>
      <c r="AF25" s="133"/>
      <c r="AG25" s="133"/>
      <c r="AH25" s="133"/>
      <c r="AI25" s="133"/>
      <c r="AJ25" s="133"/>
      <c r="AK25" s="133"/>
      <c r="AL25" s="134"/>
      <c r="AM25" s="134"/>
      <c r="AN25" s="136"/>
      <c r="AO25" s="139">
        <f t="shared" si="8"/>
        <v>55.798309262977455</v>
      </c>
      <c r="AP25" s="139">
        <f t="shared" si="13"/>
        <v>3808.2464050227372</v>
      </c>
      <c r="AQ25" s="134">
        <f t="shared" si="9"/>
        <v>289.8033535714286</v>
      </c>
      <c r="AR25" s="139">
        <f t="shared" si="10"/>
        <v>3518.4430514513087</v>
      </c>
      <c r="AS25" s="134">
        <f t="shared" si="11"/>
        <v>0</v>
      </c>
      <c r="AT25" s="134"/>
      <c r="AU25" s="134">
        <f t="shared" si="12"/>
        <v>76.164928100454745</v>
      </c>
      <c r="AV25" s="139">
        <f>+P25+AS25+AT25+AU25</f>
        <v>3940.2096423861694</v>
      </c>
      <c r="AW25" s="131"/>
      <c r="AX25" s="142"/>
      <c r="AY25" s="133"/>
      <c r="AZ25" s="136"/>
      <c r="BA25" s="45"/>
    </row>
    <row r="26" spans="1:53" s="18" customFormat="1">
      <c r="A26" s="131" t="s">
        <v>161</v>
      </c>
      <c r="B26" s="136" t="s">
        <v>115</v>
      </c>
      <c r="C26" s="132">
        <f>C25+1</f>
        <v>20</v>
      </c>
      <c r="D26" s="150" t="s">
        <v>170</v>
      </c>
      <c r="E26" s="131" t="s">
        <v>168</v>
      </c>
      <c r="F26" s="137"/>
      <c r="G26" s="133">
        <v>667.88571428571436</v>
      </c>
      <c r="H26" s="133">
        <v>2671.5428571428574</v>
      </c>
      <c r="I26" s="133">
        <f>+G26</f>
        <v>667.88571428571436</v>
      </c>
      <c r="J26" s="133">
        <v>4842.8500000000004</v>
      </c>
      <c r="K26" s="133">
        <f t="shared" si="1"/>
        <v>5510.7357142857145</v>
      </c>
      <c r="L26" s="133">
        <f>(VLOOKUP($K26,TABLAS!$G$6:$I$16,3,TRUE)/30.4)*7</f>
        <v>0</v>
      </c>
      <c r="M26" s="133"/>
      <c r="N26" s="133"/>
      <c r="O26" s="138"/>
      <c r="P26" s="139">
        <f t="shared" si="2"/>
        <v>5510.7357142857145</v>
      </c>
      <c r="Q26" s="139"/>
      <c r="R26" s="139"/>
      <c r="S26" s="139">
        <f t="shared" si="3"/>
        <v>1.0772350230414749</v>
      </c>
      <c r="T26" s="139">
        <f t="shared" si="4"/>
        <v>95.412244897959198</v>
      </c>
      <c r="U26" s="140">
        <f>VLOOKUP($H26,TABLAS!$B$6:$E$16,4,TRUE)</f>
        <v>0.21360000000000001</v>
      </c>
      <c r="V26" s="141">
        <f>VLOOKUP($H26,TABLAS!$B$6:$E$16,1,TRUE)</f>
        <v>2371.33</v>
      </c>
      <c r="W26" s="139">
        <f t="shared" si="5"/>
        <v>300.2128571428575</v>
      </c>
      <c r="X26" s="141">
        <f>VLOOKUP($H26,TABLAS!$B$6:$E$16,3,TRUE)</f>
        <v>251.16</v>
      </c>
      <c r="Y26" s="139">
        <f t="shared" si="6"/>
        <v>315.28546628571439</v>
      </c>
      <c r="Z26" s="139">
        <f t="shared" si="7"/>
        <v>72.598627105263176</v>
      </c>
      <c r="AA26" s="134">
        <f t="shared" si="15"/>
        <v>266.58921190085499</v>
      </c>
      <c r="AB26" s="134">
        <f t="shared" si="16"/>
        <v>16.800317842285725</v>
      </c>
      <c r="AC26" s="134"/>
      <c r="AD26" s="139"/>
      <c r="AE26" s="133"/>
      <c r="AF26" s="133"/>
      <c r="AG26" s="133"/>
      <c r="AH26" s="133"/>
      <c r="AI26" s="133"/>
      <c r="AJ26" s="133"/>
      <c r="AK26" s="133"/>
      <c r="AL26" s="134"/>
      <c r="AM26" s="134"/>
      <c r="AN26" s="136"/>
      <c r="AO26" s="139">
        <f t="shared" si="8"/>
        <v>55.798309262977455</v>
      </c>
      <c r="AP26" s="139">
        <f t="shared" si="13"/>
        <v>5454.937405022737</v>
      </c>
      <c r="AQ26" s="134">
        <f t="shared" si="9"/>
        <v>413.3051785714286</v>
      </c>
      <c r="AR26" s="139">
        <f t="shared" si="10"/>
        <v>5041.6322264513083</v>
      </c>
      <c r="AS26" s="134">
        <f t="shared" si="11"/>
        <v>0</v>
      </c>
      <c r="AT26" s="134"/>
      <c r="AU26" s="134">
        <f t="shared" si="12"/>
        <v>109.09874810045474</v>
      </c>
      <c r="AV26" s="139">
        <f>+P26+AS26+AT26+AU26</f>
        <v>5619.8344623861694</v>
      </c>
      <c r="AW26" s="131"/>
      <c r="AX26" s="131"/>
      <c r="AY26" s="133">
        <f t="shared" si="0"/>
        <v>-5041.6322264513083</v>
      </c>
      <c r="AZ26" s="136"/>
      <c r="BA26" s="42"/>
    </row>
    <row r="27" spans="1:53" s="18" customFormat="1">
      <c r="A27" s="131" t="s">
        <v>161</v>
      </c>
      <c r="B27" s="136" t="s">
        <v>53</v>
      </c>
      <c r="C27" s="132">
        <f>C26+1</f>
        <v>21</v>
      </c>
      <c r="D27" s="150" t="s">
        <v>170</v>
      </c>
      <c r="E27" s="131" t="s">
        <v>168</v>
      </c>
      <c r="F27" s="137"/>
      <c r="G27" s="133">
        <v>667.88571428571436</v>
      </c>
      <c r="H27" s="133">
        <v>2671.5428571428574</v>
      </c>
      <c r="I27" s="133">
        <f>+G27</f>
        <v>667.88571428571436</v>
      </c>
      <c r="J27" s="133">
        <f>1381.57+5.571</f>
        <v>1387.1409999999998</v>
      </c>
      <c r="K27" s="133">
        <f t="shared" si="1"/>
        <v>2055.0267142857142</v>
      </c>
      <c r="L27" s="133">
        <f>(VLOOKUP($K27,TABLAS!$G$6:$I$16,3,TRUE)/30.4)*7</f>
        <v>0</v>
      </c>
      <c r="M27" s="133"/>
      <c r="N27" s="133"/>
      <c r="O27" s="138"/>
      <c r="P27" s="139">
        <f t="shared" si="2"/>
        <v>2055.0267142857142</v>
      </c>
      <c r="Q27" s="139"/>
      <c r="R27" s="139"/>
      <c r="S27" s="139">
        <f t="shared" si="3"/>
        <v>1.0772350230414749</v>
      </c>
      <c r="T27" s="139">
        <f t="shared" si="4"/>
        <v>95.412244897959198</v>
      </c>
      <c r="U27" s="140">
        <f>VLOOKUP($H27,TABLAS!$B$6:$E$16,4,TRUE)</f>
        <v>0.21360000000000001</v>
      </c>
      <c r="V27" s="141">
        <f>VLOOKUP($H27,TABLAS!$B$6:$E$16,1,TRUE)</f>
        <v>2371.33</v>
      </c>
      <c r="W27" s="139">
        <f t="shared" si="5"/>
        <v>300.2128571428575</v>
      </c>
      <c r="X27" s="141">
        <f>VLOOKUP($H27,TABLAS!$B$6:$E$16,3,TRUE)</f>
        <v>251.16</v>
      </c>
      <c r="Y27" s="139">
        <f t="shared" si="6"/>
        <v>315.28546628571439</v>
      </c>
      <c r="Z27" s="139">
        <f t="shared" si="7"/>
        <v>72.598627105263176</v>
      </c>
      <c r="AA27" s="134">
        <f t="shared" si="15"/>
        <v>266.58921190085499</v>
      </c>
      <c r="AB27" s="134">
        <f t="shared" si="16"/>
        <v>16.800317842285725</v>
      </c>
      <c r="AC27" s="134"/>
      <c r="AD27" s="139"/>
      <c r="AE27" s="133"/>
      <c r="AF27" s="133"/>
      <c r="AG27" s="133"/>
      <c r="AH27" s="133"/>
      <c r="AI27" s="133"/>
      <c r="AJ27" s="133"/>
      <c r="AK27" s="133"/>
      <c r="AL27" s="134"/>
      <c r="AM27" s="134"/>
      <c r="AN27" s="136"/>
      <c r="AO27" s="139">
        <f t="shared" si="8"/>
        <v>55.798309262977455</v>
      </c>
      <c r="AP27" s="139">
        <f t="shared" si="13"/>
        <v>1999.2284050227368</v>
      </c>
      <c r="AQ27" s="134">
        <f t="shared" si="9"/>
        <v>154.12700357142856</v>
      </c>
      <c r="AR27" s="139">
        <f t="shared" si="10"/>
        <v>1845.1014014513082</v>
      </c>
      <c r="AS27" s="134">
        <f t="shared" si="11"/>
        <v>0</v>
      </c>
      <c r="AT27" s="134"/>
      <c r="AU27" s="134">
        <f t="shared" si="12"/>
        <v>39.984568100454737</v>
      </c>
      <c r="AV27" s="139">
        <f>+P27+AS27+AT27+AU27</f>
        <v>2095.0112823861691</v>
      </c>
      <c r="AW27" s="131"/>
      <c r="AX27" s="142"/>
      <c r="AY27" s="133">
        <f t="shared" si="0"/>
        <v>-1845.1014014513082</v>
      </c>
      <c r="AZ27" s="136"/>
      <c r="BA27" s="45"/>
    </row>
    <row r="28" spans="1:53" s="18" customFormat="1">
      <c r="A28" s="131" t="s">
        <v>161</v>
      </c>
      <c r="B28" s="136" t="s">
        <v>152</v>
      </c>
      <c r="C28" s="132">
        <f>C27+1</f>
        <v>22</v>
      </c>
      <c r="D28" s="150" t="s">
        <v>170</v>
      </c>
      <c r="E28" s="131" t="s">
        <v>168</v>
      </c>
      <c r="F28" s="137"/>
      <c r="G28" s="133">
        <v>667.88571428571436</v>
      </c>
      <c r="H28" s="133">
        <v>2671.5428571428574</v>
      </c>
      <c r="I28" s="133">
        <f>+G28</f>
        <v>667.88571428571436</v>
      </c>
      <c r="J28" s="133">
        <f>2841.625+5.571</f>
        <v>2847.1959999999999</v>
      </c>
      <c r="K28" s="133">
        <f t="shared" si="1"/>
        <v>3515.081714285714</v>
      </c>
      <c r="L28" s="133">
        <f>(VLOOKUP($K28,TABLAS!$G$6:$I$16,3,TRUE)/30.4)*7</f>
        <v>0</v>
      </c>
      <c r="M28" s="133"/>
      <c r="N28" s="133"/>
      <c r="O28" s="138"/>
      <c r="P28" s="139">
        <f t="shared" si="2"/>
        <v>3515.081714285714</v>
      </c>
      <c r="Q28" s="139"/>
      <c r="R28" s="139"/>
      <c r="S28" s="139">
        <f t="shared" si="3"/>
        <v>1.0772350230414749</v>
      </c>
      <c r="T28" s="139">
        <f t="shared" si="4"/>
        <v>95.412244897959198</v>
      </c>
      <c r="U28" s="140">
        <f>VLOOKUP($H28,TABLAS!$B$6:$E$16,4,TRUE)</f>
        <v>0.21360000000000001</v>
      </c>
      <c r="V28" s="141">
        <f>VLOOKUP($H28,TABLAS!$B$6:$E$16,1,TRUE)</f>
        <v>2371.33</v>
      </c>
      <c r="W28" s="139">
        <f t="shared" si="5"/>
        <v>300.2128571428575</v>
      </c>
      <c r="X28" s="141">
        <f>VLOOKUP($H28,TABLAS!$B$6:$E$16,3,TRUE)</f>
        <v>251.16</v>
      </c>
      <c r="Y28" s="139">
        <f t="shared" si="6"/>
        <v>315.28546628571439</v>
      </c>
      <c r="Z28" s="139">
        <f t="shared" si="7"/>
        <v>72.598627105263176</v>
      </c>
      <c r="AA28" s="134">
        <f t="shared" si="15"/>
        <v>266.58921190085499</v>
      </c>
      <c r="AB28" s="134">
        <f t="shared" si="16"/>
        <v>16.800317842285725</v>
      </c>
      <c r="AC28" s="134"/>
      <c r="AD28" s="139"/>
      <c r="AE28" s="133"/>
      <c r="AF28" s="133"/>
      <c r="AG28" s="133"/>
      <c r="AH28" s="133"/>
      <c r="AI28" s="133"/>
      <c r="AJ28" s="133"/>
      <c r="AK28" s="133"/>
      <c r="AL28" s="134"/>
      <c r="AM28" s="134"/>
      <c r="AN28" s="136"/>
      <c r="AO28" s="139">
        <f t="shared" si="8"/>
        <v>55.798309262977455</v>
      </c>
      <c r="AP28" s="139">
        <f t="shared" si="13"/>
        <v>3459.2834050227366</v>
      </c>
      <c r="AQ28" s="134">
        <f t="shared" si="9"/>
        <v>263.63112857142852</v>
      </c>
      <c r="AR28" s="139">
        <f t="shared" si="10"/>
        <v>3195.6522764513079</v>
      </c>
      <c r="AS28" s="134">
        <f t="shared" si="11"/>
        <v>0</v>
      </c>
      <c r="AT28" s="134"/>
      <c r="AU28" s="134">
        <f t="shared" si="12"/>
        <v>69.185668100454734</v>
      </c>
      <c r="AV28" s="139">
        <f>+P28+AS28+AT28+AU28</f>
        <v>3584.2673823861687</v>
      </c>
      <c r="AW28" s="131"/>
      <c r="AX28" s="131"/>
      <c r="AY28" s="133">
        <f t="shared" si="0"/>
        <v>-3195.6522764513079</v>
      </c>
      <c r="AZ28" s="136"/>
      <c r="BA28" s="45"/>
    </row>
    <row r="29" spans="1:53" s="18" customFormat="1" ht="15.75" customHeight="1">
      <c r="A29" s="131" t="s">
        <v>43</v>
      </c>
      <c r="B29" s="136" t="s">
        <v>95</v>
      </c>
      <c r="C29" s="132">
        <f>C28+1</f>
        <v>23</v>
      </c>
      <c r="D29" s="150" t="s">
        <v>170</v>
      </c>
      <c r="E29" s="131" t="s">
        <v>165</v>
      </c>
      <c r="F29" s="137"/>
      <c r="G29" s="133">
        <v>792.03214285714296</v>
      </c>
      <c r="H29" s="133">
        <v>3168.1285714285718</v>
      </c>
      <c r="I29" s="133">
        <f>+G29</f>
        <v>792.03214285714296</v>
      </c>
      <c r="J29" s="133">
        <v>4780.7</v>
      </c>
      <c r="K29" s="133">
        <f t="shared" si="1"/>
        <v>5572.7321428571431</v>
      </c>
      <c r="L29" s="133">
        <f>(VLOOKUP($K29,TABLAS!$G$6:$I$16,3,TRUE)/30.4)*7</f>
        <v>0</v>
      </c>
      <c r="M29" s="133"/>
      <c r="N29" s="133"/>
      <c r="O29" s="138"/>
      <c r="P29" s="139">
        <f t="shared" si="2"/>
        <v>5572.7321428571431</v>
      </c>
      <c r="Q29" s="139"/>
      <c r="R29" s="139"/>
      <c r="S29" s="139">
        <f t="shared" si="3"/>
        <v>1.2774711981566824</v>
      </c>
      <c r="T29" s="139">
        <f t="shared" si="4"/>
        <v>113.14744897959186</v>
      </c>
      <c r="U29" s="140">
        <f>VLOOKUP($H29,TABLAS!$B$6:$E$16,4,TRUE)</f>
        <v>0.21360000000000001</v>
      </c>
      <c r="V29" s="141">
        <f>VLOOKUP($H29,TABLAS!$B$6:$E$16,1,TRUE)</f>
        <v>2371.33</v>
      </c>
      <c r="W29" s="139">
        <f t="shared" si="5"/>
        <v>796.7985714285719</v>
      </c>
      <c r="X29" s="141">
        <f>VLOOKUP($H29,TABLAS!$B$6:$E$16,3,TRUE)</f>
        <v>251.16</v>
      </c>
      <c r="Y29" s="139">
        <f t="shared" si="6"/>
        <v>421.35617485714295</v>
      </c>
      <c r="Z29" s="139">
        <f t="shared" si="7"/>
        <v>97.022803421052657</v>
      </c>
      <c r="AA29" s="139">
        <f>(365.68+245.53+368.3+613.83)/4</f>
        <v>398.33500000000004</v>
      </c>
      <c r="AB29" s="139">
        <f>71.1/4</f>
        <v>17.774999999999999</v>
      </c>
      <c r="AC29" s="139"/>
      <c r="AD29" s="139"/>
      <c r="AE29" s="133"/>
      <c r="AF29" s="133"/>
      <c r="AG29" s="133"/>
      <c r="AH29" s="133"/>
      <c r="AI29" s="133"/>
      <c r="AJ29" s="133"/>
      <c r="AK29" s="133"/>
      <c r="AL29" s="134"/>
      <c r="AM29" s="134"/>
      <c r="AN29" s="136"/>
      <c r="AO29" s="139">
        <f t="shared" si="8"/>
        <v>79.247803421052652</v>
      </c>
      <c r="AP29" s="139">
        <f t="shared" si="13"/>
        <v>5493.4843394360905</v>
      </c>
      <c r="AQ29" s="134">
        <f t="shared" si="9"/>
        <v>417.95491071428575</v>
      </c>
      <c r="AR29" s="139">
        <f t="shared" si="10"/>
        <v>5075.5294287218048</v>
      </c>
      <c r="AS29" s="134">
        <f t="shared" si="11"/>
        <v>0</v>
      </c>
      <c r="AT29" s="134"/>
      <c r="AU29" s="134">
        <f t="shared" si="12"/>
        <v>109.86968678872181</v>
      </c>
      <c r="AV29" s="139">
        <f>+P29+AS29+AT29+AU29</f>
        <v>5682.6018296458651</v>
      </c>
      <c r="AW29" s="131"/>
      <c r="AX29" s="131"/>
      <c r="AY29" s="133">
        <f t="shared" si="0"/>
        <v>-5075.5294287218048</v>
      </c>
      <c r="AZ29" s="136"/>
      <c r="BA29" s="42"/>
    </row>
    <row r="30" spans="1:53" s="18" customFormat="1" ht="15.75" customHeight="1">
      <c r="A30" s="131" t="s">
        <v>43</v>
      </c>
      <c r="B30" s="136" t="s">
        <v>113</v>
      </c>
      <c r="C30" s="132">
        <f>C29+1</f>
        <v>24</v>
      </c>
      <c r="D30" s="150" t="s">
        <v>170</v>
      </c>
      <c r="E30" s="131" t="s">
        <v>166</v>
      </c>
      <c r="F30" s="137"/>
      <c r="G30" s="133">
        <v>792.03214285714296</v>
      </c>
      <c r="H30" s="133">
        <v>3168.1285714285718</v>
      </c>
      <c r="I30" s="133">
        <f>+G30</f>
        <v>792.03214285714296</v>
      </c>
      <c r="J30" s="133">
        <v>1462.63</v>
      </c>
      <c r="K30" s="133">
        <f t="shared" si="1"/>
        <v>2254.662142857143</v>
      </c>
      <c r="L30" s="133">
        <f>(VLOOKUP($K30,TABLAS!$G$6:$I$16,3,TRUE)/30.4)*7</f>
        <v>0</v>
      </c>
      <c r="M30" s="133"/>
      <c r="N30" s="133"/>
      <c r="O30" s="138"/>
      <c r="P30" s="139">
        <f t="shared" si="2"/>
        <v>2254.662142857143</v>
      </c>
      <c r="Q30" s="139"/>
      <c r="R30" s="139"/>
      <c r="S30" s="139">
        <f t="shared" si="3"/>
        <v>1.2774711981566824</v>
      </c>
      <c r="T30" s="139">
        <f t="shared" si="4"/>
        <v>113.14744897959186</v>
      </c>
      <c r="U30" s="140">
        <f>VLOOKUP($H30,TABLAS!$B$6:$E$16,4,TRUE)</f>
        <v>0.21360000000000001</v>
      </c>
      <c r="V30" s="141">
        <f>VLOOKUP($H30,TABLAS!$B$6:$E$16,1,TRUE)</f>
        <v>2371.33</v>
      </c>
      <c r="W30" s="139">
        <f t="shared" si="5"/>
        <v>796.7985714285719</v>
      </c>
      <c r="X30" s="141">
        <f>VLOOKUP($H30,TABLAS!$B$6:$E$16,3,TRUE)</f>
        <v>251.16</v>
      </c>
      <c r="Y30" s="139">
        <f t="shared" si="6"/>
        <v>421.35617485714295</v>
      </c>
      <c r="Z30" s="139">
        <f t="shared" si="7"/>
        <v>97.022803421052657</v>
      </c>
      <c r="AA30" s="139">
        <f t="shared" ref="AA30:AA44" si="17">(365.68+245.53+368.3+613.83)/4</f>
        <v>398.33500000000004</v>
      </c>
      <c r="AB30" s="139">
        <f t="shared" ref="AB30:AB44" si="18">71.1/4</f>
        <v>17.774999999999999</v>
      </c>
      <c r="AC30" s="139"/>
      <c r="AD30" s="139"/>
      <c r="AE30" s="133"/>
      <c r="AF30" s="133"/>
      <c r="AG30" s="133"/>
      <c r="AH30" s="133"/>
      <c r="AI30" s="133"/>
      <c r="AJ30" s="133"/>
      <c r="AK30" s="133"/>
      <c r="AL30" s="134"/>
      <c r="AM30" s="134"/>
      <c r="AN30" s="136"/>
      <c r="AO30" s="139">
        <f t="shared" si="8"/>
        <v>79.247803421052652</v>
      </c>
      <c r="AP30" s="139">
        <f t="shared" si="13"/>
        <v>2175.4143394360904</v>
      </c>
      <c r="AQ30" s="134">
        <f t="shared" si="9"/>
        <v>169.0996607142857</v>
      </c>
      <c r="AR30" s="139">
        <f t="shared" si="10"/>
        <v>2006.3146787218047</v>
      </c>
      <c r="AS30" s="134">
        <f t="shared" si="11"/>
        <v>0</v>
      </c>
      <c r="AT30" s="134"/>
      <c r="AU30" s="134">
        <f t="shared" si="12"/>
        <v>43.508286788721811</v>
      </c>
      <c r="AV30" s="139">
        <f>+P30+AS30+AT30+AU30</f>
        <v>2298.1704296458647</v>
      </c>
      <c r="AW30" s="131"/>
      <c r="AX30" s="131"/>
      <c r="AY30" s="133">
        <f t="shared" si="0"/>
        <v>-2006.3146787218047</v>
      </c>
      <c r="AZ30" s="136"/>
      <c r="BA30" s="45"/>
    </row>
    <row r="31" spans="1:53" s="18" customFormat="1" ht="15.75" customHeight="1">
      <c r="A31" s="131" t="s">
        <v>43</v>
      </c>
      <c r="B31" s="136" t="s">
        <v>37</v>
      </c>
      <c r="C31" s="132">
        <f>C30+1</f>
        <v>25</v>
      </c>
      <c r="D31" s="150" t="s">
        <v>170</v>
      </c>
      <c r="E31" s="131" t="s">
        <v>45</v>
      </c>
      <c r="F31" s="137"/>
      <c r="G31" s="133">
        <v>792.03214285714296</v>
      </c>
      <c r="H31" s="133">
        <v>3168.1285714285718</v>
      </c>
      <c r="I31" s="133">
        <f>+G31</f>
        <v>792.03214285714296</v>
      </c>
      <c r="J31" s="133">
        <v>1564.086</v>
      </c>
      <c r="K31" s="133">
        <f t="shared" si="1"/>
        <v>2356.1181428571431</v>
      </c>
      <c r="L31" s="133">
        <f>(VLOOKUP($K31,TABLAS!$G$6:$I$16,3,TRUE)/30.4)*7</f>
        <v>0</v>
      </c>
      <c r="M31" s="133"/>
      <c r="N31" s="133"/>
      <c r="O31" s="138"/>
      <c r="P31" s="139">
        <f t="shared" si="2"/>
        <v>2356.1181428571431</v>
      </c>
      <c r="Q31" s="139"/>
      <c r="R31" s="139"/>
      <c r="S31" s="139">
        <f t="shared" si="3"/>
        <v>1.2774711981566824</v>
      </c>
      <c r="T31" s="139">
        <f t="shared" si="4"/>
        <v>113.14744897959186</v>
      </c>
      <c r="U31" s="140">
        <f>VLOOKUP($H31,TABLAS!$B$6:$E$16,4,TRUE)</f>
        <v>0.21360000000000001</v>
      </c>
      <c r="V31" s="141">
        <f>VLOOKUP($H31,TABLAS!$B$6:$E$16,1,TRUE)</f>
        <v>2371.33</v>
      </c>
      <c r="W31" s="139">
        <f t="shared" si="5"/>
        <v>796.7985714285719</v>
      </c>
      <c r="X31" s="141">
        <f>VLOOKUP($H31,TABLAS!$B$6:$E$16,3,TRUE)</f>
        <v>251.16</v>
      </c>
      <c r="Y31" s="139">
        <f t="shared" si="6"/>
        <v>421.35617485714295</v>
      </c>
      <c r="Z31" s="139">
        <f t="shared" si="7"/>
        <v>97.022803421052657</v>
      </c>
      <c r="AA31" s="139">
        <f t="shared" si="17"/>
        <v>398.33500000000004</v>
      </c>
      <c r="AB31" s="139">
        <f t="shared" si="18"/>
        <v>17.774999999999999</v>
      </c>
      <c r="AC31" s="139"/>
      <c r="AD31" s="139"/>
      <c r="AE31" s="133"/>
      <c r="AF31" s="133"/>
      <c r="AG31" s="133"/>
      <c r="AH31" s="133"/>
      <c r="AI31" s="133"/>
      <c r="AJ31" s="133"/>
      <c r="AK31" s="133"/>
      <c r="AL31" s="134"/>
      <c r="AM31" s="134"/>
      <c r="AN31" s="136"/>
      <c r="AO31" s="139">
        <f t="shared" si="8"/>
        <v>79.247803421052652</v>
      </c>
      <c r="AP31" s="139">
        <f t="shared" si="13"/>
        <v>2276.8703394360905</v>
      </c>
      <c r="AQ31" s="134">
        <f t="shared" si="9"/>
        <v>176.70886071428572</v>
      </c>
      <c r="AR31" s="139">
        <f t="shared" si="10"/>
        <v>2100.161478721805</v>
      </c>
      <c r="AS31" s="134">
        <f t="shared" si="11"/>
        <v>0</v>
      </c>
      <c r="AT31" s="134"/>
      <c r="AU31" s="134">
        <f t="shared" si="12"/>
        <v>45.53740678872181</v>
      </c>
      <c r="AV31" s="139">
        <f>+P31+AS31+AT31+AU31</f>
        <v>2401.655549645865</v>
      </c>
      <c r="AW31" s="131"/>
      <c r="AX31" s="131"/>
      <c r="AY31" s="133">
        <f t="shared" si="0"/>
        <v>-2100.161478721805</v>
      </c>
      <c r="AZ31" s="136"/>
      <c r="BA31" s="45"/>
    </row>
    <row r="32" spans="1:53" s="18" customFormat="1" ht="15.75" customHeight="1">
      <c r="A32" s="131" t="s">
        <v>43</v>
      </c>
      <c r="B32" s="136" t="s">
        <v>77</v>
      </c>
      <c r="C32" s="132">
        <f>C31+1</f>
        <v>26</v>
      </c>
      <c r="D32" s="150" t="s">
        <v>170</v>
      </c>
      <c r="E32" s="131" t="s">
        <v>45</v>
      </c>
      <c r="F32" s="137"/>
      <c r="G32" s="133">
        <v>792.03214285714296</v>
      </c>
      <c r="H32" s="133">
        <v>3168.1285714285718</v>
      </c>
      <c r="I32" s="133">
        <f>+G32</f>
        <v>792.03214285714296</v>
      </c>
      <c r="J32" s="133">
        <v>2794.69</v>
      </c>
      <c r="K32" s="133">
        <f t="shared" si="1"/>
        <v>3586.7221428571429</v>
      </c>
      <c r="L32" s="133">
        <f>(VLOOKUP($K32,TABLAS!$G$6:$I$16,3,TRUE)/30.4)*7</f>
        <v>0</v>
      </c>
      <c r="M32" s="133"/>
      <c r="N32" s="133"/>
      <c r="O32" s="138"/>
      <c r="P32" s="139">
        <f t="shared" si="2"/>
        <v>3586.7221428571429</v>
      </c>
      <c r="Q32" s="139"/>
      <c r="R32" s="139"/>
      <c r="S32" s="139">
        <f t="shared" si="3"/>
        <v>1.2774711981566824</v>
      </c>
      <c r="T32" s="139">
        <f t="shared" si="4"/>
        <v>113.14744897959186</v>
      </c>
      <c r="U32" s="140">
        <f>VLOOKUP($H32,TABLAS!$B$6:$E$16,4,TRUE)</f>
        <v>0.21360000000000001</v>
      </c>
      <c r="V32" s="141">
        <f>VLOOKUP($H32,TABLAS!$B$6:$E$16,1,TRUE)</f>
        <v>2371.33</v>
      </c>
      <c r="W32" s="139">
        <f t="shared" si="5"/>
        <v>796.7985714285719</v>
      </c>
      <c r="X32" s="141">
        <f>VLOOKUP($H32,TABLAS!$B$6:$E$16,3,TRUE)</f>
        <v>251.16</v>
      </c>
      <c r="Y32" s="139">
        <f t="shared" si="6"/>
        <v>421.35617485714295</v>
      </c>
      <c r="Z32" s="139">
        <f t="shared" si="7"/>
        <v>97.022803421052657</v>
      </c>
      <c r="AA32" s="139">
        <f t="shared" si="17"/>
        <v>398.33500000000004</v>
      </c>
      <c r="AB32" s="139">
        <f t="shared" si="18"/>
        <v>17.774999999999999</v>
      </c>
      <c r="AC32" s="139"/>
      <c r="AD32" s="139"/>
      <c r="AE32" s="133"/>
      <c r="AF32" s="133"/>
      <c r="AG32" s="133"/>
      <c r="AH32" s="133"/>
      <c r="AI32" s="133"/>
      <c r="AJ32" s="133"/>
      <c r="AK32" s="133"/>
      <c r="AL32" s="134"/>
      <c r="AM32" s="134"/>
      <c r="AN32" s="136"/>
      <c r="AO32" s="139">
        <f t="shared" si="8"/>
        <v>79.247803421052652</v>
      </c>
      <c r="AP32" s="139">
        <f t="shared" si="13"/>
        <v>3507.4743394360903</v>
      </c>
      <c r="AQ32" s="134">
        <f t="shared" si="9"/>
        <v>269.00416071428572</v>
      </c>
      <c r="AR32" s="139">
        <f t="shared" si="10"/>
        <v>3238.4701787218046</v>
      </c>
      <c r="AS32" s="134">
        <f t="shared" si="11"/>
        <v>0</v>
      </c>
      <c r="AT32" s="134"/>
      <c r="AU32" s="134">
        <f t="shared" si="12"/>
        <v>70.149486788721802</v>
      </c>
      <c r="AV32" s="139">
        <f>+P32+AS32+AT32+AU32</f>
        <v>3656.8716296458647</v>
      </c>
      <c r="AW32" s="131"/>
      <c r="AX32" s="131"/>
      <c r="AY32" s="133">
        <f t="shared" si="0"/>
        <v>-3238.4701787218046</v>
      </c>
      <c r="AZ32" s="135"/>
      <c r="BA32" s="45"/>
    </row>
    <row r="33" spans="1:53" s="18" customFormat="1" ht="15.75" customHeight="1">
      <c r="A33" s="131" t="s">
        <v>43</v>
      </c>
      <c r="B33" s="136" t="s">
        <v>114</v>
      </c>
      <c r="C33" s="132">
        <f>C32+1</f>
        <v>27</v>
      </c>
      <c r="D33" s="150" t="s">
        <v>170</v>
      </c>
      <c r="E33" s="131" t="s">
        <v>45</v>
      </c>
      <c r="F33" s="137"/>
      <c r="G33" s="133">
        <v>792.03214285714296</v>
      </c>
      <c r="H33" s="133">
        <v>3168.1285714285718</v>
      </c>
      <c r="I33" s="133">
        <f>+G33</f>
        <v>792.03214285714296</v>
      </c>
      <c r="J33" s="133">
        <v>3084.76</v>
      </c>
      <c r="K33" s="133">
        <f t="shared" si="1"/>
        <v>3876.7921428571431</v>
      </c>
      <c r="L33" s="133">
        <f>(VLOOKUP($K33,TABLAS!$G$6:$I$16,3,TRUE)/30.4)*7</f>
        <v>0</v>
      </c>
      <c r="M33" s="133"/>
      <c r="N33" s="133"/>
      <c r="O33" s="138"/>
      <c r="P33" s="139">
        <f t="shared" si="2"/>
        <v>3876.7921428571431</v>
      </c>
      <c r="Q33" s="139"/>
      <c r="R33" s="139"/>
      <c r="S33" s="139">
        <f t="shared" si="3"/>
        <v>1.2774711981566824</v>
      </c>
      <c r="T33" s="139">
        <f t="shared" si="4"/>
        <v>113.14744897959186</v>
      </c>
      <c r="U33" s="140">
        <f>VLOOKUP($H33,TABLAS!$B$6:$E$16,4,TRUE)</f>
        <v>0.21360000000000001</v>
      </c>
      <c r="V33" s="141">
        <f>VLOOKUP($H33,TABLAS!$B$6:$E$16,1,TRUE)</f>
        <v>2371.33</v>
      </c>
      <c r="W33" s="139">
        <f t="shared" si="5"/>
        <v>796.7985714285719</v>
      </c>
      <c r="X33" s="141">
        <f>VLOOKUP($H33,TABLAS!$B$6:$E$16,3,TRUE)</f>
        <v>251.16</v>
      </c>
      <c r="Y33" s="139">
        <f t="shared" si="6"/>
        <v>421.35617485714295</v>
      </c>
      <c r="Z33" s="139">
        <f t="shared" si="7"/>
        <v>97.022803421052657</v>
      </c>
      <c r="AA33" s="139">
        <f t="shared" si="17"/>
        <v>398.33500000000004</v>
      </c>
      <c r="AB33" s="139">
        <f t="shared" si="18"/>
        <v>17.774999999999999</v>
      </c>
      <c r="AC33" s="139"/>
      <c r="AD33" s="139"/>
      <c r="AE33" s="133"/>
      <c r="AF33" s="133"/>
      <c r="AG33" s="133"/>
      <c r="AH33" s="133"/>
      <c r="AI33" s="133"/>
      <c r="AJ33" s="133"/>
      <c r="AK33" s="133"/>
      <c r="AL33" s="134"/>
      <c r="AM33" s="134"/>
      <c r="AN33" s="145"/>
      <c r="AO33" s="139">
        <f t="shared" si="8"/>
        <v>79.247803421052652</v>
      </c>
      <c r="AP33" s="139">
        <f t="shared" si="13"/>
        <v>3797.5443394360905</v>
      </c>
      <c r="AQ33" s="134">
        <f t="shared" si="9"/>
        <v>290.75941071428571</v>
      </c>
      <c r="AR33" s="139">
        <f t="shared" si="10"/>
        <v>3506.7849287218046</v>
      </c>
      <c r="AS33" s="134">
        <f t="shared" si="11"/>
        <v>0</v>
      </c>
      <c r="AT33" s="134"/>
      <c r="AU33" s="134">
        <f t="shared" si="12"/>
        <v>75.950886788721817</v>
      </c>
      <c r="AV33" s="139">
        <f>+P33+AS33+AT33+AU33</f>
        <v>3952.7430296458647</v>
      </c>
      <c r="AW33" s="131"/>
      <c r="AX33" s="142"/>
      <c r="AY33" s="133">
        <f t="shared" si="0"/>
        <v>-3506.7849287218046</v>
      </c>
      <c r="AZ33" s="136"/>
      <c r="BA33" s="45"/>
    </row>
    <row r="34" spans="1:53" s="18" customFormat="1" ht="15.75" customHeight="1">
      <c r="A34" s="131" t="s">
        <v>43</v>
      </c>
      <c r="B34" s="136" t="s">
        <v>94</v>
      </c>
      <c r="C34" s="132">
        <f>C33+1</f>
        <v>28</v>
      </c>
      <c r="D34" s="150" t="s">
        <v>170</v>
      </c>
      <c r="E34" s="131" t="s">
        <v>45</v>
      </c>
      <c r="F34" s="137"/>
      <c r="G34" s="133">
        <v>792.03214285714296</v>
      </c>
      <c r="H34" s="133">
        <v>3168.1285714285718</v>
      </c>
      <c r="I34" s="133">
        <f>+G34</f>
        <v>792.03214285714296</v>
      </c>
      <c r="J34" s="133">
        <v>1698.65</v>
      </c>
      <c r="K34" s="133">
        <f t="shared" si="1"/>
        <v>2490.6821428571429</v>
      </c>
      <c r="L34" s="133">
        <f>(VLOOKUP($K34,TABLAS!$G$6:$I$16,3,TRUE)/30.4)*7</f>
        <v>0</v>
      </c>
      <c r="M34" s="133"/>
      <c r="N34" s="133"/>
      <c r="O34" s="138"/>
      <c r="P34" s="139">
        <f t="shared" si="2"/>
        <v>2490.6821428571429</v>
      </c>
      <c r="Q34" s="139"/>
      <c r="R34" s="139"/>
      <c r="S34" s="139">
        <f t="shared" si="3"/>
        <v>1.2774711981566824</v>
      </c>
      <c r="T34" s="139">
        <f t="shared" si="4"/>
        <v>113.14744897959186</v>
      </c>
      <c r="U34" s="140">
        <f>VLOOKUP($H34,TABLAS!$B$6:$E$16,4,TRUE)</f>
        <v>0.21360000000000001</v>
      </c>
      <c r="V34" s="141">
        <f>VLOOKUP($H34,TABLAS!$B$6:$E$16,1,TRUE)</f>
        <v>2371.33</v>
      </c>
      <c r="W34" s="139">
        <f t="shared" si="5"/>
        <v>796.7985714285719</v>
      </c>
      <c r="X34" s="141">
        <f>VLOOKUP($H34,TABLAS!$B$6:$E$16,3,TRUE)</f>
        <v>251.16</v>
      </c>
      <c r="Y34" s="139">
        <f t="shared" si="6"/>
        <v>421.35617485714295</v>
      </c>
      <c r="Z34" s="139">
        <f t="shared" si="7"/>
        <v>97.022803421052657</v>
      </c>
      <c r="AA34" s="139">
        <f t="shared" si="17"/>
        <v>398.33500000000004</v>
      </c>
      <c r="AB34" s="139">
        <f t="shared" si="18"/>
        <v>17.774999999999999</v>
      </c>
      <c r="AC34" s="139"/>
      <c r="AD34" s="139"/>
      <c r="AE34" s="133"/>
      <c r="AF34" s="133"/>
      <c r="AG34" s="133"/>
      <c r="AH34" s="133"/>
      <c r="AI34" s="133"/>
      <c r="AJ34" s="133"/>
      <c r="AK34" s="133"/>
      <c r="AL34" s="134"/>
      <c r="AM34" s="134"/>
      <c r="AN34" s="136"/>
      <c r="AO34" s="139">
        <f t="shared" si="8"/>
        <v>79.247803421052652</v>
      </c>
      <c r="AP34" s="139">
        <f t="shared" si="13"/>
        <v>2411.4343394360903</v>
      </c>
      <c r="AQ34" s="134">
        <f t="shared" si="9"/>
        <v>186.80116071428571</v>
      </c>
      <c r="AR34" s="139">
        <f t="shared" si="10"/>
        <v>2224.6331787218046</v>
      </c>
      <c r="AS34" s="134">
        <f t="shared" si="11"/>
        <v>0</v>
      </c>
      <c r="AT34" s="134"/>
      <c r="AU34" s="134">
        <f t="shared" si="12"/>
        <v>48.228686788721809</v>
      </c>
      <c r="AV34" s="139">
        <f>+P34+AS34+AT34+AU34</f>
        <v>2538.9108296458649</v>
      </c>
      <c r="AW34" s="131"/>
      <c r="AX34" s="142"/>
      <c r="AY34" s="133"/>
      <c r="AZ34" s="136"/>
      <c r="BA34" s="45"/>
    </row>
    <row r="35" spans="1:53" s="18" customFormat="1" ht="15.75" customHeight="1">
      <c r="A35" s="131" t="s">
        <v>43</v>
      </c>
      <c r="B35" s="136" t="s">
        <v>35</v>
      </c>
      <c r="C35" s="132">
        <f>C34+1</f>
        <v>29</v>
      </c>
      <c r="D35" s="150" t="s">
        <v>170</v>
      </c>
      <c r="E35" s="131" t="s">
        <v>45</v>
      </c>
      <c r="F35" s="137"/>
      <c r="G35" s="133">
        <v>792.03214285714296</v>
      </c>
      <c r="H35" s="133">
        <v>3168.1285714285718</v>
      </c>
      <c r="I35" s="133">
        <f>+G35</f>
        <v>792.03214285714296</v>
      </c>
      <c r="J35" s="133">
        <v>4636.6400000000003</v>
      </c>
      <c r="K35" s="133">
        <f t="shared" si="1"/>
        <v>5428.6721428571436</v>
      </c>
      <c r="L35" s="133">
        <f>(VLOOKUP($K35,TABLAS!$G$6:$I$16,3,TRUE)/30.4)*7</f>
        <v>0</v>
      </c>
      <c r="M35" s="133"/>
      <c r="N35" s="133"/>
      <c r="O35" s="138"/>
      <c r="P35" s="139">
        <f t="shared" si="2"/>
        <v>5428.6721428571436</v>
      </c>
      <c r="Q35" s="139"/>
      <c r="R35" s="139"/>
      <c r="S35" s="139">
        <f t="shared" si="3"/>
        <v>1.2774711981566824</v>
      </c>
      <c r="T35" s="139">
        <f t="shared" si="4"/>
        <v>113.14744897959186</v>
      </c>
      <c r="U35" s="140">
        <f>VLOOKUP($H35,TABLAS!$B$6:$E$16,4,TRUE)</f>
        <v>0.21360000000000001</v>
      </c>
      <c r="V35" s="141">
        <f>VLOOKUP($H35,TABLAS!$B$6:$E$16,1,TRUE)</f>
        <v>2371.33</v>
      </c>
      <c r="W35" s="139">
        <f t="shared" si="5"/>
        <v>796.7985714285719</v>
      </c>
      <c r="X35" s="141">
        <f>VLOOKUP($H35,TABLAS!$B$6:$E$16,3,TRUE)</f>
        <v>251.16</v>
      </c>
      <c r="Y35" s="139">
        <f t="shared" si="6"/>
        <v>421.35617485714295</v>
      </c>
      <c r="Z35" s="139">
        <f t="shared" si="7"/>
        <v>97.022803421052657</v>
      </c>
      <c r="AA35" s="139">
        <f t="shared" si="17"/>
        <v>398.33500000000004</v>
      </c>
      <c r="AB35" s="139">
        <f t="shared" si="18"/>
        <v>17.774999999999999</v>
      </c>
      <c r="AC35" s="139"/>
      <c r="AD35" s="139"/>
      <c r="AE35" s="133"/>
      <c r="AF35" s="133"/>
      <c r="AG35" s="133"/>
      <c r="AH35" s="133"/>
      <c r="AI35" s="133"/>
      <c r="AJ35" s="133"/>
      <c r="AK35" s="133"/>
      <c r="AL35" s="134"/>
      <c r="AM35" s="134"/>
      <c r="AN35" s="136"/>
      <c r="AO35" s="139">
        <f t="shared" si="8"/>
        <v>79.247803421052652</v>
      </c>
      <c r="AP35" s="139">
        <f t="shared" si="13"/>
        <v>5349.424339436091</v>
      </c>
      <c r="AQ35" s="134">
        <f t="shared" si="9"/>
        <v>407.15041071428578</v>
      </c>
      <c r="AR35" s="139">
        <f t="shared" si="10"/>
        <v>4942.2739287218055</v>
      </c>
      <c r="AS35" s="134">
        <f t="shared" si="11"/>
        <v>0</v>
      </c>
      <c r="AT35" s="134"/>
      <c r="AU35" s="134">
        <f t="shared" si="12"/>
        <v>106.98848678872183</v>
      </c>
      <c r="AV35" s="139">
        <f>+P35+AS35+AT35+AU35</f>
        <v>5535.6606296458658</v>
      </c>
      <c r="AW35" s="131"/>
      <c r="AX35" s="142"/>
      <c r="AY35" s="133">
        <f>+AW35+AX35-AR35</f>
        <v>-4942.2739287218055</v>
      </c>
      <c r="AZ35" s="136"/>
      <c r="BA35" s="42"/>
    </row>
    <row r="36" spans="1:53" s="18" customFormat="1" ht="15.75" customHeight="1">
      <c r="A36" s="131" t="s">
        <v>43</v>
      </c>
      <c r="B36" s="136" t="s">
        <v>63</v>
      </c>
      <c r="C36" s="132">
        <f>C35+1</f>
        <v>30</v>
      </c>
      <c r="D36" s="150" t="s">
        <v>170</v>
      </c>
      <c r="E36" s="131" t="s">
        <v>45</v>
      </c>
      <c r="F36" s="137"/>
      <c r="G36" s="133">
        <v>792.03214285714296</v>
      </c>
      <c r="H36" s="133">
        <v>3168.1285714285718</v>
      </c>
      <c r="I36" s="133">
        <f>+G36</f>
        <v>792.03214285714296</v>
      </c>
      <c r="J36" s="133">
        <v>3037.62</v>
      </c>
      <c r="K36" s="133">
        <f t="shared" si="1"/>
        <v>3829.6521428571427</v>
      </c>
      <c r="L36" s="133">
        <f>(VLOOKUP($K36,TABLAS!$G$6:$I$16,3,TRUE)/30.4)*7</f>
        <v>0</v>
      </c>
      <c r="M36" s="133"/>
      <c r="N36" s="133"/>
      <c r="O36" s="138"/>
      <c r="P36" s="139">
        <f t="shared" si="2"/>
        <v>3829.6521428571427</v>
      </c>
      <c r="Q36" s="139"/>
      <c r="R36" s="139"/>
      <c r="S36" s="139">
        <f t="shared" si="3"/>
        <v>1.2774711981566824</v>
      </c>
      <c r="T36" s="139">
        <f t="shared" si="4"/>
        <v>113.14744897959186</v>
      </c>
      <c r="U36" s="140">
        <f>VLOOKUP($H36,TABLAS!$B$6:$E$16,4,TRUE)</f>
        <v>0.21360000000000001</v>
      </c>
      <c r="V36" s="141">
        <f>VLOOKUP($H36,TABLAS!$B$6:$E$16,1,TRUE)</f>
        <v>2371.33</v>
      </c>
      <c r="W36" s="139">
        <f t="shared" si="5"/>
        <v>796.7985714285719</v>
      </c>
      <c r="X36" s="141">
        <f>VLOOKUP($H36,TABLAS!$B$6:$E$16,3,TRUE)</f>
        <v>251.16</v>
      </c>
      <c r="Y36" s="139">
        <f t="shared" si="6"/>
        <v>421.35617485714295</v>
      </c>
      <c r="Z36" s="139">
        <f t="shared" si="7"/>
        <v>97.022803421052657</v>
      </c>
      <c r="AA36" s="139">
        <f t="shared" si="17"/>
        <v>398.33500000000004</v>
      </c>
      <c r="AB36" s="139">
        <f t="shared" si="18"/>
        <v>17.774999999999999</v>
      </c>
      <c r="AC36" s="139"/>
      <c r="AD36" s="139"/>
      <c r="AE36" s="133"/>
      <c r="AF36" s="133"/>
      <c r="AG36" s="133"/>
      <c r="AH36" s="133"/>
      <c r="AI36" s="133"/>
      <c r="AJ36" s="133"/>
      <c r="AK36" s="133"/>
      <c r="AL36" s="134"/>
      <c r="AM36" s="134"/>
      <c r="AN36" s="136"/>
      <c r="AO36" s="139">
        <f t="shared" si="8"/>
        <v>79.247803421052652</v>
      </c>
      <c r="AP36" s="139">
        <f t="shared" si="13"/>
        <v>3750.4043394360901</v>
      </c>
      <c r="AQ36" s="134">
        <f t="shared" si="9"/>
        <v>287.22391071428569</v>
      </c>
      <c r="AR36" s="139">
        <f t="shared" si="10"/>
        <v>3463.1804287218047</v>
      </c>
      <c r="AS36" s="134">
        <f t="shared" si="11"/>
        <v>0</v>
      </c>
      <c r="AT36" s="134"/>
      <c r="AU36" s="134">
        <f t="shared" si="12"/>
        <v>75.008086788721798</v>
      </c>
      <c r="AV36" s="139">
        <f>+P36+AS36+AT36+AU36</f>
        <v>3904.6602296458645</v>
      </c>
      <c r="AW36" s="131"/>
      <c r="AX36" s="142"/>
      <c r="AY36" s="133">
        <f>+AW36+AX36-AR36</f>
        <v>-3463.1804287218047</v>
      </c>
      <c r="AZ36" s="136"/>
      <c r="BA36" s="42"/>
    </row>
    <row r="37" spans="1:53" s="18" customFormat="1" ht="15.75" customHeight="1">
      <c r="A37" s="131" t="s">
        <v>43</v>
      </c>
      <c r="B37" s="136" t="s">
        <v>65</v>
      </c>
      <c r="C37" s="132">
        <f>C36+1</f>
        <v>31</v>
      </c>
      <c r="D37" s="150" t="s">
        <v>170</v>
      </c>
      <c r="E37" s="131" t="s">
        <v>45</v>
      </c>
      <c r="F37" s="137"/>
      <c r="G37" s="133">
        <v>792.03214285714296</v>
      </c>
      <c r="H37" s="133">
        <v>3168.1285714285718</v>
      </c>
      <c r="I37" s="133">
        <f>+G37</f>
        <v>792.03214285714296</v>
      </c>
      <c r="J37" s="133">
        <v>1998.23</v>
      </c>
      <c r="K37" s="133">
        <f t="shared" si="1"/>
        <v>2790.2621428571429</v>
      </c>
      <c r="L37" s="133">
        <f>(VLOOKUP($K37,TABLAS!$G$6:$I$16,3,TRUE)/30.4)*7</f>
        <v>0</v>
      </c>
      <c r="M37" s="133"/>
      <c r="N37" s="133"/>
      <c r="O37" s="138"/>
      <c r="P37" s="139">
        <f t="shared" si="2"/>
        <v>2790.2621428571429</v>
      </c>
      <c r="Q37" s="139"/>
      <c r="R37" s="139"/>
      <c r="S37" s="139">
        <f t="shared" si="3"/>
        <v>1.2774711981566824</v>
      </c>
      <c r="T37" s="139">
        <f t="shared" si="4"/>
        <v>113.14744897959186</v>
      </c>
      <c r="U37" s="140">
        <f>VLOOKUP($H37,TABLAS!$B$6:$E$16,4,TRUE)</f>
        <v>0.21360000000000001</v>
      </c>
      <c r="V37" s="141">
        <f>VLOOKUP($H37,TABLAS!$B$6:$E$16,1,TRUE)</f>
        <v>2371.33</v>
      </c>
      <c r="W37" s="139">
        <f t="shared" si="5"/>
        <v>796.7985714285719</v>
      </c>
      <c r="X37" s="141">
        <f>VLOOKUP($H37,TABLAS!$B$6:$E$16,3,TRUE)</f>
        <v>251.16</v>
      </c>
      <c r="Y37" s="139">
        <f t="shared" si="6"/>
        <v>421.35617485714295</v>
      </c>
      <c r="Z37" s="139">
        <f t="shared" si="7"/>
        <v>97.022803421052657</v>
      </c>
      <c r="AA37" s="139">
        <f t="shared" si="17"/>
        <v>398.33500000000004</v>
      </c>
      <c r="AB37" s="139">
        <f t="shared" si="18"/>
        <v>17.774999999999999</v>
      </c>
      <c r="AC37" s="139"/>
      <c r="AD37" s="139"/>
      <c r="AE37" s="133"/>
      <c r="AF37" s="133"/>
      <c r="AG37" s="133"/>
      <c r="AH37" s="133"/>
      <c r="AI37" s="133"/>
      <c r="AJ37" s="133"/>
      <c r="AK37" s="133"/>
      <c r="AL37" s="134"/>
      <c r="AM37" s="134"/>
      <c r="AN37" s="136"/>
      <c r="AO37" s="139">
        <f t="shared" si="8"/>
        <v>79.247803421052652</v>
      </c>
      <c r="AP37" s="139">
        <f t="shared" si="13"/>
        <v>2711.0143394360903</v>
      </c>
      <c r="AQ37" s="134">
        <f t="shared" si="9"/>
        <v>209.26966071428572</v>
      </c>
      <c r="AR37" s="139">
        <f t="shared" si="10"/>
        <v>2501.7446787218046</v>
      </c>
      <c r="AS37" s="134">
        <f t="shared" si="11"/>
        <v>0</v>
      </c>
      <c r="AT37" s="134"/>
      <c r="AU37" s="134">
        <f t="shared" si="12"/>
        <v>54.220286788721808</v>
      </c>
      <c r="AV37" s="139">
        <f>+P37+AS37+AT37+AU37</f>
        <v>2844.4824296458646</v>
      </c>
      <c r="AW37" s="131"/>
      <c r="AX37" s="142"/>
      <c r="AY37" s="133"/>
      <c r="AZ37" s="136"/>
      <c r="BA37" s="45"/>
    </row>
    <row r="38" spans="1:53" s="18" customFormat="1" ht="15.75" customHeight="1">
      <c r="A38" s="131" t="s">
        <v>43</v>
      </c>
      <c r="B38" s="136" t="s">
        <v>132</v>
      </c>
      <c r="C38" s="132">
        <f>C37+1</f>
        <v>32</v>
      </c>
      <c r="D38" s="150" t="s">
        <v>170</v>
      </c>
      <c r="E38" s="131" t="s">
        <v>45</v>
      </c>
      <c r="F38" s="137"/>
      <c r="G38" s="133">
        <v>792.03214285714296</v>
      </c>
      <c r="H38" s="133">
        <v>3168.1285714285718</v>
      </c>
      <c r="I38" s="133">
        <f>+G38</f>
        <v>792.03214285714296</v>
      </c>
      <c r="J38" s="133">
        <v>1174.8</v>
      </c>
      <c r="K38" s="133">
        <f t="shared" si="1"/>
        <v>1966.832142857143</v>
      </c>
      <c r="L38" s="133">
        <f>(VLOOKUP($K38,TABLAS!$G$6:$I$16,3,TRUE)/30.4)*7</f>
        <v>0</v>
      </c>
      <c r="M38" s="133"/>
      <c r="N38" s="133"/>
      <c r="O38" s="138"/>
      <c r="P38" s="139">
        <f t="shared" si="2"/>
        <v>1966.832142857143</v>
      </c>
      <c r="Q38" s="139"/>
      <c r="R38" s="139"/>
      <c r="S38" s="139">
        <f t="shared" si="3"/>
        <v>1.2774711981566824</v>
      </c>
      <c r="T38" s="139">
        <f t="shared" si="4"/>
        <v>113.14744897959186</v>
      </c>
      <c r="U38" s="140">
        <f>VLOOKUP($H38,TABLAS!$B$6:$E$16,4,TRUE)</f>
        <v>0.21360000000000001</v>
      </c>
      <c r="V38" s="141">
        <f>VLOOKUP($H38,TABLAS!$B$6:$E$16,1,TRUE)</f>
        <v>2371.33</v>
      </c>
      <c r="W38" s="139">
        <f t="shared" si="5"/>
        <v>796.7985714285719</v>
      </c>
      <c r="X38" s="141">
        <f>VLOOKUP($H38,TABLAS!$B$6:$E$16,3,TRUE)</f>
        <v>251.16</v>
      </c>
      <c r="Y38" s="139">
        <f t="shared" si="6"/>
        <v>421.35617485714295</v>
      </c>
      <c r="Z38" s="139">
        <f t="shared" si="7"/>
        <v>97.022803421052657</v>
      </c>
      <c r="AA38" s="139">
        <f t="shared" si="17"/>
        <v>398.33500000000004</v>
      </c>
      <c r="AB38" s="139">
        <f t="shared" si="18"/>
        <v>17.774999999999999</v>
      </c>
      <c r="AC38" s="139"/>
      <c r="AD38" s="139"/>
      <c r="AE38" s="133"/>
      <c r="AF38" s="133"/>
      <c r="AG38" s="133"/>
      <c r="AH38" s="133"/>
      <c r="AI38" s="133"/>
      <c r="AJ38" s="133"/>
      <c r="AK38" s="133"/>
      <c r="AL38" s="134"/>
      <c r="AM38" s="134"/>
      <c r="AN38" s="136"/>
      <c r="AO38" s="139">
        <f t="shared" si="8"/>
        <v>79.247803421052652</v>
      </c>
      <c r="AP38" s="139">
        <f t="shared" si="13"/>
        <v>1887.5843394360904</v>
      </c>
      <c r="AQ38" s="134">
        <f t="shared" si="9"/>
        <v>0</v>
      </c>
      <c r="AR38" s="139">
        <f t="shared" si="10"/>
        <v>1887.5843394360904</v>
      </c>
      <c r="AS38" s="134">
        <f t="shared" si="11"/>
        <v>147.51241071428572</v>
      </c>
      <c r="AT38" s="134"/>
      <c r="AU38" s="134">
        <f t="shared" si="12"/>
        <v>37.751686788721813</v>
      </c>
      <c r="AV38" s="139">
        <f>+P38+AS38+AT38+AU38</f>
        <v>2152.0962403601502</v>
      </c>
      <c r="AW38" s="131"/>
      <c r="AX38" s="142"/>
      <c r="AY38" s="133">
        <f t="shared" ref="AY38:AY43" si="19">+AW38+AX38-AR38</f>
        <v>-1887.5843394360904</v>
      </c>
      <c r="AZ38" s="136"/>
      <c r="BA38" s="42"/>
    </row>
    <row r="39" spans="1:53" s="18" customFormat="1" ht="15.75" customHeight="1">
      <c r="A39" s="131" t="s">
        <v>43</v>
      </c>
      <c r="B39" s="136" t="s">
        <v>36</v>
      </c>
      <c r="C39" s="132">
        <f>C38+1</f>
        <v>33</v>
      </c>
      <c r="D39" s="150" t="s">
        <v>170</v>
      </c>
      <c r="E39" s="131" t="s">
        <v>45</v>
      </c>
      <c r="F39" s="137"/>
      <c r="G39" s="133">
        <v>792.03214285714296</v>
      </c>
      <c r="H39" s="133">
        <v>3168.1285714285718</v>
      </c>
      <c r="I39" s="133">
        <f>+G39</f>
        <v>792.03214285714296</v>
      </c>
      <c r="J39" s="133">
        <v>2288.5300000000002</v>
      </c>
      <c r="K39" s="133">
        <f t="shared" si="1"/>
        <v>3080.562142857143</v>
      </c>
      <c r="L39" s="133">
        <f>(VLOOKUP($K39,TABLAS!$G$6:$I$16,3,TRUE)/30.4)*7</f>
        <v>0</v>
      </c>
      <c r="M39" s="133"/>
      <c r="N39" s="133"/>
      <c r="O39" s="138"/>
      <c r="P39" s="139">
        <f t="shared" si="2"/>
        <v>3080.562142857143</v>
      </c>
      <c r="Q39" s="139"/>
      <c r="R39" s="139"/>
      <c r="S39" s="139">
        <f t="shared" si="3"/>
        <v>1.2774711981566824</v>
      </c>
      <c r="T39" s="139">
        <f t="shared" si="4"/>
        <v>113.14744897959186</v>
      </c>
      <c r="U39" s="140">
        <f>VLOOKUP($H39,TABLAS!$B$6:$E$16,4,TRUE)</f>
        <v>0.21360000000000001</v>
      </c>
      <c r="V39" s="141">
        <f>VLOOKUP($H39,TABLAS!$B$6:$E$16,1,TRUE)</f>
        <v>2371.33</v>
      </c>
      <c r="W39" s="139">
        <f t="shared" si="5"/>
        <v>796.7985714285719</v>
      </c>
      <c r="X39" s="141">
        <f>VLOOKUP($H39,TABLAS!$B$6:$E$16,3,TRUE)</f>
        <v>251.16</v>
      </c>
      <c r="Y39" s="139">
        <f t="shared" si="6"/>
        <v>421.35617485714295</v>
      </c>
      <c r="Z39" s="139">
        <f t="shared" si="7"/>
        <v>97.022803421052657</v>
      </c>
      <c r="AA39" s="139">
        <f t="shared" si="17"/>
        <v>398.33500000000004</v>
      </c>
      <c r="AB39" s="139">
        <f t="shared" si="18"/>
        <v>17.774999999999999</v>
      </c>
      <c r="AC39" s="139"/>
      <c r="AD39" s="139"/>
      <c r="AE39" s="133"/>
      <c r="AF39" s="133"/>
      <c r="AG39" s="133"/>
      <c r="AH39" s="133"/>
      <c r="AI39" s="133"/>
      <c r="AJ39" s="133"/>
      <c r="AK39" s="133"/>
      <c r="AL39" s="134"/>
      <c r="AM39" s="134"/>
      <c r="AN39" s="136"/>
      <c r="AO39" s="139">
        <f t="shared" si="8"/>
        <v>79.247803421052652</v>
      </c>
      <c r="AP39" s="139">
        <f t="shared" si="13"/>
        <v>3001.3143394360904</v>
      </c>
      <c r="AQ39" s="134">
        <f t="shared" si="9"/>
        <v>231.04216071428573</v>
      </c>
      <c r="AR39" s="139">
        <f t="shared" si="10"/>
        <v>2770.2721787218047</v>
      </c>
      <c r="AS39" s="134">
        <f t="shared" si="11"/>
        <v>0</v>
      </c>
      <c r="AT39" s="134"/>
      <c r="AU39" s="134">
        <f t="shared" si="12"/>
        <v>60.026286788721812</v>
      </c>
      <c r="AV39" s="139">
        <f>+P39+AS39+AT39+AU39</f>
        <v>3140.5884296458648</v>
      </c>
      <c r="AW39" s="131"/>
      <c r="AX39" s="146"/>
      <c r="AY39" s="133">
        <f t="shared" si="19"/>
        <v>-2770.2721787218047</v>
      </c>
      <c r="AZ39" s="135"/>
      <c r="BA39" s="45"/>
    </row>
    <row r="40" spans="1:53" s="18" customFormat="1" ht="15.75" customHeight="1">
      <c r="A40" s="131" t="s">
        <v>43</v>
      </c>
      <c r="B40" s="136" t="s">
        <v>64</v>
      </c>
      <c r="C40" s="132">
        <f>C39+1</f>
        <v>34</v>
      </c>
      <c r="D40" s="150" t="s">
        <v>170</v>
      </c>
      <c r="E40" s="131" t="s">
        <v>45</v>
      </c>
      <c r="F40" s="137"/>
      <c r="G40" s="133">
        <v>792.03214285714296</v>
      </c>
      <c r="H40" s="133">
        <v>3168.1285714285718</v>
      </c>
      <c r="I40" s="133">
        <f>+G40</f>
        <v>792.03214285714296</v>
      </c>
      <c r="J40" s="133">
        <v>3705.51</v>
      </c>
      <c r="K40" s="133">
        <f t="shared" si="1"/>
        <v>4497.5421428571435</v>
      </c>
      <c r="L40" s="133">
        <f>(VLOOKUP($K40,TABLAS!$G$6:$I$16,3,TRUE)/30.4)*7</f>
        <v>0</v>
      </c>
      <c r="M40" s="133"/>
      <c r="N40" s="133"/>
      <c r="O40" s="138"/>
      <c r="P40" s="139">
        <f t="shared" si="2"/>
        <v>4497.5421428571435</v>
      </c>
      <c r="Q40" s="139"/>
      <c r="R40" s="139"/>
      <c r="S40" s="139">
        <f t="shared" si="3"/>
        <v>1.2774711981566824</v>
      </c>
      <c r="T40" s="139">
        <f t="shared" si="4"/>
        <v>113.14744897959186</v>
      </c>
      <c r="U40" s="140">
        <f>VLOOKUP($H40,TABLAS!$B$6:$E$16,4,TRUE)</f>
        <v>0.21360000000000001</v>
      </c>
      <c r="V40" s="141">
        <f>VLOOKUP($H40,TABLAS!$B$6:$E$16,1,TRUE)</f>
        <v>2371.33</v>
      </c>
      <c r="W40" s="139">
        <f t="shared" si="5"/>
        <v>796.7985714285719</v>
      </c>
      <c r="X40" s="141">
        <f>VLOOKUP($H40,TABLAS!$B$6:$E$16,3,TRUE)</f>
        <v>251.16</v>
      </c>
      <c r="Y40" s="139">
        <f t="shared" si="6"/>
        <v>421.35617485714295</v>
      </c>
      <c r="Z40" s="139">
        <f t="shared" si="7"/>
        <v>97.022803421052657</v>
      </c>
      <c r="AA40" s="139">
        <f t="shared" si="17"/>
        <v>398.33500000000004</v>
      </c>
      <c r="AB40" s="139">
        <f t="shared" si="18"/>
        <v>17.774999999999999</v>
      </c>
      <c r="AC40" s="139"/>
      <c r="AD40" s="139"/>
      <c r="AE40" s="133"/>
      <c r="AF40" s="133"/>
      <c r="AG40" s="133"/>
      <c r="AH40" s="133"/>
      <c r="AI40" s="133"/>
      <c r="AJ40" s="133"/>
      <c r="AK40" s="133"/>
      <c r="AL40" s="134"/>
      <c r="AM40" s="134"/>
      <c r="AN40" s="136"/>
      <c r="AO40" s="139">
        <f t="shared" si="8"/>
        <v>79.247803421052652</v>
      </c>
      <c r="AP40" s="139">
        <f t="shared" si="13"/>
        <v>4418.2943394360909</v>
      </c>
      <c r="AQ40" s="134">
        <f t="shared" si="9"/>
        <v>337.31566071428574</v>
      </c>
      <c r="AR40" s="139">
        <f t="shared" si="10"/>
        <v>4080.9786787218054</v>
      </c>
      <c r="AS40" s="134">
        <f t="shared" si="11"/>
        <v>0</v>
      </c>
      <c r="AT40" s="134"/>
      <c r="AU40" s="134">
        <f t="shared" si="12"/>
        <v>88.365886788721824</v>
      </c>
      <c r="AV40" s="139">
        <f>+P40+AS40+AT40+AU40</f>
        <v>4585.9080296458651</v>
      </c>
      <c r="AW40" s="136"/>
      <c r="AX40" s="146"/>
      <c r="AY40" s="133">
        <f t="shared" si="19"/>
        <v>-4080.9786787218054</v>
      </c>
      <c r="AZ40" s="136"/>
      <c r="BA40" s="45"/>
    </row>
    <row r="41" spans="1:53" s="18" customFormat="1" ht="15.75" customHeight="1">
      <c r="A41" s="131" t="s">
        <v>43</v>
      </c>
      <c r="B41" s="136" t="s">
        <v>76</v>
      </c>
      <c r="C41" s="132">
        <f>C40+1</f>
        <v>35</v>
      </c>
      <c r="D41" s="150" t="s">
        <v>170</v>
      </c>
      <c r="E41" s="131" t="s">
        <v>45</v>
      </c>
      <c r="F41" s="137"/>
      <c r="G41" s="133">
        <v>792.03214285714296</v>
      </c>
      <c r="H41" s="133">
        <v>3168.1285714285718</v>
      </c>
      <c r="I41" s="133">
        <f>+G41</f>
        <v>792.03214285714296</v>
      </c>
      <c r="J41" s="133">
        <v>1982.21</v>
      </c>
      <c r="K41" s="133">
        <f t="shared" si="1"/>
        <v>2774.2421428571429</v>
      </c>
      <c r="L41" s="133">
        <f>(VLOOKUP($K41,TABLAS!$G$6:$I$16,3,TRUE)/30.4)*7</f>
        <v>0</v>
      </c>
      <c r="M41" s="133"/>
      <c r="N41" s="133"/>
      <c r="O41" s="138"/>
      <c r="P41" s="139">
        <f t="shared" si="2"/>
        <v>2774.2421428571429</v>
      </c>
      <c r="Q41" s="139"/>
      <c r="R41" s="139"/>
      <c r="S41" s="139">
        <f t="shared" si="3"/>
        <v>1.2774711981566824</v>
      </c>
      <c r="T41" s="139">
        <f t="shared" si="4"/>
        <v>113.14744897959186</v>
      </c>
      <c r="U41" s="140">
        <f>VLOOKUP($H41,TABLAS!$B$6:$E$16,4,TRUE)</f>
        <v>0.21360000000000001</v>
      </c>
      <c r="V41" s="141">
        <f>VLOOKUP($H41,TABLAS!$B$6:$E$16,1,TRUE)</f>
        <v>2371.33</v>
      </c>
      <c r="W41" s="139">
        <f t="shared" si="5"/>
        <v>796.7985714285719</v>
      </c>
      <c r="X41" s="141">
        <f>VLOOKUP($H41,TABLAS!$B$6:$E$16,3,TRUE)</f>
        <v>251.16</v>
      </c>
      <c r="Y41" s="139">
        <f t="shared" si="6"/>
        <v>421.35617485714295</v>
      </c>
      <c r="Z41" s="139">
        <f t="shared" si="7"/>
        <v>97.022803421052657</v>
      </c>
      <c r="AA41" s="139">
        <f t="shared" si="17"/>
        <v>398.33500000000004</v>
      </c>
      <c r="AB41" s="139">
        <f t="shared" si="18"/>
        <v>17.774999999999999</v>
      </c>
      <c r="AC41" s="139"/>
      <c r="AD41" s="139"/>
      <c r="AE41" s="133"/>
      <c r="AF41" s="133"/>
      <c r="AG41" s="133"/>
      <c r="AH41" s="133"/>
      <c r="AI41" s="133"/>
      <c r="AJ41" s="133"/>
      <c r="AK41" s="133"/>
      <c r="AL41" s="134"/>
      <c r="AM41" s="134"/>
      <c r="AN41" s="136"/>
      <c r="AO41" s="139">
        <f t="shared" si="8"/>
        <v>79.247803421052652</v>
      </c>
      <c r="AP41" s="139">
        <f t="shared" si="13"/>
        <v>2694.9943394360903</v>
      </c>
      <c r="AQ41" s="134">
        <f t="shared" si="9"/>
        <v>208.06816071428571</v>
      </c>
      <c r="AR41" s="139">
        <f t="shared" si="10"/>
        <v>2486.9261787218047</v>
      </c>
      <c r="AS41" s="134">
        <f t="shared" si="11"/>
        <v>0</v>
      </c>
      <c r="AT41" s="134"/>
      <c r="AU41" s="134">
        <f t="shared" si="12"/>
        <v>53.899886788721808</v>
      </c>
      <c r="AV41" s="139">
        <f>+P41+AS41+AT41+AU41</f>
        <v>2828.1420296458646</v>
      </c>
      <c r="AW41" s="147"/>
      <c r="AX41" s="147"/>
      <c r="AY41" s="133">
        <f t="shared" si="19"/>
        <v>-2486.9261787218047</v>
      </c>
      <c r="AZ41" s="136"/>
      <c r="BA41" s="45"/>
    </row>
    <row r="42" spans="1:53" s="18" customFormat="1" ht="15.75" customHeight="1">
      <c r="A42" s="131" t="s">
        <v>43</v>
      </c>
      <c r="B42" s="136" t="s">
        <v>127</v>
      </c>
      <c r="C42" s="132">
        <f>C41+1</f>
        <v>36</v>
      </c>
      <c r="D42" s="150" t="s">
        <v>170</v>
      </c>
      <c r="E42" s="131" t="s">
        <v>93</v>
      </c>
      <c r="F42" s="137"/>
      <c r="G42" s="133">
        <v>792.03214285714296</v>
      </c>
      <c r="H42" s="133">
        <v>3168.1285714285718</v>
      </c>
      <c r="I42" s="133">
        <f>+G42</f>
        <v>792.03214285714296</v>
      </c>
      <c r="J42" s="133">
        <v>998.04600000000005</v>
      </c>
      <c r="K42" s="133">
        <f t="shared" si="1"/>
        <v>1790.0781428571431</v>
      </c>
      <c r="L42" s="133">
        <f>(VLOOKUP($K42,TABLAS!$G$6:$I$16,3,TRUE)/30.4)*7</f>
        <v>0</v>
      </c>
      <c r="M42" s="133"/>
      <c r="N42" s="133"/>
      <c r="O42" s="138"/>
      <c r="P42" s="139">
        <f t="shared" si="2"/>
        <v>1790.0781428571431</v>
      </c>
      <c r="Q42" s="139"/>
      <c r="R42" s="139"/>
      <c r="S42" s="139">
        <f t="shared" si="3"/>
        <v>1.2774711981566824</v>
      </c>
      <c r="T42" s="139">
        <f t="shared" si="4"/>
        <v>113.14744897959186</v>
      </c>
      <c r="U42" s="140">
        <f>VLOOKUP($H42,TABLAS!$B$6:$E$16,4,TRUE)</f>
        <v>0.21360000000000001</v>
      </c>
      <c r="V42" s="141">
        <f>VLOOKUP($H42,TABLAS!$B$6:$E$16,1,TRUE)</f>
        <v>2371.33</v>
      </c>
      <c r="W42" s="139">
        <f t="shared" si="5"/>
        <v>796.7985714285719</v>
      </c>
      <c r="X42" s="141">
        <f>VLOOKUP($H42,TABLAS!$B$6:$E$16,3,TRUE)</f>
        <v>251.16</v>
      </c>
      <c r="Y42" s="139">
        <f t="shared" si="6"/>
        <v>421.35617485714295</v>
      </c>
      <c r="Z42" s="139">
        <f t="shared" si="7"/>
        <v>97.022803421052657</v>
      </c>
      <c r="AA42" s="139">
        <f t="shared" si="17"/>
        <v>398.33500000000004</v>
      </c>
      <c r="AB42" s="139">
        <f t="shared" si="18"/>
        <v>17.774999999999999</v>
      </c>
      <c r="AC42" s="139"/>
      <c r="AD42" s="139"/>
      <c r="AE42" s="133"/>
      <c r="AF42" s="133"/>
      <c r="AG42" s="133"/>
      <c r="AH42" s="133"/>
      <c r="AI42" s="133"/>
      <c r="AJ42" s="133"/>
      <c r="AK42" s="133"/>
      <c r="AL42" s="134"/>
      <c r="AM42" s="134"/>
      <c r="AN42" s="136"/>
      <c r="AO42" s="139">
        <f t="shared" si="8"/>
        <v>79.247803421052652</v>
      </c>
      <c r="AP42" s="139">
        <f t="shared" si="13"/>
        <v>1710.8303394360905</v>
      </c>
      <c r="AQ42" s="134">
        <f t="shared" si="9"/>
        <v>0</v>
      </c>
      <c r="AR42" s="139">
        <f t="shared" si="10"/>
        <v>1710.8303394360905</v>
      </c>
      <c r="AS42" s="134">
        <f t="shared" si="11"/>
        <v>134.25586071428572</v>
      </c>
      <c r="AT42" s="134"/>
      <c r="AU42" s="134">
        <f t="shared" si="12"/>
        <v>34.216606788721812</v>
      </c>
      <c r="AV42" s="139">
        <f>+P42+AS42+AT42+AU42</f>
        <v>1958.5506103601506</v>
      </c>
      <c r="AW42" s="131"/>
      <c r="AX42" s="142"/>
      <c r="AY42" s="133">
        <f t="shared" si="19"/>
        <v>-1710.8303394360905</v>
      </c>
      <c r="AZ42" s="136"/>
      <c r="BA42" s="45"/>
    </row>
    <row r="43" spans="1:53" s="18" customFormat="1" ht="15.75" customHeight="1">
      <c r="A43" s="131" t="s">
        <v>43</v>
      </c>
      <c r="B43" s="136" t="s">
        <v>125</v>
      </c>
      <c r="C43" s="132">
        <f>C42+1</f>
        <v>37</v>
      </c>
      <c r="D43" s="150" t="s">
        <v>170</v>
      </c>
      <c r="E43" s="131" t="s">
        <v>93</v>
      </c>
      <c r="F43" s="137"/>
      <c r="G43" s="133">
        <v>792.03214285714296</v>
      </c>
      <c r="H43" s="133">
        <v>3168.1285714285718</v>
      </c>
      <c r="I43" s="133">
        <f>+G43</f>
        <v>792.03214285714296</v>
      </c>
      <c r="J43" s="133">
        <v>740.66</v>
      </c>
      <c r="K43" s="133">
        <f t="shared" si="1"/>
        <v>1532.6921428571429</v>
      </c>
      <c r="L43" s="133">
        <f>(VLOOKUP($K43,TABLAS!$G$6:$I$16,3,TRUE)/30.4)*7</f>
        <v>13.442763157894738</v>
      </c>
      <c r="M43" s="133"/>
      <c r="N43" s="133"/>
      <c r="O43" s="138"/>
      <c r="P43" s="139">
        <f t="shared" si="2"/>
        <v>1546.1349060150376</v>
      </c>
      <c r="Q43" s="139"/>
      <c r="R43" s="139"/>
      <c r="S43" s="139">
        <f t="shared" si="3"/>
        <v>1.2774711981566824</v>
      </c>
      <c r="T43" s="139">
        <f t="shared" si="4"/>
        <v>113.14744897959186</v>
      </c>
      <c r="U43" s="140">
        <f>VLOOKUP($H43,TABLAS!$B$6:$E$16,4,TRUE)</f>
        <v>0.21360000000000001</v>
      </c>
      <c r="V43" s="141">
        <f>VLOOKUP($H43,TABLAS!$B$6:$E$16,1,TRUE)</f>
        <v>2371.33</v>
      </c>
      <c r="W43" s="139">
        <f t="shared" si="5"/>
        <v>796.7985714285719</v>
      </c>
      <c r="X43" s="141">
        <f>VLOOKUP($H43,TABLAS!$B$6:$E$16,3,TRUE)</f>
        <v>251.16</v>
      </c>
      <c r="Y43" s="139">
        <f t="shared" si="6"/>
        <v>421.35617485714295</v>
      </c>
      <c r="Z43" s="139">
        <f t="shared" si="7"/>
        <v>97.022803421052657</v>
      </c>
      <c r="AA43" s="139">
        <f t="shared" si="17"/>
        <v>398.33500000000004</v>
      </c>
      <c r="AB43" s="139">
        <f t="shared" si="18"/>
        <v>17.774999999999999</v>
      </c>
      <c r="AC43" s="139"/>
      <c r="AD43" s="139"/>
      <c r="AE43" s="133"/>
      <c r="AF43" s="133"/>
      <c r="AG43" s="133"/>
      <c r="AH43" s="133"/>
      <c r="AI43" s="133"/>
      <c r="AJ43" s="133"/>
      <c r="AK43" s="133"/>
      <c r="AL43" s="134"/>
      <c r="AM43" s="134"/>
      <c r="AN43" s="136"/>
      <c r="AO43" s="139">
        <f t="shared" si="8"/>
        <v>79.247803421052652</v>
      </c>
      <c r="AP43" s="139">
        <f t="shared" si="13"/>
        <v>1466.887102593985</v>
      </c>
      <c r="AQ43" s="134">
        <f t="shared" si="9"/>
        <v>0</v>
      </c>
      <c r="AR43" s="139">
        <f t="shared" si="10"/>
        <v>1466.887102593985</v>
      </c>
      <c r="AS43" s="134">
        <f t="shared" si="11"/>
        <v>115.96011795112781</v>
      </c>
      <c r="AT43" s="134"/>
      <c r="AU43" s="134">
        <f t="shared" si="12"/>
        <v>29.337742051879701</v>
      </c>
      <c r="AV43" s="139">
        <f>+P43+AS43+AT43+AU43</f>
        <v>1691.4327660180452</v>
      </c>
      <c r="AW43" s="131"/>
      <c r="AX43" s="142"/>
      <c r="AY43" s="133">
        <f t="shared" si="19"/>
        <v>-1466.887102593985</v>
      </c>
      <c r="AZ43" s="136"/>
      <c r="BA43" s="42"/>
    </row>
    <row r="44" spans="1:53" s="18" customFormat="1" ht="15.75" customHeight="1">
      <c r="A44" s="131" t="s">
        <v>43</v>
      </c>
      <c r="B44" s="136" t="s">
        <v>92</v>
      </c>
      <c r="C44" s="132">
        <f>C43+1</f>
        <v>38</v>
      </c>
      <c r="D44" s="150" t="s">
        <v>170</v>
      </c>
      <c r="E44" s="131" t="s">
        <v>93</v>
      </c>
      <c r="F44" s="137"/>
      <c r="G44" s="133">
        <v>792.03214285714296</v>
      </c>
      <c r="H44" s="133">
        <v>3168.1285714285718</v>
      </c>
      <c r="I44" s="133">
        <f>+G44</f>
        <v>792.03214285714296</v>
      </c>
      <c r="J44" s="133">
        <v>699.54</v>
      </c>
      <c r="K44" s="133">
        <f t="shared" si="1"/>
        <v>1491.5721428571428</v>
      </c>
      <c r="L44" s="133">
        <f>(VLOOKUP($K44,TABLAS!$G$6:$I$16,3,TRUE)/30.4)*7</f>
        <v>13.442763157894738</v>
      </c>
      <c r="M44" s="133"/>
      <c r="N44" s="133"/>
      <c r="O44" s="138"/>
      <c r="P44" s="139">
        <f t="shared" si="2"/>
        <v>1505.0149060150375</v>
      </c>
      <c r="Q44" s="139"/>
      <c r="R44" s="139"/>
      <c r="S44" s="139">
        <f t="shared" si="3"/>
        <v>1.2774711981566824</v>
      </c>
      <c r="T44" s="139">
        <f t="shared" si="4"/>
        <v>113.14744897959186</v>
      </c>
      <c r="U44" s="140">
        <f>VLOOKUP($H44,TABLAS!$B$6:$E$16,4,TRUE)</f>
        <v>0.21360000000000001</v>
      </c>
      <c r="V44" s="141">
        <f>VLOOKUP($H44,TABLAS!$B$6:$E$16,1,TRUE)</f>
        <v>2371.33</v>
      </c>
      <c r="W44" s="139">
        <f t="shared" si="5"/>
        <v>796.7985714285719</v>
      </c>
      <c r="X44" s="141">
        <f>VLOOKUP($H44,TABLAS!$B$6:$E$16,3,TRUE)</f>
        <v>251.16</v>
      </c>
      <c r="Y44" s="139">
        <f t="shared" si="6"/>
        <v>421.35617485714295</v>
      </c>
      <c r="Z44" s="139">
        <f t="shared" si="7"/>
        <v>97.022803421052657</v>
      </c>
      <c r="AA44" s="139">
        <f t="shared" si="17"/>
        <v>398.33500000000004</v>
      </c>
      <c r="AB44" s="139">
        <f t="shared" si="18"/>
        <v>17.774999999999999</v>
      </c>
      <c r="AC44" s="139"/>
      <c r="AD44" s="139"/>
      <c r="AE44" s="133"/>
      <c r="AF44" s="133"/>
      <c r="AG44" s="133"/>
      <c r="AH44" s="133"/>
      <c r="AI44" s="133"/>
      <c r="AJ44" s="133"/>
      <c r="AK44" s="133"/>
      <c r="AL44" s="134"/>
      <c r="AM44" s="134"/>
      <c r="AN44" s="136"/>
      <c r="AO44" s="139">
        <f t="shared" si="8"/>
        <v>79.247803421052652</v>
      </c>
      <c r="AP44" s="139">
        <f t="shared" si="13"/>
        <v>1425.7671025939849</v>
      </c>
      <c r="AQ44" s="134">
        <f t="shared" si="9"/>
        <v>0</v>
      </c>
      <c r="AR44" s="139">
        <f t="shared" si="10"/>
        <v>1425.7671025939849</v>
      </c>
      <c r="AS44" s="134">
        <f t="shared" si="11"/>
        <v>112.87611795112781</v>
      </c>
      <c r="AT44" s="134"/>
      <c r="AU44" s="134">
        <f t="shared" si="12"/>
        <v>28.515342051879699</v>
      </c>
      <c r="AV44" s="139">
        <f>+P44+AS44+AT44+AU44</f>
        <v>1646.406366018045</v>
      </c>
      <c r="AW44" s="131"/>
      <c r="AX44" s="142"/>
      <c r="AY44" s="133"/>
      <c r="AZ44" s="136"/>
      <c r="BA44" s="45"/>
    </row>
    <row r="45" spans="1:53" s="18" customFormat="1" ht="15.75" customHeight="1">
      <c r="A45" s="131" t="s">
        <v>42</v>
      </c>
      <c r="B45" s="136" t="s">
        <v>147</v>
      </c>
      <c r="C45" s="132">
        <f>C44+1</f>
        <v>39</v>
      </c>
      <c r="D45" s="150" t="s">
        <v>170</v>
      </c>
      <c r="E45" s="131" t="s">
        <v>46</v>
      </c>
      <c r="F45" s="137"/>
      <c r="G45" s="133">
        <v>999.99642857142851</v>
      </c>
      <c r="H45" s="133">
        <v>3999.985714285714</v>
      </c>
      <c r="I45" s="133">
        <f>+G45</f>
        <v>999.99642857142851</v>
      </c>
      <c r="J45" s="133">
        <v>700</v>
      </c>
      <c r="K45" s="133">
        <f t="shared" si="1"/>
        <v>1699.9964285714286</v>
      </c>
      <c r="L45" s="133">
        <f>(VLOOKUP($K45,TABLAS!$G$6:$I$16,3,TRUE)/30.4)*7</f>
        <v>0</v>
      </c>
      <c r="M45" s="133"/>
      <c r="N45" s="133"/>
      <c r="O45" s="138"/>
      <c r="P45" s="139">
        <f t="shared" si="2"/>
        <v>1699.9964285714286</v>
      </c>
      <c r="Q45" s="139"/>
      <c r="R45" s="139"/>
      <c r="S45" s="139">
        <f t="shared" si="3"/>
        <v>1.6128974654377879</v>
      </c>
      <c r="T45" s="139">
        <f t="shared" si="4"/>
        <v>142.85663265306121</v>
      </c>
      <c r="U45" s="140">
        <f>VLOOKUP($H45,TABLAS!$B$6:$E$16,4,TRUE)</f>
        <v>0.21360000000000001</v>
      </c>
      <c r="V45" s="141">
        <f>VLOOKUP($H45,TABLAS!$B$6:$E$16,1,TRUE)</f>
        <v>2371.33</v>
      </c>
      <c r="W45" s="139">
        <f t="shared" si="5"/>
        <v>1628.6557142857141</v>
      </c>
      <c r="X45" s="141">
        <f>VLOOKUP($H45,TABLAS!$B$6:$E$16,3,TRUE)</f>
        <v>251.16</v>
      </c>
      <c r="Y45" s="139">
        <f t="shared" si="6"/>
        <v>599.04086057142854</v>
      </c>
      <c r="Z45" s="139">
        <f t="shared" si="7"/>
        <v>137.93704026315788</v>
      </c>
      <c r="AA45" s="134">
        <f>1371.37018364929/4</f>
        <v>342.84254591232252</v>
      </c>
      <c r="AB45" s="134">
        <f>100.617560650286/4</f>
        <v>25.154390162571499</v>
      </c>
      <c r="AC45" s="134"/>
      <c r="AD45" s="139"/>
      <c r="AE45" s="133"/>
      <c r="AF45" s="133"/>
      <c r="AG45" s="133"/>
      <c r="AH45" s="133"/>
      <c r="AI45" s="133"/>
      <c r="AJ45" s="133"/>
      <c r="AK45" s="133"/>
      <c r="AL45" s="134"/>
      <c r="AM45" s="134"/>
      <c r="AN45" s="136"/>
      <c r="AO45" s="139">
        <f t="shared" si="8"/>
        <v>112.78265010058638</v>
      </c>
      <c r="AP45" s="139">
        <f t="shared" si="13"/>
        <v>1587.2137784708423</v>
      </c>
      <c r="AQ45" s="134">
        <f t="shared" si="9"/>
        <v>0</v>
      </c>
      <c r="AR45" s="139">
        <f t="shared" si="10"/>
        <v>1587.2137784708423</v>
      </c>
      <c r="AS45" s="134">
        <f t="shared" si="11"/>
        <v>127.49973214285714</v>
      </c>
      <c r="AT45" s="134"/>
      <c r="AU45" s="134">
        <f t="shared" si="12"/>
        <v>31.744275569416846</v>
      </c>
      <c r="AV45" s="139">
        <f>+P45+AS45+AT45+AU45</f>
        <v>1859.2404362837026</v>
      </c>
      <c r="AW45" s="131"/>
      <c r="AX45" s="142"/>
      <c r="AY45" s="133">
        <f>+AW45+AX45-AR45</f>
        <v>-1587.2137784708423</v>
      </c>
      <c r="AZ45" s="136"/>
      <c r="BA45" s="42"/>
    </row>
    <row r="46" spans="1:53" s="18" customFormat="1" ht="15.75" customHeight="1">
      <c r="A46" s="131" t="s">
        <v>42</v>
      </c>
      <c r="B46" s="136" t="s">
        <v>74</v>
      </c>
      <c r="C46" s="132">
        <f>C45+1</f>
        <v>40</v>
      </c>
      <c r="D46" s="150" t="s">
        <v>170</v>
      </c>
      <c r="E46" s="131" t="s">
        <v>46</v>
      </c>
      <c r="F46" s="137"/>
      <c r="G46" s="133">
        <v>999.99642857142851</v>
      </c>
      <c r="H46" s="133">
        <v>3999.985714285714</v>
      </c>
      <c r="I46" s="133">
        <f>+G46</f>
        <v>999.99642857142851</v>
      </c>
      <c r="J46" s="133">
        <v>700</v>
      </c>
      <c r="K46" s="133">
        <f t="shared" si="1"/>
        <v>1699.9964285714286</v>
      </c>
      <c r="L46" s="133">
        <f>(VLOOKUP($K46,TABLAS!$G$6:$I$16,3,TRUE)/30.4)*7</f>
        <v>0</v>
      </c>
      <c r="M46" s="133"/>
      <c r="N46" s="133"/>
      <c r="O46" s="138"/>
      <c r="P46" s="139">
        <f t="shared" si="2"/>
        <v>1699.9964285714286</v>
      </c>
      <c r="Q46" s="139"/>
      <c r="R46" s="139"/>
      <c r="S46" s="139">
        <f t="shared" si="3"/>
        <v>1.6128974654377879</v>
      </c>
      <c r="T46" s="139">
        <f t="shared" si="4"/>
        <v>142.85663265306121</v>
      </c>
      <c r="U46" s="140">
        <f>VLOOKUP($H46,TABLAS!$B$6:$E$16,4,TRUE)</f>
        <v>0.21360000000000001</v>
      </c>
      <c r="V46" s="141">
        <f>VLOOKUP($H46,TABLAS!$B$6:$E$16,1,TRUE)</f>
        <v>2371.33</v>
      </c>
      <c r="W46" s="139">
        <f t="shared" si="5"/>
        <v>1628.6557142857141</v>
      </c>
      <c r="X46" s="141">
        <f>VLOOKUP($H46,TABLAS!$B$6:$E$16,3,TRUE)</f>
        <v>251.16</v>
      </c>
      <c r="Y46" s="139">
        <f t="shared" si="6"/>
        <v>599.04086057142854</v>
      </c>
      <c r="Z46" s="139">
        <f t="shared" si="7"/>
        <v>137.93704026315788</v>
      </c>
      <c r="AA46" s="134">
        <f t="shared" ref="AA46:AA48" si="20">1371.37018364929/4</f>
        <v>342.84254591232252</v>
      </c>
      <c r="AB46" s="134">
        <f t="shared" ref="AB46:AB48" si="21">100.617560650286/4</f>
        <v>25.154390162571499</v>
      </c>
      <c r="AC46" s="134"/>
      <c r="AD46" s="139"/>
      <c r="AE46" s="133"/>
      <c r="AF46" s="133"/>
      <c r="AG46" s="133"/>
      <c r="AH46" s="133"/>
      <c r="AI46" s="133"/>
      <c r="AJ46" s="133"/>
      <c r="AK46" s="133"/>
      <c r="AL46" s="134"/>
      <c r="AM46" s="134"/>
      <c r="AN46" s="136"/>
      <c r="AO46" s="139">
        <f t="shared" si="8"/>
        <v>112.78265010058638</v>
      </c>
      <c r="AP46" s="139">
        <f t="shared" si="13"/>
        <v>1587.2137784708423</v>
      </c>
      <c r="AQ46" s="134">
        <f t="shared" si="9"/>
        <v>0</v>
      </c>
      <c r="AR46" s="139">
        <f t="shared" si="10"/>
        <v>1587.2137784708423</v>
      </c>
      <c r="AS46" s="134">
        <f t="shared" si="11"/>
        <v>127.49973214285714</v>
      </c>
      <c r="AT46" s="134"/>
      <c r="AU46" s="134">
        <f t="shared" si="12"/>
        <v>31.744275569416846</v>
      </c>
      <c r="AV46" s="139">
        <f>+P46+AS46+AT46+AU46</f>
        <v>1859.2404362837026</v>
      </c>
      <c r="AW46" s="131"/>
      <c r="AX46" s="142"/>
      <c r="AY46" s="133">
        <f>+AW46+AX46-AR46</f>
        <v>-1587.2137784708423</v>
      </c>
      <c r="AZ46" s="136"/>
      <c r="BA46" s="42"/>
    </row>
    <row r="47" spans="1:53" s="18" customFormat="1" ht="15.75" customHeight="1">
      <c r="A47" s="131" t="s">
        <v>42</v>
      </c>
      <c r="B47" s="136" t="s">
        <v>130</v>
      </c>
      <c r="C47" s="132">
        <f>C46+1</f>
        <v>41</v>
      </c>
      <c r="D47" s="150" t="s">
        <v>170</v>
      </c>
      <c r="E47" s="131" t="s">
        <v>46</v>
      </c>
      <c r="F47" s="137"/>
      <c r="G47" s="133">
        <v>999.99642857142851</v>
      </c>
      <c r="H47" s="133">
        <v>3999.985714285714</v>
      </c>
      <c r="I47" s="133">
        <f>+G47</f>
        <v>999.99642857142851</v>
      </c>
      <c r="J47" s="133">
        <v>700</v>
      </c>
      <c r="K47" s="133">
        <f t="shared" si="1"/>
        <v>1699.9964285714286</v>
      </c>
      <c r="L47" s="133">
        <f>(VLOOKUP($K47,TABLAS!$G$6:$I$16,3,TRUE)/30.4)*7</f>
        <v>0</v>
      </c>
      <c r="M47" s="133"/>
      <c r="N47" s="133"/>
      <c r="O47" s="138"/>
      <c r="P47" s="139">
        <f t="shared" si="2"/>
        <v>1699.9964285714286</v>
      </c>
      <c r="Q47" s="139"/>
      <c r="R47" s="139"/>
      <c r="S47" s="139">
        <f t="shared" si="3"/>
        <v>1.6128974654377879</v>
      </c>
      <c r="T47" s="139">
        <f t="shared" si="4"/>
        <v>142.85663265306121</v>
      </c>
      <c r="U47" s="140">
        <f>VLOOKUP($H47,TABLAS!$B$6:$E$16,4,TRUE)</f>
        <v>0.21360000000000001</v>
      </c>
      <c r="V47" s="141">
        <f>VLOOKUP($H47,TABLAS!$B$6:$E$16,1,TRUE)</f>
        <v>2371.33</v>
      </c>
      <c r="W47" s="139">
        <f t="shared" si="5"/>
        <v>1628.6557142857141</v>
      </c>
      <c r="X47" s="141">
        <f>VLOOKUP($H47,TABLAS!$B$6:$E$16,3,TRUE)</f>
        <v>251.16</v>
      </c>
      <c r="Y47" s="139">
        <f t="shared" si="6"/>
        <v>599.04086057142854</v>
      </c>
      <c r="Z47" s="139">
        <f t="shared" si="7"/>
        <v>137.93704026315788</v>
      </c>
      <c r="AA47" s="134">
        <f t="shared" si="20"/>
        <v>342.84254591232252</v>
      </c>
      <c r="AB47" s="134">
        <f t="shared" si="21"/>
        <v>25.154390162571499</v>
      </c>
      <c r="AC47" s="134"/>
      <c r="AD47" s="139"/>
      <c r="AE47" s="133"/>
      <c r="AF47" s="133"/>
      <c r="AG47" s="133"/>
      <c r="AH47" s="133"/>
      <c r="AI47" s="133"/>
      <c r="AJ47" s="133"/>
      <c r="AK47" s="133"/>
      <c r="AL47" s="134"/>
      <c r="AM47" s="134"/>
      <c r="AN47" s="136"/>
      <c r="AO47" s="139">
        <f t="shared" si="8"/>
        <v>112.78265010058638</v>
      </c>
      <c r="AP47" s="139">
        <f t="shared" si="13"/>
        <v>1587.2137784708423</v>
      </c>
      <c r="AQ47" s="134">
        <f t="shared" si="9"/>
        <v>0</v>
      </c>
      <c r="AR47" s="139">
        <f t="shared" si="10"/>
        <v>1587.2137784708423</v>
      </c>
      <c r="AS47" s="134">
        <f t="shared" si="11"/>
        <v>127.49973214285714</v>
      </c>
      <c r="AT47" s="134"/>
      <c r="AU47" s="134">
        <f t="shared" si="12"/>
        <v>31.744275569416846</v>
      </c>
      <c r="AV47" s="139">
        <f>+P47+AS47+AT47+AU47</f>
        <v>1859.2404362837026</v>
      </c>
      <c r="AW47" s="133"/>
      <c r="AX47" s="133"/>
      <c r="AY47" s="133"/>
      <c r="AZ47" s="136"/>
      <c r="BA47" s="42"/>
    </row>
    <row r="48" spans="1:53" s="18" customFormat="1" ht="15.75" customHeight="1">
      <c r="A48" s="131" t="s">
        <v>42</v>
      </c>
      <c r="B48" s="136" t="s">
        <v>148</v>
      </c>
      <c r="C48" s="132">
        <f>C47+1</f>
        <v>42</v>
      </c>
      <c r="D48" s="150" t="s">
        <v>170</v>
      </c>
      <c r="E48" s="131" t="s">
        <v>46</v>
      </c>
      <c r="F48" s="137"/>
      <c r="G48" s="133">
        <v>999.99642857142851</v>
      </c>
      <c r="H48" s="133">
        <v>3999.985714285714</v>
      </c>
      <c r="I48" s="133">
        <f>+G48</f>
        <v>999.99642857142851</v>
      </c>
      <c r="J48" s="133"/>
      <c r="K48" s="133">
        <f t="shared" si="1"/>
        <v>999.99642857142851</v>
      </c>
      <c r="L48" s="133">
        <f>(VLOOKUP($K48,TABLAS!$G$6:$I$16,3,TRUE)/30.4)*7</f>
        <v>20.276973684210528</v>
      </c>
      <c r="M48" s="133"/>
      <c r="N48" s="133"/>
      <c r="O48" s="138"/>
      <c r="P48" s="139">
        <f t="shared" si="2"/>
        <v>1020.273402255639</v>
      </c>
      <c r="Q48" s="139"/>
      <c r="R48" s="139"/>
      <c r="S48" s="139">
        <f t="shared" si="3"/>
        <v>1.6128974654377879</v>
      </c>
      <c r="T48" s="139">
        <f t="shared" si="4"/>
        <v>142.85663265306121</v>
      </c>
      <c r="U48" s="140">
        <f>VLOOKUP($H48,TABLAS!$B$6:$E$16,4,TRUE)</f>
        <v>0.21360000000000001</v>
      </c>
      <c r="V48" s="141">
        <f>VLOOKUP($H48,TABLAS!$B$6:$E$16,1,TRUE)</f>
        <v>2371.33</v>
      </c>
      <c r="W48" s="139">
        <f t="shared" si="5"/>
        <v>1628.6557142857141</v>
      </c>
      <c r="X48" s="141">
        <f>VLOOKUP($H48,TABLAS!$B$6:$E$16,3,TRUE)</f>
        <v>251.16</v>
      </c>
      <c r="Y48" s="139">
        <f t="shared" si="6"/>
        <v>599.04086057142854</v>
      </c>
      <c r="Z48" s="139">
        <f t="shared" si="7"/>
        <v>137.93704026315788</v>
      </c>
      <c r="AA48" s="134">
        <f t="shared" si="20"/>
        <v>342.84254591232252</v>
      </c>
      <c r="AB48" s="134">
        <f t="shared" si="21"/>
        <v>25.154390162571499</v>
      </c>
      <c r="AC48" s="134"/>
      <c r="AD48" s="139"/>
      <c r="AE48" s="133"/>
      <c r="AF48" s="133"/>
      <c r="AG48" s="133"/>
      <c r="AH48" s="133"/>
      <c r="AI48" s="133"/>
      <c r="AJ48" s="133"/>
      <c r="AK48" s="133"/>
      <c r="AL48" s="134"/>
      <c r="AM48" s="134"/>
      <c r="AN48" s="136"/>
      <c r="AO48" s="139">
        <f t="shared" si="8"/>
        <v>112.78265010058638</v>
      </c>
      <c r="AP48" s="139">
        <f t="shared" si="13"/>
        <v>907.49075215505263</v>
      </c>
      <c r="AQ48" s="134">
        <f t="shared" si="9"/>
        <v>0</v>
      </c>
      <c r="AR48" s="139">
        <f t="shared" si="10"/>
        <v>907.49075215505263</v>
      </c>
      <c r="AS48" s="134">
        <f t="shared" si="11"/>
        <v>76.520505169172921</v>
      </c>
      <c r="AT48" s="134"/>
      <c r="AU48" s="134">
        <f t="shared" si="12"/>
        <v>18.149815043101054</v>
      </c>
      <c r="AV48" s="139">
        <f>+P48+AS48+AT48+AU48</f>
        <v>1114.9437224679129</v>
      </c>
      <c r="AW48" s="133"/>
      <c r="AX48" s="133"/>
      <c r="AY48" s="133"/>
      <c r="AZ48" s="136"/>
      <c r="BA48" s="42"/>
    </row>
    <row r="49" spans="1:53" s="18" customFormat="1" ht="15.75" customHeight="1">
      <c r="A49" s="131" t="s">
        <v>28</v>
      </c>
      <c r="B49" s="136" t="s">
        <v>110</v>
      </c>
      <c r="C49" s="132">
        <f>C48+1</f>
        <v>43</v>
      </c>
      <c r="D49" s="151" t="s">
        <v>170</v>
      </c>
      <c r="E49" s="131" t="s">
        <v>31</v>
      </c>
      <c r="F49" s="137"/>
      <c r="G49" s="133">
        <v>1099.9928571428572</v>
      </c>
      <c r="H49" s="133">
        <v>4399.971428571429</v>
      </c>
      <c r="I49" s="133">
        <f>+G49</f>
        <v>1099.9928571428572</v>
      </c>
      <c r="J49" s="133">
        <v>0</v>
      </c>
      <c r="K49" s="133">
        <f t="shared" si="1"/>
        <v>1099.9928571428572</v>
      </c>
      <c r="L49" s="133">
        <f>(VLOOKUP($K49,TABLAS!$G$6:$I$16,3,TRUE)/30.4)*7</f>
        <v>17.23059210526316</v>
      </c>
      <c r="M49" s="133"/>
      <c r="N49" s="133"/>
      <c r="O49" s="138"/>
      <c r="P49" s="139">
        <f t="shared" si="2"/>
        <v>1117.2234492481205</v>
      </c>
      <c r="Q49" s="139"/>
      <c r="R49" s="139"/>
      <c r="S49" s="139">
        <f t="shared" si="3"/>
        <v>1.77418202764977</v>
      </c>
      <c r="T49" s="139">
        <f t="shared" si="4"/>
        <v>157.1418367346939</v>
      </c>
      <c r="U49" s="140">
        <f>VLOOKUP($H49,TABLAS!$B$6:$E$16,4,TRUE)</f>
        <v>0.21360000000000001</v>
      </c>
      <c r="V49" s="141">
        <f>VLOOKUP($H49,TABLAS!$B$6:$E$16,1,TRUE)</f>
        <v>2371.33</v>
      </c>
      <c r="W49" s="139">
        <f t="shared" si="5"/>
        <v>2028.6414285714291</v>
      </c>
      <c r="X49" s="141">
        <f>VLOOKUP($H49,TABLAS!$B$6:$E$16,3,TRUE)</f>
        <v>251.16</v>
      </c>
      <c r="Y49" s="139">
        <f t="shared" si="6"/>
        <v>684.47780914285727</v>
      </c>
      <c r="Z49" s="139">
        <f t="shared" si="7"/>
        <v>157.61002184210531</v>
      </c>
      <c r="AA49" s="134">
        <f>1463.20776358657/4</f>
        <v>365.80194089664252</v>
      </c>
      <c r="AB49" s="134">
        <f>110.678993300571/4</f>
        <v>27.669748325142749</v>
      </c>
      <c r="AC49" s="134"/>
      <c r="AD49" s="139"/>
      <c r="AE49" s="133"/>
      <c r="AF49" s="133"/>
      <c r="AG49" s="133"/>
      <c r="AH49" s="133"/>
      <c r="AI49" s="133"/>
      <c r="AJ49" s="133"/>
      <c r="AK49" s="133"/>
      <c r="AL49" s="134"/>
      <c r="AM49" s="134"/>
      <c r="AN49" s="136"/>
      <c r="AO49" s="139">
        <f t="shared" si="8"/>
        <v>129.94027351696258</v>
      </c>
      <c r="AP49" s="139">
        <f t="shared" si="13"/>
        <v>987.28317573115783</v>
      </c>
      <c r="AQ49" s="134">
        <f t="shared" si="9"/>
        <v>0</v>
      </c>
      <c r="AR49" s="139">
        <f t="shared" si="10"/>
        <v>987.28317573115783</v>
      </c>
      <c r="AS49" s="134">
        <f t="shared" si="11"/>
        <v>83.791758693609026</v>
      </c>
      <c r="AT49" s="134"/>
      <c r="AU49" s="134">
        <f t="shared" si="12"/>
        <v>19.745663514623157</v>
      </c>
      <c r="AV49" s="139">
        <f>+P49+AS49+AT49+AU49</f>
        <v>1220.7608714563526</v>
      </c>
      <c r="AW49" s="133"/>
      <c r="AX49" s="133"/>
      <c r="AY49" s="133"/>
      <c r="AZ49" s="136"/>
      <c r="BA49" s="42"/>
    </row>
    <row r="50" spans="1:53" s="18" customFormat="1" ht="15.75" customHeight="1">
      <c r="A50" s="131" t="s">
        <v>28</v>
      </c>
      <c r="B50" s="136" t="s">
        <v>60</v>
      </c>
      <c r="C50" s="132">
        <f>C49+1</f>
        <v>44</v>
      </c>
      <c r="D50" s="150" t="s">
        <v>170</v>
      </c>
      <c r="E50" s="131" t="s">
        <v>31</v>
      </c>
      <c r="F50" s="137"/>
      <c r="G50" s="133">
        <v>1099.9928571428572</v>
      </c>
      <c r="H50" s="133">
        <v>4399.971428571429</v>
      </c>
      <c r="I50" s="133">
        <f>+G50</f>
        <v>1099.9928571428572</v>
      </c>
      <c r="J50" s="133">
        <v>1352.88</v>
      </c>
      <c r="K50" s="133">
        <f t="shared" si="1"/>
        <v>2452.8728571428574</v>
      </c>
      <c r="L50" s="133">
        <f>(VLOOKUP($K50,TABLAS!$G$6:$I$16,3,TRUE)/30.4)*7</f>
        <v>0</v>
      </c>
      <c r="M50" s="133"/>
      <c r="N50" s="133"/>
      <c r="O50" s="138"/>
      <c r="P50" s="139">
        <f t="shared" si="2"/>
        <v>2452.8728571428574</v>
      </c>
      <c r="Q50" s="139"/>
      <c r="R50" s="139"/>
      <c r="S50" s="139">
        <f t="shared" si="3"/>
        <v>1.77418202764977</v>
      </c>
      <c r="T50" s="139">
        <f t="shared" si="4"/>
        <v>157.1418367346939</v>
      </c>
      <c r="U50" s="140">
        <f>VLOOKUP($H50,TABLAS!$B$6:$E$16,4,TRUE)</f>
        <v>0.21360000000000001</v>
      </c>
      <c r="V50" s="141">
        <f>VLOOKUP($H50,TABLAS!$B$6:$E$16,1,TRUE)</f>
        <v>2371.33</v>
      </c>
      <c r="W50" s="139">
        <f t="shared" si="5"/>
        <v>2028.6414285714291</v>
      </c>
      <c r="X50" s="141">
        <f>VLOOKUP($H50,TABLAS!$B$6:$E$16,3,TRUE)</f>
        <v>251.16</v>
      </c>
      <c r="Y50" s="139">
        <f t="shared" si="6"/>
        <v>684.47780914285727</v>
      </c>
      <c r="Z50" s="139">
        <f t="shared" si="7"/>
        <v>157.61002184210531</v>
      </c>
      <c r="AA50" s="134">
        <f t="shared" ref="AA50:AA78" si="22">1463.20776358657/4</f>
        <v>365.80194089664252</v>
      </c>
      <c r="AB50" s="134">
        <f t="shared" ref="AB50:AB78" si="23">110.678993300571/4</f>
        <v>27.669748325142749</v>
      </c>
      <c r="AC50" s="134"/>
      <c r="AD50" s="139"/>
      <c r="AE50" s="133"/>
      <c r="AF50" s="133"/>
      <c r="AG50" s="133"/>
      <c r="AH50" s="133"/>
      <c r="AI50" s="133"/>
      <c r="AJ50" s="133"/>
      <c r="AK50" s="133"/>
      <c r="AL50" s="134"/>
      <c r="AM50" s="134"/>
      <c r="AN50" s="136"/>
      <c r="AO50" s="139">
        <f t="shared" si="8"/>
        <v>129.94027351696258</v>
      </c>
      <c r="AP50" s="139">
        <f t="shared" si="13"/>
        <v>2322.9325836258949</v>
      </c>
      <c r="AQ50" s="134">
        <f t="shared" si="9"/>
        <v>183.96546428571429</v>
      </c>
      <c r="AR50" s="139">
        <f t="shared" si="10"/>
        <v>2138.9671193401805</v>
      </c>
      <c r="AS50" s="134">
        <f t="shared" si="11"/>
        <v>0</v>
      </c>
      <c r="AT50" s="134"/>
      <c r="AU50" s="134">
        <f t="shared" si="12"/>
        <v>46.458651672517902</v>
      </c>
      <c r="AV50" s="139">
        <f>+P50+AS50+AT50+AU50</f>
        <v>2499.3315088153754</v>
      </c>
      <c r="AW50" s="131"/>
      <c r="AX50" s="146"/>
      <c r="AY50" s="133">
        <f t="shared" ref="AY50:AY75" si="24">+AW50+AX50-AR50</f>
        <v>-2138.9671193401805</v>
      </c>
      <c r="AZ50" s="136"/>
      <c r="BA50" s="42"/>
    </row>
    <row r="51" spans="1:53" s="18" customFormat="1" ht="15.75" customHeight="1">
      <c r="A51" s="131" t="s">
        <v>28</v>
      </c>
      <c r="B51" s="136" t="s">
        <v>82</v>
      </c>
      <c r="C51" s="132">
        <f>C50+1</f>
        <v>45</v>
      </c>
      <c r="D51" s="150" t="s">
        <v>170</v>
      </c>
      <c r="E51" s="131" t="s">
        <v>31</v>
      </c>
      <c r="F51" s="137"/>
      <c r="G51" s="133">
        <v>1099.9928571428572</v>
      </c>
      <c r="H51" s="133">
        <v>4399.971428571429</v>
      </c>
      <c r="I51" s="133">
        <f>+G51</f>
        <v>1099.9928571428572</v>
      </c>
      <c r="J51" s="133">
        <v>0</v>
      </c>
      <c r="K51" s="133">
        <f t="shared" si="1"/>
        <v>1099.9928571428572</v>
      </c>
      <c r="L51" s="133">
        <f>(VLOOKUP($K51,TABLAS!$G$6:$I$16,3,TRUE)/30.4)*7</f>
        <v>17.23059210526316</v>
      </c>
      <c r="M51" s="133"/>
      <c r="N51" s="133"/>
      <c r="O51" s="138"/>
      <c r="P51" s="139">
        <f t="shared" si="2"/>
        <v>1117.2234492481205</v>
      </c>
      <c r="Q51" s="139"/>
      <c r="R51" s="139"/>
      <c r="S51" s="139">
        <f t="shared" si="3"/>
        <v>1.77418202764977</v>
      </c>
      <c r="T51" s="139">
        <f t="shared" si="4"/>
        <v>157.1418367346939</v>
      </c>
      <c r="U51" s="140">
        <f>VLOOKUP($H51,TABLAS!$B$6:$E$16,4,TRUE)</f>
        <v>0.21360000000000001</v>
      </c>
      <c r="V51" s="141">
        <f>VLOOKUP($H51,TABLAS!$B$6:$E$16,1,TRUE)</f>
        <v>2371.33</v>
      </c>
      <c r="W51" s="139">
        <f t="shared" si="5"/>
        <v>2028.6414285714291</v>
      </c>
      <c r="X51" s="141">
        <f>VLOOKUP($H51,TABLAS!$B$6:$E$16,3,TRUE)</f>
        <v>251.16</v>
      </c>
      <c r="Y51" s="139">
        <f t="shared" si="6"/>
        <v>684.47780914285727</v>
      </c>
      <c r="Z51" s="139">
        <f t="shared" si="7"/>
        <v>157.61002184210531</v>
      </c>
      <c r="AA51" s="134">
        <f t="shared" si="22"/>
        <v>365.80194089664252</v>
      </c>
      <c r="AB51" s="134">
        <f t="shared" si="23"/>
        <v>27.669748325142749</v>
      </c>
      <c r="AC51" s="134"/>
      <c r="AD51" s="139"/>
      <c r="AE51" s="133"/>
      <c r="AF51" s="133"/>
      <c r="AG51" s="133"/>
      <c r="AH51" s="133"/>
      <c r="AI51" s="133"/>
      <c r="AJ51" s="133"/>
      <c r="AK51" s="133"/>
      <c r="AL51" s="134"/>
      <c r="AM51" s="134"/>
      <c r="AN51" s="136"/>
      <c r="AO51" s="139">
        <f t="shared" si="8"/>
        <v>129.94027351696258</v>
      </c>
      <c r="AP51" s="139">
        <f t="shared" si="13"/>
        <v>987.28317573115783</v>
      </c>
      <c r="AQ51" s="134">
        <f t="shared" si="9"/>
        <v>0</v>
      </c>
      <c r="AR51" s="139">
        <f t="shared" si="10"/>
        <v>987.28317573115783</v>
      </c>
      <c r="AS51" s="134">
        <f t="shared" si="11"/>
        <v>83.791758693609026</v>
      </c>
      <c r="AT51" s="134"/>
      <c r="AU51" s="134">
        <f t="shared" si="12"/>
        <v>19.745663514623157</v>
      </c>
      <c r="AV51" s="139">
        <f>+P51+AS51+AT51+AU51</f>
        <v>1220.7608714563526</v>
      </c>
      <c r="AW51" s="131"/>
      <c r="AX51" s="131"/>
      <c r="AY51" s="133">
        <f t="shared" si="24"/>
        <v>-987.28317573115783</v>
      </c>
      <c r="AZ51" s="136"/>
      <c r="BA51" s="42"/>
    </row>
    <row r="52" spans="1:53" s="18" customFormat="1" ht="15.75" customHeight="1">
      <c r="A52" s="131" t="s">
        <v>28</v>
      </c>
      <c r="B52" s="136" t="s">
        <v>111</v>
      </c>
      <c r="C52" s="132">
        <f>C51+1</f>
        <v>46</v>
      </c>
      <c r="D52" s="150" t="s">
        <v>170</v>
      </c>
      <c r="E52" s="131" t="s">
        <v>31</v>
      </c>
      <c r="F52" s="137"/>
      <c r="G52" s="133">
        <v>1099.9928571428572</v>
      </c>
      <c r="H52" s="133">
        <v>4399.971428571429</v>
      </c>
      <c r="I52" s="133">
        <f>+G52</f>
        <v>1099.9928571428572</v>
      </c>
      <c r="J52" s="133">
        <v>0</v>
      </c>
      <c r="K52" s="133">
        <f t="shared" si="1"/>
        <v>1099.9928571428572</v>
      </c>
      <c r="L52" s="133">
        <f>(VLOOKUP($K52,TABLAS!$G$6:$I$16,3,TRUE)/30.4)*7</f>
        <v>17.23059210526316</v>
      </c>
      <c r="M52" s="133"/>
      <c r="N52" s="133"/>
      <c r="O52" s="138"/>
      <c r="P52" s="139">
        <f t="shared" si="2"/>
        <v>1117.2234492481205</v>
      </c>
      <c r="Q52" s="139"/>
      <c r="R52" s="139"/>
      <c r="S52" s="139">
        <f t="shared" si="3"/>
        <v>1.77418202764977</v>
      </c>
      <c r="T52" s="139">
        <f t="shared" si="4"/>
        <v>157.1418367346939</v>
      </c>
      <c r="U52" s="140">
        <f>VLOOKUP($H52,TABLAS!$B$6:$E$16,4,TRUE)</f>
        <v>0.21360000000000001</v>
      </c>
      <c r="V52" s="141">
        <f>VLOOKUP($H52,TABLAS!$B$6:$E$16,1,TRUE)</f>
        <v>2371.33</v>
      </c>
      <c r="W52" s="139">
        <f t="shared" si="5"/>
        <v>2028.6414285714291</v>
      </c>
      <c r="X52" s="141">
        <f>VLOOKUP($H52,TABLAS!$B$6:$E$16,3,TRUE)</f>
        <v>251.16</v>
      </c>
      <c r="Y52" s="139">
        <f t="shared" si="6"/>
        <v>684.47780914285727</v>
      </c>
      <c r="Z52" s="139">
        <f t="shared" si="7"/>
        <v>157.61002184210531</v>
      </c>
      <c r="AA52" s="134">
        <f t="shared" si="22"/>
        <v>365.80194089664252</v>
      </c>
      <c r="AB52" s="134">
        <f t="shared" si="23"/>
        <v>27.669748325142749</v>
      </c>
      <c r="AC52" s="134"/>
      <c r="AD52" s="139"/>
      <c r="AE52" s="133"/>
      <c r="AF52" s="133"/>
      <c r="AG52" s="133"/>
      <c r="AH52" s="133"/>
      <c r="AI52" s="133"/>
      <c r="AJ52" s="133"/>
      <c r="AK52" s="133"/>
      <c r="AL52" s="134"/>
      <c r="AM52" s="134"/>
      <c r="AN52" s="136"/>
      <c r="AO52" s="139">
        <f t="shared" si="8"/>
        <v>129.94027351696258</v>
      </c>
      <c r="AP52" s="139">
        <f t="shared" si="13"/>
        <v>987.28317573115783</v>
      </c>
      <c r="AQ52" s="134">
        <f t="shared" si="9"/>
        <v>0</v>
      </c>
      <c r="AR52" s="139">
        <f t="shared" si="10"/>
        <v>987.28317573115783</v>
      </c>
      <c r="AS52" s="134">
        <f t="shared" si="11"/>
        <v>83.791758693609026</v>
      </c>
      <c r="AT52" s="134"/>
      <c r="AU52" s="134">
        <f t="shared" si="12"/>
        <v>19.745663514623157</v>
      </c>
      <c r="AV52" s="139">
        <f>+P52+AS52+AT52+AU52</f>
        <v>1220.7608714563526</v>
      </c>
      <c r="AW52" s="131"/>
      <c r="AX52" s="142"/>
      <c r="AY52" s="133">
        <f t="shared" si="24"/>
        <v>-987.28317573115783</v>
      </c>
      <c r="AZ52" s="136"/>
      <c r="BA52" s="45"/>
    </row>
    <row r="53" spans="1:53" s="18" customFormat="1" ht="15.75" customHeight="1">
      <c r="A53" s="131" t="s">
        <v>28</v>
      </c>
      <c r="B53" s="136" t="s">
        <v>38</v>
      </c>
      <c r="C53" s="132">
        <f>C52+1</f>
        <v>47</v>
      </c>
      <c r="D53" s="150" t="s">
        <v>170</v>
      </c>
      <c r="E53" s="131" t="s">
        <v>31</v>
      </c>
      <c r="F53" s="137"/>
      <c r="G53" s="133">
        <v>1099.9928571428572</v>
      </c>
      <c r="H53" s="133">
        <v>4399.971428571429</v>
      </c>
      <c r="I53" s="133">
        <f>+G53</f>
        <v>1099.9928571428572</v>
      </c>
      <c r="J53" s="133">
        <v>1141.23</v>
      </c>
      <c r="K53" s="133">
        <f t="shared" si="1"/>
        <v>2241.2228571428573</v>
      </c>
      <c r="L53" s="133">
        <f>(VLOOKUP($K53,TABLAS!$G$6:$I$16,3,TRUE)/30.4)*7</f>
        <v>0</v>
      </c>
      <c r="M53" s="133"/>
      <c r="N53" s="133"/>
      <c r="O53" s="138"/>
      <c r="P53" s="139">
        <f t="shared" si="2"/>
        <v>2241.2228571428573</v>
      </c>
      <c r="Q53" s="139"/>
      <c r="R53" s="139"/>
      <c r="S53" s="139">
        <f t="shared" si="3"/>
        <v>1.77418202764977</v>
      </c>
      <c r="T53" s="139">
        <f t="shared" si="4"/>
        <v>157.1418367346939</v>
      </c>
      <c r="U53" s="140">
        <f>VLOOKUP($H53,TABLAS!$B$6:$E$16,4,TRUE)</f>
        <v>0.21360000000000001</v>
      </c>
      <c r="V53" s="141">
        <f>VLOOKUP($H53,TABLAS!$B$6:$E$16,1,TRUE)</f>
        <v>2371.33</v>
      </c>
      <c r="W53" s="139">
        <f t="shared" si="5"/>
        <v>2028.6414285714291</v>
      </c>
      <c r="X53" s="141">
        <f>VLOOKUP($H53,TABLAS!$B$6:$E$16,3,TRUE)</f>
        <v>251.16</v>
      </c>
      <c r="Y53" s="139">
        <f t="shared" si="6"/>
        <v>684.47780914285727</v>
      </c>
      <c r="Z53" s="139">
        <f t="shared" si="7"/>
        <v>157.61002184210531</v>
      </c>
      <c r="AA53" s="134">
        <f t="shared" si="22"/>
        <v>365.80194089664252</v>
      </c>
      <c r="AB53" s="134">
        <f t="shared" si="23"/>
        <v>27.669748325142749</v>
      </c>
      <c r="AC53" s="134"/>
      <c r="AD53" s="139"/>
      <c r="AE53" s="133"/>
      <c r="AF53" s="133"/>
      <c r="AG53" s="133"/>
      <c r="AH53" s="133"/>
      <c r="AI53" s="133"/>
      <c r="AJ53" s="133"/>
      <c r="AK53" s="133"/>
      <c r="AL53" s="134"/>
      <c r="AM53" s="134"/>
      <c r="AN53" s="136"/>
      <c r="AO53" s="139">
        <f t="shared" si="8"/>
        <v>129.94027351696258</v>
      </c>
      <c r="AP53" s="139">
        <f t="shared" si="13"/>
        <v>2111.2825836258949</v>
      </c>
      <c r="AQ53" s="134">
        <f t="shared" si="9"/>
        <v>168.09171428571429</v>
      </c>
      <c r="AR53" s="139">
        <f t="shared" si="10"/>
        <v>1943.1908693401806</v>
      </c>
      <c r="AS53" s="134">
        <f t="shared" si="11"/>
        <v>0</v>
      </c>
      <c r="AT53" s="134"/>
      <c r="AU53" s="134">
        <f t="shared" si="12"/>
        <v>42.225651672517898</v>
      </c>
      <c r="AV53" s="139">
        <f>+P53+AS53+AT53+AU53</f>
        <v>2283.4485088153751</v>
      </c>
      <c r="AW53" s="131"/>
      <c r="AX53" s="131"/>
      <c r="AY53" s="133">
        <f t="shared" si="24"/>
        <v>-1943.1908693401806</v>
      </c>
      <c r="AZ53" s="136"/>
      <c r="BA53" s="45"/>
    </row>
    <row r="54" spans="1:53" s="18" customFormat="1" ht="15.75" customHeight="1">
      <c r="A54" s="131" t="s">
        <v>29</v>
      </c>
      <c r="B54" s="136" t="s">
        <v>72</v>
      </c>
      <c r="C54" s="132">
        <f>C53+1</f>
        <v>48</v>
      </c>
      <c r="D54" s="150" t="s">
        <v>170</v>
      </c>
      <c r="E54" s="131" t="s">
        <v>31</v>
      </c>
      <c r="F54" s="137"/>
      <c r="G54" s="133">
        <v>1099.9928571428572</v>
      </c>
      <c r="H54" s="133">
        <v>4399.971428571429</v>
      </c>
      <c r="I54" s="133">
        <f>+G54</f>
        <v>1099.9928571428572</v>
      </c>
      <c r="J54" s="133">
        <v>4884.0600000000004</v>
      </c>
      <c r="K54" s="133">
        <f t="shared" si="1"/>
        <v>5984.0528571428576</v>
      </c>
      <c r="L54" s="133">
        <f>(VLOOKUP($K54,TABLAS!$G$6:$I$16,3,TRUE)/30.4)*7</f>
        <v>0</v>
      </c>
      <c r="M54" s="133"/>
      <c r="N54" s="133"/>
      <c r="O54" s="138"/>
      <c r="P54" s="139">
        <f t="shared" si="2"/>
        <v>5984.0528571428576</v>
      </c>
      <c r="Q54" s="139"/>
      <c r="R54" s="139"/>
      <c r="S54" s="139">
        <f t="shared" si="3"/>
        <v>1.77418202764977</v>
      </c>
      <c r="T54" s="139">
        <f t="shared" si="4"/>
        <v>157.1418367346939</v>
      </c>
      <c r="U54" s="140">
        <f>VLOOKUP($H54,TABLAS!$B$6:$E$16,4,TRUE)</f>
        <v>0.21360000000000001</v>
      </c>
      <c r="V54" s="141">
        <f>VLOOKUP($H54,TABLAS!$B$6:$E$16,1,TRUE)</f>
        <v>2371.33</v>
      </c>
      <c r="W54" s="139">
        <f t="shared" si="5"/>
        <v>2028.6414285714291</v>
      </c>
      <c r="X54" s="141">
        <f>VLOOKUP($H54,TABLAS!$B$6:$E$16,3,TRUE)</f>
        <v>251.16</v>
      </c>
      <c r="Y54" s="139">
        <f t="shared" si="6"/>
        <v>684.47780914285727</v>
      </c>
      <c r="Z54" s="139">
        <f t="shared" si="7"/>
        <v>157.61002184210531</v>
      </c>
      <c r="AA54" s="134">
        <f t="shared" si="22"/>
        <v>365.80194089664252</v>
      </c>
      <c r="AB54" s="134">
        <f t="shared" si="23"/>
        <v>27.669748325142749</v>
      </c>
      <c r="AC54" s="134"/>
      <c r="AD54" s="139"/>
      <c r="AE54" s="133"/>
      <c r="AF54" s="133"/>
      <c r="AG54" s="133"/>
      <c r="AH54" s="133"/>
      <c r="AI54" s="133"/>
      <c r="AJ54" s="133"/>
      <c r="AK54" s="133"/>
      <c r="AL54" s="134"/>
      <c r="AM54" s="134"/>
      <c r="AN54" s="136"/>
      <c r="AO54" s="139">
        <f t="shared" si="8"/>
        <v>129.94027351696258</v>
      </c>
      <c r="AP54" s="139">
        <f t="shared" si="13"/>
        <v>5854.1125836258952</v>
      </c>
      <c r="AQ54" s="134">
        <f t="shared" si="9"/>
        <v>448.8039642857143</v>
      </c>
      <c r="AR54" s="139">
        <f t="shared" si="10"/>
        <v>5405.3086193401814</v>
      </c>
      <c r="AS54" s="134">
        <f t="shared" si="11"/>
        <v>0</v>
      </c>
      <c r="AT54" s="134"/>
      <c r="AU54" s="134">
        <f t="shared" si="12"/>
        <v>117.08225167251791</v>
      </c>
      <c r="AV54" s="139">
        <f>+P54+AS54+AT54+AU54</f>
        <v>6101.1351088153751</v>
      </c>
      <c r="AW54" s="131"/>
      <c r="AX54" s="142"/>
      <c r="AY54" s="133">
        <f t="shared" si="24"/>
        <v>-5405.3086193401814</v>
      </c>
      <c r="AZ54" s="136"/>
      <c r="BA54" s="45"/>
    </row>
    <row r="55" spans="1:53" s="18" customFormat="1" ht="15.75" customHeight="1">
      <c r="A55" s="131" t="s">
        <v>29</v>
      </c>
      <c r="B55" s="136" t="s">
        <v>153</v>
      </c>
      <c r="C55" s="132">
        <f>C54+1</f>
        <v>49</v>
      </c>
      <c r="D55" s="150" t="s">
        <v>170</v>
      </c>
      <c r="E55" s="131" t="s">
        <v>31</v>
      </c>
      <c r="F55" s="137"/>
      <c r="G55" s="133">
        <v>1099.9928571428572</v>
      </c>
      <c r="H55" s="133">
        <v>4399.971428571429</v>
      </c>
      <c r="I55" s="133">
        <f>+G55</f>
        <v>1099.9928571428572</v>
      </c>
      <c r="J55" s="133">
        <v>7840.18</v>
      </c>
      <c r="K55" s="133">
        <f t="shared" si="1"/>
        <v>8940.1728571428575</v>
      </c>
      <c r="L55" s="133">
        <f>(VLOOKUP($K55,TABLAS!$G$6:$I$16,3,TRUE)/30.4)*7</f>
        <v>0</v>
      </c>
      <c r="M55" s="133"/>
      <c r="N55" s="133"/>
      <c r="O55" s="138"/>
      <c r="P55" s="139">
        <f t="shared" si="2"/>
        <v>8940.1728571428575</v>
      </c>
      <c r="Q55" s="139"/>
      <c r="R55" s="139"/>
      <c r="S55" s="139">
        <f t="shared" si="3"/>
        <v>1.77418202764977</v>
      </c>
      <c r="T55" s="139">
        <f t="shared" si="4"/>
        <v>157.1418367346939</v>
      </c>
      <c r="U55" s="140">
        <f>VLOOKUP($H55,TABLAS!$B$6:$E$16,4,TRUE)</f>
        <v>0.21360000000000001</v>
      </c>
      <c r="V55" s="141">
        <f>VLOOKUP($H55,TABLAS!$B$6:$E$16,1,TRUE)</f>
        <v>2371.33</v>
      </c>
      <c r="W55" s="139">
        <f t="shared" si="5"/>
        <v>2028.6414285714291</v>
      </c>
      <c r="X55" s="141">
        <f>VLOOKUP($H55,TABLAS!$B$6:$E$16,3,TRUE)</f>
        <v>251.16</v>
      </c>
      <c r="Y55" s="139">
        <f t="shared" si="6"/>
        <v>684.47780914285727</v>
      </c>
      <c r="Z55" s="139">
        <f t="shared" si="7"/>
        <v>157.61002184210531</v>
      </c>
      <c r="AA55" s="134">
        <f t="shared" si="22"/>
        <v>365.80194089664252</v>
      </c>
      <c r="AB55" s="134">
        <f t="shared" si="23"/>
        <v>27.669748325142749</v>
      </c>
      <c r="AC55" s="134"/>
      <c r="AD55" s="139"/>
      <c r="AE55" s="133"/>
      <c r="AF55" s="133"/>
      <c r="AG55" s="133"/>
      <c r="AH55" s="133"/>
      <c r="AI55" s="133"/>
      <c r="AJ55" s="133"/>
      <c r="AK55" s="133"/>
      <c r="AL55" s="134"/>
      <c r="AM55" s="134"/>
      <c r="AN55" s="136"/>
      <c r="AO55" s="139">
        <f t="shared" si="8"/>
        <v>129.94027351696258</v>
      </c>
      <c r="AP55" s="139">
        <f t="shared" si="13"/>
        <v>8810.2325836258951</v>
      </c>
      <c r="AQ55" s="134">
        <f t="shared" si="9"/>
        <v>670.51296428571425</v>
      </c>
      <c r="AR55" s="139">
        <f t="shared" si="10"/>
        <v>8139.7196193401805</v>
      </c>
      <c r="AS55" s="134">
        <f t="shared" si="11"/>
        <v>0</v>
      </c>
      <c r="AT55" s="134"/>
      <c r="AU55" s="134">
        <f t="shared" si="12"/>
        <v>176.20465167251791</v>
      </c>
      <c r="AV55" s="139">
        <f>+P55+AS55+AT55+AU55</f>
        <v>9116.3775088153761</v>
      </c>
      <c r="AW55" s="131"/>
      <c r="AX55" s="142"/>
      <c r="AY55" s="133">
        <f t="shared" si="24"/>
        <v>-8139.7196193401805</v>
      </c>
      <c r="AZ55" s="136"/>
      <c r="BA55" s="45"/>
    </row>
    <row r="56" spans="1:53" s="18" customFormat="1" ht="15.75" customHeight="1">
      <c r="A56" s="131" t="s">
        <v>29</v>
      </c>
      <c r="B56" s="136" t="s">
        <v>101</v>
      </c>
      <c r="C56" s="132">
        <f>C55+1</f>
        <v>50</v>
      </c>
      <c r="D56" s="150" t="s">
        <v>170</v>
      </c>
      <c r="E56" s="131" t="s">
        <v>31</v>
      </c>
      <c r="F56" s="137"/>
      <c r="G56" s="133">
        <v>1099.9928571428572</v>
      </c>
      <c r="H56" s="133">
        <v>4399.971428571429</v>
      </c>
      <c r="I56" s="133">
        <f>+G56</f>
        <v>1099.9928571428572</v>
      </c>
      <c r="J56" s="133">
        <v>3853.67</v>
      </c>
      <c r="K56" s="133">
        <f t="shared" si="1"/>
        <v>4953.6628571428573</v>
      </c>
      <c r="L56" s="133">
        <f>(VLOOKUP($K56,TABLAS!$G$6:$I$16,3,TRUE)/30.4)*7</f>
        <v>0</v>
      </c>
      <c r="M56" s="133"/>
      <c r="N56" s="133"/>
      <c r="O56" s="138"/>
      <c r="P56" s="139">
        <f t="shared" si="2"/>
        <v>4953.6628571428573</v>
      </c>
      <c r="Q56" s="139"/>
      <c r="R56" s="139"/>
      <c r="S56" s="139">
        <f t="shared" si="3"/>
        <v>1.77418202764977</v>
      </c>
      <c r="T56" s="139">
        <f t="shared" si="4"/>
        <v>157.1418367346939</v>
      </c>
      <c r="U56" s="140">
        <f>VLOOKUP($H56,TABLAS!$B$6:$E$16,4,TRUE)</f>
        <v>0.21360000000000001</v>
      </c>
      <c r="V56" s="141">
        <f>VLOOKUP($H56,TABLAS!$B$6:$E$16,1,TRUE)</f>
        <v>2371.33</v>
      </c>
      <c r="W56" s="139">
        <f t="shared" si="5"/>
        <v>2028.6414285714291</v>
      </c>
      <c r="X56" s="141">
        <f>VLOOKUP($H56,TABLAS!$B$6:$E$16,3,TRUE)</f>
        <v>251.16</v>
      </c>
      <c r="Y56" s="139">
        <f t="shared" si="6"/>
        <v>684.47780914285727</v>
      </c>
      <c r="Z56" s="139">
        <f t="shared" si="7"/>
        <v>157.61002184210531</v>
      </c>
      <c r="AA56" s="134">
        <f t="shared" si="22"/>
        <v>365.80194089664252</v>
      </c>
      <c r="AB56" s="134">
        <f t="shared" si="23"/>
        <v>27.669748325142749</v>
      </c>
      <c r="AC56" s="134"/>
      <c r="AD56" s="139"/>
      <c r="AE56" s="133"/>
      <c r="AF56" s="133"/>
      <c r="AG56" s="133"/>
      <c r="AH56" s="133"/>
      <c r="AI56" s="133"/>
      <c r="AJ56" s="133"/>
      <c r="AK56" s="133"/>
      <c r="AL56" s="134"/>
      <c r="AM56" s="134"/>
      <c r="AN56" s="136"/>
      <c r="AO56" s="139">
        <f t="shared" si="8"/>
        <v>129.94027351696258</v>
      </c>
      <c r="AP56" s="139">
        <f t="shared" si="13"/>
        <v>4823.7225836258949</v>
      </c>
      <c r="AQ56" s="134">
        <f t="shared" si="9"/>
        <v>371.52471428571431</v>
      </c>
      <c r="AR56" s="139">
        <f t="shared" si="10"/>
        <v>4452.1978693401807</v>
      </c>
      <c r="AS56" s="134">
        <f t="shared" si="11"/>
        <v>0</v>
      </c>
      <c r="AT56" s="134"/>
      <c r="AU56" s="134">
        <f t="shared" si="12"/>
        <v>96.474451672517901</v>
      </c>
      <c r="AV56" s="139">
        <f>+P56+AS56+AT56+AU56</f>
        <v>5050.137308815375</v>
      </c>
      <c r="AW56" s="131"/>
      <c r="AX56" s="131"/>
      <c r="AY56" s="133">
        <f t="shared" si="24"/>
        <v>-4452.1978693401807</v>
      </c>
      <c r="AZ56" s="136"/>
      <c r="BA56" s="45"/>
    </row>
    <row r="57" spans="1:53" s="18" customFormat="1" ht="15.75" customHeight="1">
      <c r="A57" s="131" t="s">
        <v>29</v>
      </c>
      <c r="B57" s="136" t="s">
        <v>121</v>
      </c>
      <c r="C57" s="132">
        <f>C56+1</f>
        <v>51</v>
      </c>
      <c r="D57" s="150" t="s">
        <v>170</v>
      </c>
      <c r="E57" s="131" t="s">
        <v>31</v>
      </c>
      <c r="F57" s="137"/>
      <c r="G57" s="133">
        <v>1099.9928571428572</v>
      </c>
      <c r="H57" s="133">
        <v>4399.971428571429</v>
      </c>
      <c r="I57" s="133">
        <f>+G57</f>
        <v>1099.9928571428572</v>
      </c>
      <c r="J57" s="133">
        <v>36.270000000000003</v>
      </c>
      <c r="K57" s="133">
        <f t="shared" si="1"/>
        <v>1136.2628571428572</v>
      </c>
      <c r="L57" s="133">
        <f>(VLOOKUP($K57,TABLAS!$G$6:$I$16,3,TRUE)/30.4)*7</f>
        <v>17.23059210526316</v>
      </c>
      <c r="M57" s="133"/>
      <c r="N57" s="133"/>
      <c r="O57" s="138"/>
      <c r="P57" s="139">
        <f t="shared" si="2"/>
        <v>1153.4934492481204</v>
      </c>
      <c r="Q57" s="139"/>
      <c r="R57" s="139"/>
      <c r="S57" s="139">
        <f t="shared" si="3"/>
        <v>1.77418202764977</v>
      </c>
      <c r="T57" s="139">
        <f t="shared" si="4"/>
        <v>157.1418367346939</v>
      </c>
      <c r="U57" s="140">
        <f>VLOOKUP($H57,TABLAS!$B$6:$E$16,4,TRUE)</f>
        <v>0.21360000000000001</v>
      </c>
      <c r="V57" s="141">
        <f>VLOOKUP($H57,TABLAS!$B$6:$E$16,1,TRUE)</f>
        <v>2371.33</v>
      </c>
      <c r="W57" s="139">
        <f t="shared" si="5"/>
        <v>2028.6414285714291</v>
      </c>
      <c r="X57" s="141">
        <f>VLOOKUP($H57,TABLAS!$B$6:$E$16,3,TRUE)</f>
        <v>251.16</v>
      </c>
      <c r="Y57" s="139">
        <f t="shared" si="6"/>
        <v>684.47780914285727</v>
      </c>
      <c r="Z57" s="139">
        <f t="shared" si="7"/>
        <v>157.61002184210531</v>
      </c>
      <c r="AA57" s="134">
        <f t="shared" si="22"/>
        <v>365.80194089664252</v>
      </c>
      <c r="AB57" s="134">
        <f t="shared" si="23"/>
        <v>27.669748325142749</v>
      </c>
      <c r="AC57" s="134"/>
      <c r="AD57" s="139"/>
      <c r="AE57" s="133"/>
      <c r="AF57" s="133"/>
      <c r="AG57" s="133"/>
      <c r="AH57" s="133"/>
      <c r="AI57" s="133"/>
      <c r="AJ57" s="133"/>
      <c r="AK57" s="133"/>
      <c r="AL57" s="134"/>
      <c r="AM57" s="134"/>
      <c r="AN57" s="136"/>
      <c r="AO57" s="139">
        <f t="shared" si="8"/>
        <v>129.94027351696258</v>
      </c>
      <c r="AP57" s="139">
        <f t="shared" si="13"/>
        <v>1023.5531757311578</v>
      </c>
      <c r="AQ57" s="134">
        <f t="shared" si="9"/>
        <v>0</v>
      </c>
      <c r="AR57" s="139">
        <f t="shared" si="10"/>
        <v>1023.5531757311578</v>
      </c>
      <c r="AS57" s="134">
        <f t="shared" si="11"/>
        <v>86.512008693609033</v>
      </c>
      <c r="AT57" s="134"/>
      <c r="AU57" s="134">
        <f t="shared" si="12"/>
        <v>20.471063514623157</v>
      </c>
      <c r="AV57" s="139">
        <f>+P57+AS57+AT57+AU57</f>
        <v>1260.4765214563527</v>
      </c>
      <c r="AW57" s="131"/>
      <c r="AX57" s="131"/>
      <c r="AY57" s="133">
        <f t="shared" si="24"/>
        <v>-1023.5531757311578</v>
      </c>
      <c r="AZ57" s="136"/>
      <c r="BA57" s="42"/>
    </row>
    <row r="58" spans="1:53" s="18" customFormat="1" ht="15.75" customHeight="1">
      <c r="A58" s="131" t="s">
        <v>29</v>
      </c>
      <c r="B58" s="136" t="s">
        <v>140</v>
      </c>
      <c r="C58" s="132">
        <f>C57+1</f>
        <v>52</v>
      </c>
      <c r="D58" s="150" t="s">
        <v>170</v>
      </c>
      <c r="E58" s="131" t="s">
        <v>31</v>
      </c>
      <c r="F58" s="137"/>
      <c r="G58" s="133">
        <v>1099.9928571428572</v>
      </c>
      <c r="H58" s="133">
        <v>4399.971428571429</v>
      </c>
      <c r="I58" s="133">
        <f>+G58</f>
        <v>1099.9928571428572</v>
      </c>
      <c r="J58" s="133"/>
      <c r="K58" s="133">
        <f t="shared" si="1"/>
        <v>1099.9928571428572</v>
      </c>
      <c r="L58" s="133">
        <f>(VLOOKUP($K58,TABLAS!$G$6:$I$16,3,TRUE)/30.4)*7</f>
        <v>17.23059210526316</v>
      </c>
      <c r="M58" s="133"/>
      <c r="N58" s="133"/>
      <c r="O58" s="138"/>
      <c r="P58" s="139">
        <f t="shared" si="2"/>
        <v>1117.2234492481205</v>
      </c>
      <c r="Q58" s="139"/>
      <c r="R58" s="139"/>
      <c r="S58" s="139">
        <f t="shared" si="3"/>
        <v>1.77418202764977</v>
      </c>
      <c r="T58" s="139">
        <f t="shared" si="4"/>
        <v>157.1418367346939</v>
      </c>
      <c r="U58" s="140">
        <f>VLOOKUP($H58,TABLAS!$B$6:$E$16,4,TRUE)</f>
        <v>0.21360000000000001</v>
      </c>
      <c r="V58" s="141">
        <f>VLOOKUP($H58,TABLAS!$B$6:$E$16,1,TRUE)</f>
        <v>2371.33</v>
      </c>
      <c r="W58" s="139">
        <f t="shared" si="5"/>
        <v>2028.6414285714291</v>
      </c>
      <c r="X58" s="141">
        <f>VLOOKUP($H58,TABLAS!$B$6:$E$16,3,TRUE)</f>
        <v>251.16</v>
      </c>
      <c r="Y58" s="139">
        <f t="shared" si="6"/>
        <v>684.47780914285727</v>
      </c>
      <c r="Z58" s="139">
        <f t="shared" si="7"/>
        <v>157.61002184210531</v>
      </c>
      <c r="AA58" s="134">
        <f t="shared" si="22"/>
        <v>365.80194089664252</v>
      </c>
      <c r="AB58" s="134">
        <f t="shared" si="23"/>
        <v>27.669748325142749</v>
      </c>
      <c r="AC58" s="134"/>
      <c r="AD58" s="139"/>
      <c r="AE58" s="133"/>
      <c r="AF58" s="133"/>
      <c r="AG58" s="133"/>
      <c r="AH58" s="133"/>
      <c r="AI58" s="133"/>
      <c r="AJ58" s="133"/>
      <c r="AK58" s="133"/>
      <c r="AL58" s="134"/>
      <c r="AM58" s="134"/>
      <c r="AN58" s="136"/>
      <c r="AO58" s="139">
        <f t="shared" si="8"/>
        <v>129.94027351696258</v>
      </c>
      <c r="AP58" s="139">
        <f t="shared" si="13"/>
        <v>987.28317573115783</v>
      </c>
      <c r="AQ58" s="134">
        <f t="shared" si="9"/>
        <v>0</v>
      </c>
      <c r="AR58" s="139">
        <f t="shared" si="10"/>
        <v>987.28317573115783</v>
      </c>
      <c r="AS58" s="134">
        <f t="shared" si="11"/>
        <v>83.791758693609026</v>
      </c>
      <c r="AT58" s="134"/>
      <c r="AU58" s="134">
        <f t="shared" si="12"/>
        <v>19.745663514623157</v>
      </c>
      <c r="AV58" s="139">
        <f>+P58+AS58+AT58+AU58</f>
        <v>1220.7608714563526</v>
      </c>
      <c r="AW58" s="131"/>
      <c r="AX58" s="142"/>
      <c r="AY58" s="133">
        <f t="shared" si="24"/>
        <v>-987.28317573115783</v>
      </c>
      <c r="AZ58" s="136"/>
      <c r="BA58" s="42"/>
    </row>
    <row r="59" spans="1:53" s="18" customFormat="1" ht="15.75" customHeight="1">
      <c r="A59" s="131" t="s">
        <v>29</v>
      </c>
      <c r="B59" s="136" t="s">
        <v>133</v>
      </c>
      <c r="C59" s="132">
        <f>C58+1</f>
        <v>53</v>
      </c>
      <c r="D59" s="150" t="s">
        <v>170</v>
      </c>
      <c r="E59" s="131" t="s">
        <v>31</v>
      </c>
      <c r="F59" s="137"/>
      <c r="G59" s="133">
        <v>1099.9928571428572</v>
      </c>
      <c r="H59" s="133">
        <v>4399.971428571429</v>
      </c>
      <c r="I59" s="133">
        <f>+G59</f>
        <v>1099.9928571428572</v>
      </c>
      <c r="J59" s="133"/>
      <c r="K59" s="133">
        <f t="shared" si="1"/>
        <v>1099.9928571428572</v>
      </c>
      <c r="L59" s="133">
        <f>(VLOOKUP($K59,TABLAS!$G$6:$I$16,3,TRUE)/30.4)*7</f>
        <v>17.23059210526316</v>
      </c>
      <c r="M59" s="133"/>
      <c r="N59" s="133"/>
      <c r="O59" s="138"/>
      <c r="P59" s="139">
        <f t="shared" si="2"/>
        <v>1117.2234492481205</v>
      </c>
      <c r="Q59" s="139"/>
      <c r="R59" s="139"/>
      <c r="S59" s="139">
        <f t="shared" si="3"/>
        <v>1.77418202764977</v>
      </c>
      <c r="T59" s="139">
        <f t="shared" si="4"/>
        <v>157.1418367346939</v>
      </c>
      <c r="U59" s="140">
        <f>VLOOKUP($H59,TABLAS!$B$6:$E$16,4,TRUE)</f>
        <v>0.21360000000000001</v>
      </c>
      <c r="V59" s="141">
        <f>VLOOKUP($H59,TABLAS!$B$6:$E$16,1,TRUE)</f>
        <v>2371.33</v>
      </c>
      <c r="W59" s="139">
        <f t="shared" si="5"/>
        <v>2028.6414285714291</v>
      </c>
      <c r="X59" s="141">
        <f>VLOOKUP($H59,TABLAS!$B$6:$E$16,3,TRUE)</f>
        <v>251.16</v>
      </c>
      <c r="Y59" s="139">
        <f t="shared" si="6"/>
        <v>684.47780914285727</v>
      </c>
      <c r="Z59" s="139">
        <f t="shared" si="7"/>
        <v>157.61002184210531</v>
      </c>
      <c r="AA59" s="134">
        <f t="shared" si="22"/>
        <v>365.80194089664252</v>
      </c>
      <c r="AB59" s="134">
        <f t="shared" si="23"/>
        <v>27.669748325142749</v>
      </c>
      <c r="AC59" s="134"/>
      <c r="AD59" s="139"/>
      <c r="AE59" s="133"/>
      <c r="AF59" s="133"/>
      <c r="AG59" s="133"/>
      <c r="AH59" s="133"/>
      <c r="AI59" s="133"/>
      <c r="AJ59" s="133"/>
      <c r="AK59" s="133"/>
      <c r="AL59" s="134"/>
      <c r="AM59" s="134"/>
      <c r="AN59" s="145"/>
      <c r="AO59" s="139">
        <f t="shared" si="8"/>
        <v>129.94027351696258</v>
      </c>
      <c r="AP59" s="139">
        <f t="shared" si="13"/>
        <v>987.28317573115783</v>
      </c>
      <c r="AQ59" s="134">
        <f t="shared" si="9"/>
        <v>0</v>
      </c>
      <c r="AR59" s="139">
        <f t="shared" si="10"/>
        <v>987.28317573115783</v>
      </c>
      <c r="AS59" s="134">
        <f t="shared" si="11"/>
        <v>83.791758693609026</v>
      </c>
      <c r="AT59" s="134"/>
      <c r="AU59" s="134">
        <f t="shared" si="12"/>
        <v>19.745663514623157</v>
      </c>
      <c r="AV59" s="139">
        <f>+P59+AS59+AT59+AU59</f>
        <v>1220.7608714563526</v>
      </c>
      <c r="AW59" s="131"/>
      <c r="AX59" s="142"/>
      <c r="AY59" s="133">
        <f t="shared" si="24"/>
        <v>-987.28317573115783</v>
      </c>
      <c r="AZ59" s="136"/>
      <c r="BA59" s="45"/>
    </row>
    <row r="60" spans="1:53" s="18" customFormat="1" ht="15.75" customHeight="1">
      <c r="A60" s="131" t="s">
        <v>29</v>
      </c>
      <c r="B60" s="136" t="s">
        <v>119</v>
      </c>
      <c r="C60" s="132">
        <f>C59+1</f>
        <v>54</v>
      </c>
      <c r="D60" s="150" t="s">
        <v>170</v>
      </c>
      <c r="E60" s="131" t="s">
        <v>31</v>
      </c>
      <c r="F60" s="137"/>
      <c r="G60" s="133">
        <v>1099.9928571428572</v>
      </c>
      <c r="H60" s="133">
        <v>4399.971428571429</v>
      </c>
      <c r="I60" s="133">
        <f>+G60</f>
        <v>1099.9928571428572</v>
      </c>
      <c r="J60" s="133"/>
      <c r="K60" s="133">
        <f t="shared" si="1"/>
        <v>1099.9928571428572</v>
      </c>
      <c r="L60" s="133">
        <f>(VLOOKUP($K60,TABLAS!$G$6:$I$16,3,TRUE)/30.4)*7</f>
        <v>17.23059210526316</v>
      </c>
      <c r="M60" s="133"/>
      <c r="N60" s="133"/>
      <c r="O60" s="138"/>
      <c r="P60" s="139">
        <f t="shared" si="2"/>
        <v>1117.2234492481205</v>
      </c>
      <c r="Q60" s="139"/>
      <c r="R60" s="139"/>
      <c r="S60" s="139">
        <f t="shared" si="3"/>
        <v>1.77418202764977</v>
      </c>
      <c r="T60" s="139">
        <f t="shared" si="4"/>
        <v>157.1418367346939</v>
      </c>
      <c r="U60" s="140">
        <f>VLOOKUP($H60,TABLAS!$B$6:$E$16,4,TRUE)</f>
        <v>0.21360000000000001</v>
      </c>
      <c r="V60" s="141">
        <f>VLOOKUP($H60,TABLAS!$B$6:$E$16,1,TRUE)</f>
        <v>2371.33</v>
      </c>
      <c r="W60" s="139">
        <f t="shared" si="5"/>
        <v>2028.6414285714291</v>
      </c>
      <c r="X60" s="141">
        <f>VLOOKUP($H60,TABLAS!$B$6:$E$16,3,TRUE)</f>
        <v>251.16</v>
      </c>
      <c r="Y60" s="139">
        <f t="shared" si="6"/>
        <v>684.47780914285727</v>
      </c>
      <c r="Z60" s="139">
        <f t="shared" si="7"/>
        <v>157.61002184210531</v>
      </c>
      <c r="AA60" s="134">
        <f t="shared" si="22"/>
        <v>365.80194089664252</v>
      </c>
      <c r="AB60" s="134">
        <f t="shared" si="23"/>
        <v>27.669748325142749</v>
      </c>
      <c r="AC60" s="134"/>
      <c r="AD60" s="139"/>
      <c r="AE60" s="133"/>
      <c r="AF60" s="133"/>
      <c r="AG60" s="133"/>
      <c r="AH60" s="133"/>
      <c r="AI60" s="133"/>
      <c r="AJ60" s="133"/>
      <c r="AK60" s="133"/>
      <c r="AL60" s="134"/>
      <c r="AM60" s="134"/>
      <c r="AN60" s="136"/>
      <c r="AO60" s="139">
        <f t="shared" si="8"/>
        <v>129.94027351696258</v>
      </c>
      <c r="AP60" s="139">
        <f t="shared" si="13"/>
        <v>987.28317573115783</v>
      </c>
      <c r="AQ60" s="134">
        <f t="shared" si="9"/>
        <v>0</v>
      </c>
      <c r="AR60" s="139">
        <f t="shared" si="10"/>
        <v>987.28317573115783</v>
      </c>
      <c r="AS60" s="134">
        <f t="shared" si="11"/>
        <v>83.791758693609026</v>
      </c>
      <c r="AT60" s="134"/>
      <c r="AU60" s="134">
        <f t="shared" si="12"/>
        <v>19.745663514623157</v>
      </c>
      <c r="AV60" s="139">
        <f>+P60+AS60+AT60+AU60</f>
        <v>1220.7608714563526</v>
      </c>
      <c r="AW60" s="131"/>
      <c r="AX60" s="131"/>
      <c r="AY60" s="133">
        <f t="shared" si="24"/>
        <v>-987.28317573115783</v>
      </c>
      <c r="AZ60" s="136"/>
      <c r="BA60" s="45"/>
    </row>
    <row r="61" spans="1:53" s="18" customFormat="1" ht="15.75" customHeight="1">
      <c r="A61" s="131" t="s">
        <v>29</v>
      </c>
      <c r="B61" s="136" t="s">
        <v>154</v>
      </c>
      <c r="C61" s="132">
        <f>C60+1</f>
        <v>55</v>
      </c>
      <c r="D61" s="150" t="s">
        <v>170</v>
      </c>
      <c r="E61" s="131" t="s">
        <v>31</v>
      </c>
      <c r="F61" s="137"/>
      <c r="G61" s="133">
        <v>1099.9928571428572</v>
      </c>
      <c r="H61" s="133">
        <v>4399.971428571429</v>
      </c>
      <c r="I61" s="133">
        <f>+G61</f>
        <v>1099.9928571428572</v>
      </c>
      <c r="J61" s="133">
        <v>201.96</v>
      </c>
      <c r="K61" s="133">
        <f t="shared" si="1"/>
        <v>1301.9528571428573</v>
      </c>
      <c r="L61" s="133">
        <f>(VLOOKUP($K61,TABLAS!$G$6:$I$16,3,TRUE)/30.4)*7</f>
        <v>15.618750000000002</v>
      </c>
      <c r="M61" s="133"/>
      <c r="N61" s="133"/>
      <c r="O61" s="138"/>
      <c r="P61" s="139">
        <f t="shared" si="2"/>
        <v>1317.5716071428574</v>
      </c>
      <c r="Q61" s="139"/>
      <c r="R61" s="139"/>
      <c r="S61" s="139">
        <f t="shared" si="3"/>
        <v>1.77418202764977</v>
      </c>
      <c r="T61" s="139">
        <f t="shared" si="4"/>
        <v>157.1418367346939</v>
      </c>
      <c r="U61" s="140">
        <f>VLOOKUP($H61,TABLAS!$B$6:$E$16,4,TRUE)</f>
        <v>0.21360000000000001</v>
      </c>
      <c r="V61" s="141">
        <f>VLOOKUP($H61,TABLAS!$B$6:$E$16,1,TRUE)</f>
        <v>2371.33</v>
      </c>
      <c r="W61" s="139">
        <f t="shared" si="5"/>
        <v>2028.6414285714291</v>
      </c>
      <c r="X61" s="141">
        <f>VLOOKUP($H61,TABLAS!$B$6:$E$16,3,TRUE)</f>
        <v>251.16</v>
      </c>
      <c r="Y61" s="139">
        <f t="shared" si="6"/>
        <v>684.47780914285727</v>
      </c>
      <c r="Z61" s="139">
        <f t="shared" si="7"/>
        <v>157.61002184210531</v>
      </c>
      <c r="AA61" s="134">
        <f t="shared" si="22"/>
        <v>365.80194089664252</v>
      </c>
      <c r="AB61" s="134">
        <f t="shared" si="23"/>
        <v>27.669748325142749</v>
      </c>
      <c r="AC61" s="134"/>
      <c r="AD61" s="139"/>
      <c r="AE61" s="133"/>
      <c r="AF61" s="133"/>
      <c r="AG61" s="133"/>
      <c r="AH61" s="133"/>
      <c r="AI61" s="133"/>
      <c r="AJ61" s="133"/>
      <c r="AK61" s="133"/>
      <c r="AL61" s="134"/>
      <c r="AM61" s="134"/>
      <c r="AN61" s="136"/>
      <c r="AO61" s="139">
        <f t="shared" si="8"/>
        <v>129.94027351696258</v>
      </c>
      <c r="AP61" s="139">
        <f t="shared" si="13"/>
        <v>1187.6313336258947</v>
      </c>
      <c r="AQ61" s="134">
        <f t="shared" si="9"/>
        <v>0</v>
      </c>
      <c r="AR61" s="139">
        <f t="shared" si="10"/>
        <v>1187.6313336258947</v>
      </c>
      <c r="AS61" s="134">
        <f t="shared" si="11"/>
        <v>98.817870535714306</v>
      </c>
      <c r="AT61" s="134"/>
      <c r="AU61" s="134">
        <f t="shared" si="12"/>
        <v>23.752626672517895</v>
      </c>
      <c r="AV61" s="139">
        <f>+P61+AS61+AT61+AU61</f>
        <v>1440.1421043510895</v>
      </c>
      <c r="AW61" s="131"/>
      <c r="AX61" s="131"/>
      <c r="AY61" s="133">
        <f t="shared" si="24"/>
        <v>-1187.6313336258947</v>
      </c>
      <c r="AZ61" s="136"/>
      <c r="BA61" s="54"/>
    </row>
    <row r="62" spans="1:53" s="18" customFormat="1" ht="15.75" customHeight="1">
      <c r="A62" s="131" t="s">
        <v>29</v>
      </c>
      <c r="B62" s="136" t="s">
        <v>73</v>
      </c>
      <c r="C62" s="132">
        <f>C61+1</f>
        <v>56</v>
      </c>
      <c r="D62" s="150" t="s">
        <v>170</v>
      </c>
      <c r="E62" s="131" t="s">
        <v>31</v>
      </c>
      <c r="F62" s="137"/>
      <c r="G62" s="133">
        <v>1099.9928571428572</v>
      </c>
      <c r="H62" s="133">
        <v>4399.971428571429</v>
      </c>
      <c r="I62" s="133">
        <f>+G62</f>
        <v>1099.9928571428572</v>
      </c>
      <c r="J62" s="133">
        <v>676.56</v>
      </c>
      <c r="K62" s="133">
        <f t="shared" si="1"/>
        <v>1776.5528571428572</v>
      </c>
      <c r="L62" s="133">
        <f>(VLOOKUP($K62,TABLAS!$G$6:$I$16,3,TRUE)/30.4)*7</f>
        <v>0</v>
      </c>
      <c r="M62" s="133"/>
      <c r="N62" s="133"/>
      <c r="O62" s="138"/>
      <c r="P62" s="139">
        <f t="shared" si="2"/>
        <v>1776.5528571428572</v>
      </c>
      <c r="Q62" s="139"/>
      <c r="R62" s="139"/>
      <c r="S62" s="139">
        <f t="shared" si="3"/>
        <v>1.77418202764977</v>
      </c>
      <c r="T62" s="139">
        <f t="shared" si="4"/>
        <v>157.1418367346939</v>
      </c>
      <c r="U62" s="140">
        <f>VLOOKUP($H62,TABLAS!$B$6:$E$16,4,TRUE)</f>
        <v>0.21360000000000001</v>
      </c>
      <c r="V62" s="141">
        <f>VLOOKUP($H62,TABLAS!$B$6:$E$16,1,TRUE)</f>
        <v>2371.33</v>
      </c>
      <c r="W62" s="139">
        <f t="shared" si="5"/>
        <v>2028.6414285714291</v>
      </c>
      <c r="X62" s="141">
        <f>VLOOKUP($H62,TABLAS!$B$6:$E$16,3,TRUE)</f>
        <v>251.16</v>
      </c>
      <c r="Y62" s="139">
        <f t="shared" si="6"/>
        <v>684.47780914285727</v>
      </c>
      <c r="Z62" s="139">
        <f t="shared" si="7"/>
        <v>157.61002184210531</v>
      </c>
      <c r="AA62" s="134">
        <f t="shared" si="22"/>
        <v>365.80194089664252</v>
      </c>
      <c r="AB62" s="134">
        <f t="shared" si="23"/>
        <v>27.669748325142749</v>
      </c>
      <c r="AC62" s="134"/>
      <c r="AD62" s="139"/>
      <c r="AE62" s="133"/>
      <c r="AF62" s="133"/>
      <c r="AG62" s="133"/>
      <c r="AH62" s="133"/>
      <c r="AI62" s="133"/>
      <c r="AJ62" s="133"/>
      <c r="AK62" s="133"/>
      <c r="AL62" s="134"/>
      <c r="AM62" s="134"/>
      <c r="AN62" s="136"/>
      <c r="AO62" s="139">
        <f t="shared" si="8"/>
        <v>129.94027351696258</v>
      </c>
      <c r="AP62" s="139">
        <f t="shared" si="13"/>
        <v>1646.6125836258946</v>
      </c>
      <c r="AQ62" s="134">
        <f t="shared" si="9"/>
        <v>0</v>
      </c>
      <c r="AR62" s="139">
        <f t="shared" si="10"/>
        <v>1646.6125836258946</v>
      </c>
      <c r="AS62" s="134">
        <f t="shared" si="11"/>
        <v>133.24146428571427</v>
      </c>
      <c r="AT62" s="134"/>
      <c r="AU62" s="134">
        <f t="shared" si="12"/>
        <v>32.932251672517893</v>
      </c>
      <c r="AV62" s="139">
        <f>+P62+AS62+AT62+AU62</f>
        <v>1942.7265731010893</v>
      </c>
      <c r="AW62" s="131"/>
      <c r="AX62" s="142"/>
      <c r="AY62" s="133">
        <f t="shared" si="24"/>
        <v>-1646.6125836258946</v>
      </c>
      <c r="AZ62" s="136"/>
      <c r="BA62" s="45"/>
    </row>
    <row r="63" spans="1:53" s="18" customFormat="1" ht="15.75" customHeight="1">
      <c r="A63" s="131" t="s">
        <v>29</v>
      </c>
      <c r="B63" s="136" t="s">
        <v>120</v>
      </c>
      <c r="C63" s="132">
        <f>C62+1</f>
        <v>57</v>
      </c>
      <c r="D63" s="150" t="s">
        <v>170</v>
      </c>
      <c r="E63" s="131" t="s">
        <v>31</v>
      </c>
      <c r="F63" s="137"/>
      <c r="G63" s="133">
        <v>1099.9928571428572</v>
      </c>
      <c r="H63" s="133">
        <v>4399.971428571429</v>
      </c>
      <c r="I63" s="133">
        <f>+G63</f>
        <v>1099.9928571428572</v>
      </c>
      <c r="J63" s="133">
        <v>3476.52</v>
      </c>
      <c r="K63" s="133">
        <f t="shared" si="1"/>
        <v>4576.5128571428577</v>
      </c>
      <c r="L63" s="133">
        <f>(VLOOKUP($K63,TABLAS!$G$6:$I$16,3,TRUE)/30.4)*7</f>
        <v>0</v>
      </c>
      <c r="M63" s="133"/>
      <c r="N63" s="133"/>
      <c r="O63" s="138"/>
      <c r="P63" s="139">
        <f t="shared" si="2"/>
        <v>4576.5128571428577</v>
      </c>
      <c r="Q63" s="139"/>
      <c r="R63" s="139"/>
      <c r="S63" s="139">
        <f t="shared" si="3"/>
        <v>1.77418202764977</v>
      </c>
      <c r="T63" s="139">
        <f t="shared" si="4"/>
        <v>157.1418367346939</v>
      </c>
      <c r="U63" s="140">
        <f>VLOOKUP($H63,TABLAS!$B$6:$E$16,4,TRUE)</f>
        <v>0.21360000000000001</v>
      </c>
      <c r="V63" s="141">
        <f>VLOOKUP($H63,TABLAS!$B$6:$E$16,1,TRUE)</f>
        <v>2371.33</v>
      </c>
      <c r="W63" s="139">
        <f t="shared" si="5"/>
        <v>2028.6414285714291</v>
      </c>
      <c r="X63" s="141">
        <f>VLOOKUP($H63,TABLAS!$B$6:$E$16,3,TRUE)</f>
        <v>251.16</v>
      </c>
      <c r="Y63" s="139">
        <f t="shared" si="6"/>
        <v>684.47780914285727</v>
      </c>
      <c r="Z63" s="139">
        <f t="shared" si="7"/>
        <v>157.61002184210531</v>
      </c>
      <c r="AA63" s="134">
        <f t="shared" si="22"/>
        <v>365.80194089664252</v>
      </c>
      <c r="AB63" s="134">
        <f t="shared" si="23"/>
        <v>27.669748325142749</v>
      </c>
      <c r="AC63" s="134"/>
      <c r="AD63" s="139"/>
      <c r="AE63" s="133"/>
      <c r="AF63" s="133"/>
      <c r="AG63" s="133"/>
      <c r="AH63" s="133"/>
      <c r="AI63" s="133"/>
      <c r="AJ63" s="133"/>
      <c r="AK63" s="133"/>
      <c r="AL63" s="134"/>
      <c r="AM63" s="134"/>
      <c r="AN63" s="136"/>
      <c r="AO63" s="139">
        <f t="shared" si="8"/>
        <v>129.94027351696258</v>
      </c>
      <c r="AP63" s="139">
        <f t="shared" si="13"/>
        <v>4446.5725836258953</v>
      </c>
      <c r="AQ63" s="134">
        <f t="shared" si="9"/>
        <v>343.23846428571431</v>
      </c>
      <c r="AR63" s="139">
        <f t="shared" si="10"/>
        <v>4103.3341193401811</v>
      </c>
      <c r="AS63" s="134">
        <f t="shared" si="11"/>
        <v>0</v>
      </c>
      <c r="AT63" s="134"/>
      <c r="AU63" s="134">
        <f t="shared" si="12"/>
        <v>88.931451672517909</v>
      </c>
      <c r="AV63" s="139">
        <f>+P63+AS63+AT63+AU63</f>
        <v>4665.4443088153757</v>
      </c>
      <c r="AW63" s="131"/>
      <c r="AX63" s="142"/>
      <c r="AY63" s="133">
        <f t="shared" si="24"/>
        <v>-4103.3341193401811</v>
      </c>
      <c r="AZ63" s="136"/>
      <c r="BA63" s="45"/>
    </row>
    <row r="64" spans="1:53" s="18" customFormat="1" ht="15.75" customHeight="1">
      <c r="A64" s="131" t="s">
        <v>29</v>
      </c>
      <c r="B64" s="136" t="s">
        <v>155</v>
      </c>
      <c r="C64" s="132">
        <f>C63+1</f>
        <v>58</v>
      </c>
      <c r="D64" s="150" t="s">
        <v>170</v>
      </c>
      <c r="E64" s="131" t="s">
        <v>31</v>
      </c>
      <c r="F64" s="137"/>
      <c r="G64" s="133">
        <v>1099.9928571428572</v>
      </c>
      <c r="H64" s="133">
        <v>4399.971428571429</v>
      </c>
      <c r="I64" s="133">
        <f>+G64</f>
        <v>1099.9928571428572</v>
      </c>
      <c r="J64" s="133">
        <v>6724.87</v>
      </c>
      <c r="K64" s="133">
        <f t="shared" si="1"/>
        <v>7824.8628571428571</v>
      </c>
      <c r="L64" s="133">
        <f>(VLOOKUP($K64,TABLAS!$G$6:$I$16,3,TRUE)/30.4)*7</f>
        <v>0</v>
      </c>
      <c r="M64" s="133"/>
      <c r="N64" s="133"/>
      <c r="O64" s="138"/>
      <c r="P64" s="139">
        <f t="shared" si="2"/>
        <v>7824.8628571428571</v>
      </c>
      <c r="Q64" s="139"/>
      <c r="R64" s="139"/>
      <c r="S64" s="139">
        <f t="shared" si="3"/>
        <v>1.77418202764977</v>
      </c>
      <c r="T64" s="139">
        <f t="shared" si="4"/>
        <v>157.1418367346939</v>
      </c>
      <c r="U64" s="140">
        <f>VLOOKUP($H64,TABLAS!$B$6:$E$16,4,TRUE)</f>
        <v>0.21360000000000001</v>
      </c>
      <c r="V64" s="141">
        <f>VLOOKUP($H64,TABLAS!$B$6:$E$16,1,TRUE)</f>
        <v>2371.33</v>
      </c>
      <c r="W64" s="139">
        <f t="shared" si="5"/>
        <v>2028.6414285714291</v>
      </c>
      <c r="X64" s="141">
        <f>VLOOKUP($H64,TABLAS!$B$6:$E$16,3,TRUE)</f>
        <v>251.16</v>
      </c>
      <c r="Y64" s="139">
        <f t="shared" si="6"/>
        <v>684.47780914285727</v>
      </c>
      <c r="Z64" s="139">
        <f t="shared" si="7"/>
        <v>157.61002184210531</v>
      </c>
      <c r="AA64" s="134">
        <f t="shared" si="22"/>
        <v>365.80194089664252</v>
      </c>
      <c r="AB64" s="134">
        <f t="shared" si="23"/>
        <v>27.669748325142749</v>
      </c>
      <c r="AC64" s="134"/>
      <c r="AD64" s="139"/>
      <c r="AE64" s="133"/>
      <c r="AF64" s="133"/>
      <c r="AG64" s="133"/>
      <c r="AH64" s="133"/>
      <c r="AI64" s="133"/>
      <c r="AJ64" s="133"/>
      <c r="AK64" s="133"/>
      <c r="AL64" s="134"/>
      <c r="AM64" s="134"/>
      <c r="AN64" s="136"/>
      <c r="AO64" s="139">
        <f t="shared" si="8"/>
        <v>129.94027351696258</v>
      </c>
      <c r="AP64" s="139">
        <f t="shared" si="13"/>
        <v>7694.9225836258947</v>
      </c>
      <c r="AQ64" s="134">
        <f t="shared" si="9"/>
        <v>586.86471428571429</v>
      </c>
      <c r="AR64" s="139">
        <f t="shared" si="10"/>
        <v>7108.0578693401803</v>
      </c>
      <c r="AS64" s="134">
        <f t="shared" si="11"/>
        <v>0</v>
      </c>
      <c r="AT64" s="134"/>
      <c r="AU64" s="134">
        <f t="shared" si="12"/>
        <v>153.89845167251789</v>
      </c>
      <c r="AV64" s="139">
        <f>+P64+AS64+AT64+AU64</f>
        <v>7978.7613088153748</v>
      </c>
      <c r="AW64" s="131"/>
      <c r="AX64" s="142"/>
      <c r="AY64" s="133">
        <f t="shared" si="24"/>
        <v>-7108.0578693401803</v>
      </c>
      <c r="AZ64" s="136"/>
      <c r="BA64" s="42"/>
    </row>
    <row r="65" spans="1:53" s="18" customFormat="1" ht="15.75" customHeight="1">
      <c r="A65" s="131" t="s">
        <v>29</v>
      </c>
      <c r="B65" s="136" t="s">
        <v>87</v>
      </c>
      <c r="C65" s="132">
        <f>C64+1</f>
        <v>59</v>
      </c>
      <c r="D65" s="150" t="s">
        <v>170</v>
      </c>
      <c r="E65" s="131" t="s">
        <v>31</v>
      </c>
      <c r="F65" s="137"/>
      <c r="G65" s="133">
        <v>1099.9928571428572</v>
      </c>
      <c r="H65" s="133">
        <v>4399.971428571429</v>
      </c>
      <c r="I65" s="133">
        <f>+G65</f>
        <v>1099.9928571428572</v>
      </c>
      <c r="J65" s="133">
        <v>7403.57</v>
      </c>
      <c r="K65" s="133">
        <f t="shared" si="1"/>
        <v>8503.562857142857</v>
      </c>
      <c r="L65" s="133">
        <f>(VLOOKUP($K65,TABLAS!$G$6:$I$16,3,TRUE)/30.4)*7</f>
        <v>0</v>
      </c>
      <c r="M65" s="133"/>
      <c r="N65" s="133"/>
      <c r="O65" s="138"/>
      <c r="P65" s="139">
        <f t="shared" si="2"/>
        <v>8503.562857142857</v>
      </c>
      <c r="Q65" s="139"/>
      <c r="R65" s="139"/>
      <c r="S65" s="139">
        <f t="shared" si="3"/>
        <v>1.77418202764977</v>
      </c>
      <c r="T65" s="139">
        <f t="shared" si="4"/>
        <v>157.1418367346939</v>
      </c>
      <c r="U65" s="140">
        <f>VLOOKUP($H65,TABLAS!$B$6:$E$16,4,TRUE)</f>
        <v>0.21360000000000001</v>
      </c>
      <c r="V65" s="141">
        <f>VLOOKUP($H65,TABLAS!$B$6:$E$16,1,TRUE)</f>
        <v>2371.33</v>
      </c>
      <c r="W65" s="139">
        <f t="shared" si="5"/>
        <v>2028.6414285714291</v>
      </c>
      <c r="X65" s="141">
        <f>VLOOKUP($H65,TABLAS!$B$6:$E$16,3,TRUE)</f>
        <v>251.16</v>
      </c>
      <c r="Y65" s="139">
        <f t="shared" si="6"/>
        <v>684.47780914285727</v>
      </c>
      <c r="Z65" s="139">
        <f t="shared" si="7"/>
        <v>157.61002184210531</v>
      </c>
      <c r="AA65" s="134">
        <f t="shared" si="22"/>
        <v>365.80194089664252</v>
      </c>
      <c r="AB65" s="134">
        <f t="shared" si="23"/>
        <v>27.669748325142749</v>
      </c>
      <c r="AC65" s="134"/>
      <c r="AD65" s="139"/>
      <c r="AE65" s="133"/>
      <c r="AF65" s="133"/>
      <c r="AG65" s="133"/>
      <c r="AH65" s="133"/>
      <c r="AI65" s="133"/>
      <c r="AJ65" s="133"/>
      <c r="AK65" s="133"/>
      <c r="AL65" s="134"/>
      <c r="AM65" s="134"/>
      <c r="AN65" s="136"/>
      <c r="AO65" s="139">
        <f t="shared" si="8"/>
        <v>129.94027351696258</v>
      </c>
      <c r="AP65" s="139">
        <f t="shared" si="13"/>
        <v>8373.6225836258945</v>
      </c>
      <c r="AQ65" s="134">
        <f t="shared" si="9"/>
        <v>637.7672142857142</v>
      </c>
      <c r="AR65" s="139">
        <f t="shared" si="10"/>
        <v>7735.85536934018</v>
      </c>
      <c r="AS65" s="134">
        <f t="shared" si="11"/>
        <v>0</v>
      </c>
      <c r="AT65" s="134"/>
      <c r="AU65" s="134">
        <f t="shared" si="12"/>
        <v>167.47245167251791</v>
      </c>
      <c r="AV65" s="139">
        <f>+P65+AS65+AT65+AU65</f>
        <v>8671.0353088153752</v>
      </c>
      <c r="AW65" s="131"/>
      <c r="AX65" s="131"/>
      <c r="AY65" s="133">
        <f t="shared" si="24"/>
        <v>-7735.85536934018</v>
      </c>
      <c r="AZ65" s="136"/>
      <c r="BA65" s="42"/>
    </row>
    <row r="66" spans="1:53" s="18" customFormat="1" ht="15.75" customHeight="1">
      <c r="A66" s="131" t="s">
        <v>29</v>
      </c>
      <c r="B66" s="136" t="s">
        <v>116</v>
      </c>
      <c r="C66" s="132">
        <f>C65+1</f>
        <v>60</v>
      </c>
      <c r="D66" s="150" t="s">
        <v>170</v>
      </c>
      <c r="E66" s="131" t="s">
        <v>31</v>
      </c>
      <c r="F66" s="137"/>
      <c r="G66" s="133">
        <v>1099.9928571428572</v>
      </c>
      <c r="H66" s="133">
        <v>4399.971428571429</v>
      </c>
      <c r="I66" s="133">
        <f>+G66</f>
        <v>1099.9928571428572</v>
      </c>
      <c r="J66" s="133"/>
      <c r="K66" s="133">
        <f t="shared" si="1"/>
        <v>1099.9928571428572</v>
      </c>
      <c r="L66" s="133">
        <f>(VLOOKUP($K66,TABLAS!$G$6:$I$16,3,TRUE)/30.4)*7</f>
        <v>17.23059210526316</v>
      </c>
      <c r="M66" s="133"/>
      <c r="N66" s="133"/>
      <c r="O66" s="138"/>
      <c r="P66" s="139">
        <f t="shared" si="2"/>
        <v>1117.2234492481205</v>
      </c>
      <c r="Q66" s="139"/>
      <c r="R66" s="139"/>
      <c r="S66" s="139">
        <f t="shared" si="3"/>
        <v>1.77418202764977</v>
      </c>
      <c r="T66" s="139">
        <f t="shared" si="4"/>
        <v>157.1418367346939</v>
      </c>
      <c r="U66" s="140">
        <f>VLOOKUP($H66,TABLAS!$B$6:$E$16,4,TRUE)</f>
        <v>0.21360000000000001</v>
      </c>
      <c r="V66" s="141">
        <f>VLOOKUP($H66,TABLAS!$B$6:$E$16,1,TRUE)</f>
        <v>2371.33</v>
      </c>
      <c r="W66" s="139">
        <f t="shared" si="5"/>
        <v>2028.6414285714291</v>
      </c>
      <c r="X66" s="141">
        <f>VLOOKUP($H66,TABLAS!$B$6:$E$16,3,TRUE)</f>
        <v>251.16</v>
      </c>
      <c r="Y66" s="139">
        <f t="shared" si="6"/>
        <v>684.47780914285727</v>
      </c>
      <c r="Z66" s="139">
        <f t="shared" si="7"/>
        <v>157.61002184210531</v>
      </c>
      <c r="AA66" s="134">
        <f t="shared" si="22"/>
        <v>365.80194089664252</v>
      </c>
      <c r="AB66" s="134">
        <f t="shared" si="23"/>
        <v>27.669748325142749</v>
      </c>
      <c r="AC66" s="134"/>
      <c r="AD66" s="139"/>
      <c r="AE66" s="133"/>
      <c r="AF66" s="133"/>
      <c r="AG66" s="133"/>
      <c r="AH66" s="133"/>
      <c r="AI66" s="133"/>
      <c r="AJ66" s="133"/>
      <c r="AK66" s="133"/>
      <c r="AL66" s="134"/>
      <c r="AM66" s="134"/>
      <c r="AN66" s="136"/>
      <c r="AO66" s="139">
        <f t="shared" si="8"/>
        <v>129.94027351696258</v>
      </c>
      <c r="AP66" s="139">
        <f t="shared" si="13"/>
        <v>987.28317573115783</v>
      </c>
      <c r="AQ66" s="134">
        <f t="shared" si="9"/>
        <v>0</v>
      </c>
      <c r="AR66" s="139">
        <f t="shared" si="10"/>
        <v>987.28317573115783</v>
      </c>
      <c r="AS66" s="134">
        <f t="shared" si="11"/>
        <v>83.791758693609026</v>
      </c>
      <c r="AT66" s="134"/>
      <c r="AU66" s="134">
        <f t="shared" si="12"/>
        <v>19.745663514623157</v>
      </c>
      <c r="AV66" s="139">
        <f>+P66+AS66+AT66+AU66</f>
        <v>1220.7608714563526</v>
      </c>
      <c r="AW66" s="131"/>
      <c r="AX66" s="142"/>
      <c r="AY66" s="133">
        <f t="shared" si="24"/>
        <v>-987.28317573115783</v>
      </c>
      <c r="AZ66" s="136"/>
      <c r="BA66" s="45"/>
    </row>
    <row r="67" spans="1:53" s="18" customFormat="1" ht="15.75" customHeight="1">
      <c r="A67" s="131" t="s">
        <v>29</v>
      </c>
      <c r="B67" s="136" t="s">
        <v>123</v>
      </c>
      <c r="C67" s="132">
        <f>C66+1</f>
        <v>61</v>
      </c>
      <c r="D67" s="150" t="s">
        <v>170</v>
      </c>
      <c r="E67" s="131" t="s">
        <v>31</v>
      </c>
      <c r="F67" s="137"/>
      <c r="G67" s="133">
        <v>1099.9928571428572</v>
      </c>
      <c r="H67" s="133">
        <v>4399.971428571429</v>
      </c>
      <c r="I67" s="133">
        <f>+G67</f>
        <v>1099.9928571428572</v>
      </c>
      <c r="J67" s="133">
        <v>4801.93</v>
      </c>
      <c r="K67" s="133">
        <f t="shared" si="1"/>
        <v>5901.9228571428575</v>
      </c>
      <c r="L67" s="133">
        <f>(VLOOKUP($K67,TABLAS!$G$6:$I$16,3,TRUE)/30.4)*7</f>
        <v>0</v>
      </c>
      <c r="M67" s="133"/>
      <c r="N67" s="133"/>
      <c r="O67" s="138"/>
      <c r="P67" s="139">
        <f t="shared" si="2"/>
        <v>5901.9228571428575</v>
      </c>
      <c r="Q67" s="139"/>
      <c r="R67" s="139"/>
      <c r="S67" s="139">
        <f t="shared" si="3"/>
        <v>1.77418202764977</v>
      </c>
      <c r="T67" s="139">
        <f t="shared" si="4"/>
        <v>157.1418367346939</v>
      </c>
      <c r="U67" s="140">
        <f>VLOOKUP($H67,TABLAS!$B$6:$E$16,4,TRUE)</f>
        <v>0.21360000000000001</v>
      </c>
      <c r="V67" s="141">
        <f>VLOOKUP($H67,TABLAS!$B$6:$E$16,1,TRUE)</f>
        <v>2371.33</v>
      </c>
      <c r="W67" s="139">
        <f t="shared" si="5"/>
        <v>2028.6414285714291</v>
      </c>
      <c r="X67" s="141">
        <f>VLOOKUP($H67,TABLAS!$B$6:$E$16,3,TRUE)</f>
        <v>251.16</v>
      </c>
      <c r="Y67" s="139">
        <f t="shared" si="6"/>
        <v>684.47780914285727</v>
      </c>
      <c r="Z67" s="139">
        <f t="shared" si="7"/>
        <v>157.61002184210531</v>
      </c>
      <c r="AA67" s="134">
        <f t="shared" si="22"/>
        <v>365.80194089664252</v>
      </c>
      <c r="AB67" s="134">
        <f t="shared" si="23"/>
        <v>27.669748325142749</v>
      </c>
      <c r="AC67" s="134"/>
      <c r="AD67" s="139"/>
      <c r="AE67" s="133"/>
      <c r="AF67" s="133"/>
      <c r="AG67" s="133"/>
      <c r="AH67" s="133"/>
      <c r="AI67" s="133"/>
      <c r="AJ67" s="133"/>
      <c r="AK67" s="133"/>
      <c r="AL67" s="134"/>
      <c r="AM67" s="134"/>
      <c r="AN67" s="136"/>
      <c r="AO67" s="139">
        <f t="shared" si="8"/>
        <v>129.94027351696258</v>
      </c>
      <c r="AP67" s="139">
        <f t="shared" si="13"/>
        <v>5771.9825836258951</v>
      </c>
      <c r="AQ67" s="134">
        <f t="shared" si="9"/>
        <v>442.64421428571433</v>
      </c>
      <c r="AR67" s="139">
        <f t="shared" si="10"/>
        <v>5329.3383693401811</v>
      </c>
      <c r="AS67" s="134">
        <f t="shared" si="11"/>
        <v>0</v>
      </c>
      <c r="AT67" s="134"/>
      <c r="AU67" s="134">
        <f t="shared" si="12"/>
        <v>115.43965167251791</v>
      </c>
      <c r="AV67" s="139">
        <f>+P67+AS67+AT67+AU67</f>
        <v>6017.3625088153758</v>
      </c>
      <c r="AW67" s="131"/>
      <c r="AX67" s="131"/>
      <c r="AY67" s="133">
        <f t="shared" si="24"/>
        <v>-5329.3383693401811</v>
      </c>
      <c r="AZ67" s="136"/>
      <c r="BA67" s="42"/>
    </row>
    <row r="68" spans="1:53" s="18" customFormat="1" ht="15.75" customHeight="1">
      <c r="A68" s="131" t="s">
        <v>29</v>
      </c>
      <c r="B68" s="136" t="s">
        <v>69</v>
      </c>
      <c r="C68" s="132">
        <f>C67+1</f>
        <v>62</v>
      </c>
      <c r="D68" s="150" t="s">
        <v>170</v>
      </c>
      <c r="E68" s="131" t="s">
        <v>31</v>
      </c>
      <c r="F68" s="137"/>
      <c r="G68" s="133">
        <v>1099.9928571428572</v>
      </c>
      <c r="H68" s="133">
        <v>4399.971428571429</v>
      </c>
      <c r="I68" s="133">
        <f>+G68</f>
        <v>1099.9928571428572</v>
      </c>
      <c r="J68" s="133"/>
      <c r="K68" s="133">
        <f t="shared" si="1"/>
        <v>1099.9928571428572</v>
      </c>
      <c r="L68" s="133">
        <f>(VLOOKUP($K68,TABLAS!$G$6:$I$16,3,TRUE)/30.4)*7</f>
        <v>17.23059210526316</v>
      </c>
      <c r="M68" s="133"/>
      <c r="N68" s="133"/>
      <c r="O68" s="138"/>
      <c r="P68" s="139">
        <f t="shared" si="2"/>
        <v>1117.2234492481205</v>
      </c>
      <c r="Q68" s="139"/>
      <c r="R68" s="139"/>
      <c r="S68" s="139">
        <f t="shared" si="3"/>
        <v>1.77418202764977</v>
      </c>
      <c r="T68" s="139">
        <f t="shared" si="4"/>
        <v>157.1418367346939</v>
      </c>
      <c r="U68" s="140">
        <f>VLOOKUP($H68,TABLAS!$B$6:$E$16,4,TRUE)</f>
        <v>0.21360000000000001</v>
      </c>
      <c r="V68" s="141">
        <f>VLOOKUP($H68,TABLAS!$B$6:$E$16,1,TRUE)</f>
        <v>2371.33</v>
      </c>
      <c r="W68" s="139">
        <f t="shared" si="5"/>
        <v>2028.6414285714291</v>
      </c>
      <c r="X68" s="141">
        <f>VLOOKUP($H68,TABLAS!$B$6:$E$16,3,TRUE)</f>
        <v>251.16</v>
      </c>
      <c r="Y68" s="139">
        <f t="shared" si="6"/>
        <v>684.47780914285727</v>
      </c>
      <c r="Z68" s="139">
        <f t="shared" si="7"/>
        <v>157.61002184210531</v>
      </c>
      <c r="AA68" s="134">
        <f t="shared" si="22"/>
        <v>365.80194089664252</v>
      </c>
      <c r="AB68" s="134">
        <f t="shared" si="23"/>
        <v>27.669748325142749</v>
      </c>
      <c r="AC68" s="134"/>
      <c r="AD68" s="139"/>
      <c r="AE68" s="133"/>
      <c r="AF68" s="133"/>
      <c r="AG68" s="133"/>
      <c r="AH68" s="133"/>
      <c r="AI68" s="133"/>
      <c r="AJ68" s="133"/>
      <c r="AK68" s="133"/>
      <c r="AL68" s="134"/>
      <c r="AM68" s="134"/>
      <c r="AN68" s="136"/>
      <c r="AO68" s="139">
        <f t="shared" si="8"/>
        <v>129.94027351696258</v>
      </c>
      <c r="AP68" s="139">
        <f t="shared" si="13"/>
        <v>987.28317573115783</v>
      </c>
      <c r="AQ68" s="134">
        <f t="shared" si="9"/>
        <v>0</v>
      </c>
      <c r="AR68" s="139">
        <f t="shared" si="10"/>
        <v>987.28317573115783</v>
      </c>
      <c r="AS68" s="134">
        <f t="shared" si="11"/>
        <v>83.791758693609026</v>
      </c>
      <c r="AT68" s="134"/>
      <c r="AU68" s="134">
        <f t="shared" si="12"/>
        <v>19.745663514623157</v>
      </c>
      <c r="AV68" s="139">
        <f>+P68+AS68+AT68+AU68</f>
        <v>1220.7608714563526</v>
      </c>
      <c r="AW68" s="131"/>
      <c r="AX68" s="142"/>
      <c r="AY68" s="133">
        <f t="shared" si="24"/>
        <v>-987.28317573115783</v>
      </c>
      <c r="AZ68" s="136"/>
      <c r="BA68" s="42"/>
    </row>
    <row r="69" spans="1:53" s="18" customFormat="1" ht="15.75" customHeight="1">
      <c r="A69" s="131" t="s">
        <v>29</v>
      </c>
      <c r="B69" s="136" t="s">
        <v>88</v>
      </c>
      <c r="C69" s="132">
        <f>C68+1</f>
        <v>63</v>
      </c>
      <c r="D69" s="150" t="s">
        <v>170</v>
      </c>
      <c r="E69" s="131" t="s">
        <v>31</v>
      </c>
      <c r="F69" s="137"/>
      <c r="G69" s="133">
        <v>1099.9928571428572</v>
      </c>
      <c r="H69" s="133">
        <v>4399.971428571429</v>
      </c>
      <c r="I69" s="133">
        <f>+G69</f>
        <v>1099.9928571428572</v>
      </c>
      <c r="J69" s="133"/>
      <c r="K69" s="133">
        <f t="shared" si="1"/>
        <v>1099.9928571428572</v>
      </c>
      <c r="L69" s="133">
        <f>(VLOOKUP($K69,TABLAS!$G$6:$I$16,3,TRUE)/30.4)*7</f>
        <v>17.23059210526316</v>
      </c>
      <c r="M69" s="133"/>
      <c r="N69" s="133"/>
      <c r="O69" s="138"/>
      <c r="P69" s="139">
        <f t="shared" si="2"/>
        <v>1117.2234492481205</v>
      </c>
      <c r="Q69" s="139"/>
      <c r="R69" s="139"/>
      <c r="S69" s="139">
        <f t="shared" si="3"/>
        <v>1.77418202764977</v>
      </c>
      <c r="T69" s="139">
        <f t="shared" si="4"/>
        <v>157.1418367346939</v>
      </c>
      <c r="U69" s="140">
        <f>VLOOKUP($H69,TABLAS!$B$6:$E$16,4,TRUE)</f>
        <v>0.21360000000000001</v>
      </c>
      <c r="V69" s="141">
        <f>VLOOKUP($H69,TABLAS!$B$6:$E$16,1,TRUE)</f>
        <v>2371.33</v>
      </c>
      <c r="W69" s="139">
        <f t="shared" si="5"/>
        <v>2028.6414285714291</v>
      </c>
      <c r="X69" s="141">
        <f>VLOOKUP($H69,TABLAS!$B$6:$E$16,3,TRUE)</f>
        <v>251.16</v>
      </c>
      <c r="Y69" s="139">
        <f t="shared" si="6"/>
        <v>684.47780914285727</v>
      </c>
      <c r="Z69" s="139">
        <f t="shared" si="7"/>
        <v>157.61002184210531</v>
      </c>
      <c r="AA69" s="134">
        <f t="shared" si="22"/>
        <v>365.80194089664252</v>
      </c>
      <c r="AB69" s="134">
        <f t="shared" si="23"/>
        <v>27.669748325142749</v>
      </c>
      <c r="AC69" s="134"/>
      <c r="AD69" s="139"/>
      <c r="AE69" s="133"/>
      <c r="AF69" s="133"/>
      <c r="AG69" s="133"/>
      <c r="AH69" s="133"/>
      <c r="AI69" s="133"/>
      <c r="AJ69" s="133"/>
      <c r="AK69" s="133"/>
      <c r="AL69" s="134"/>
      <c r="AM69" s="134"/>
      <c r="AN69" s="136"/>
      <c r="AO69" s="139">
        <f t="shared" si="8"/>
        <v>129.94027351696258</v>
      </c>
      <c r="AP69" s="139">
        <f t="shared" si="13"/>
        <v>987.28317573115783</v>
      </c>
      <c r="AQ69" s="134">
        <f t="shared" si="9"/>
        <v>0</v>
      </c>
      <c r="AR69" s="139">
        <f t="shared" si="10"/>
        <v>987.28317573115783</v>
      </c>
      <c r="AS69" s="134">
        <f t="shared" si="11"/>
        <v>83.791758693609026</v>
      </c>
      <c r="AT69" s="134"/>
      <c r="AU69" s="134">
        <f t="shared" si="12"/>
        <v>19.745663514623157</v>
      </c>
      <c r="AV69" s="139">
        <f>+P69+AS69+AT69+AU69</f>
        <v>1220.7608714563526</v>
      </c>
      <c r="AW69" s="131"/>
      <c r="AX69" s="131"/>
      <c r="AY69" s="133">
        <f t="shared" si="24"/>
        <v>-987.28317573115783</v>
      </c>
      <c r="AZ69" s="136"/>
      <c r="BA69" s="45"/>
    </row>
    <row r="70" spans="1:53" s="18" customFormat="1" ht="15.75" customHeight="1">
      <c r="A70" s="131" t="s">
        <v>29</v>
      </c>
      <c r="B70" s="136" t="s">
        <v>98</v>
      </c>
      <c r="C70" s="132">
        <f>C69+1</f>
        <v>64</v>
      </c>
      <c r="D70" s="150" t="s">
        <v>170</v>
      </c>
      <c r="E70" s="131" t="s">
        <v>31</v>
      </c>
      <c r="F70" s="137"/>
      <c r="G70" s="133">
        <v>1099.9928571428572</v>
      </c>
      <c r="H70" s="133">
        <v>4399.971428571429</v>
      </c>
      <c r="I70" s="133">
        <f>+G70</f>
        <v>1099.9928571428572</v>
      </c>
      <c r="J70" s="133">
        <v>3190.75</v>
      </c>
      <c r="K70" s="133">
        <f t="shared" si="1"/>
        <v>4290.7428571428572</v>
      </c>
      <c r="L70" s="133">
        <f>(VLOOKUP($K70,TABLAS!$G$6:$I$16,3,TRUE)/30.4)*7</f>
        <v>0</v>
      </c>
      <c r="M70" s="133"/>
      <c r="N70" s="133"/>
      <c r="O70" s="138"/>
      <c r="P70" s="139">
        <f t="shared" si="2"/>
        <v>4290.7428571428572</v>
      </c>
      <c r="Q70" s="139"/>
      <c r="R70" s="139"/>
      <c r="S70" s="139">
        <f t="shared" si="3"/>
        <v>1.77418202764977</v>
      </c>
      <c r="T70" s="139">
        <f t="shared" si="4"/>
        <v>157.1418367346939</v>
      </c>
      <c r="U70" s="140">
        <f>VLOOKUP($H70,TABLAS!$B$6:$E$16,4,TRUE)</f>
        <v>0.21360000000000001</v>
      </c>
      <c r="V70" s="141">
        <f>VLOOKUP($H70,TABLAS!$B$6:$E$16,1,TRUE)</f>
        <v>2371.33</v>
      </c>
      <c r="W70" s="139">
        <f t="shared" si="5"/>
        <v>2028.6414285714291</v>
      </c>
      <c r="X70" s="141">
        <f>VLOOKUP($H70,TABLAS!$B$6:$E$16,3,TRUE)</f>
        <v>251.16</v>
      </c>
      <c r="Y70" s="139">
        <f t="shared" si="6"/>
        <v>684.47780914285727</v>
      </c>
      <c r="Z70" s="139">
        <f t="shared" si="7"/>
        <v>157.61002184210531</v>
      </c>
      <c r="AA70" s="134">
        <f t="shared" si="22"/>
        <v>365.80194089664252</v>
      </c>
      <c r="AB70" s="134">
        <f t="shared" si="23"/>
        <v>27.669748325142749</v>
      </c>
      <c r="AC70" s="134"/>
      <c r="AD70" s="139"/>
      <c r="AE70" s="133"/>
      <c r="AF70" s="133"/>
      <c r="AG70" s="133"/>
      <c r="AH70" s="133"/>
      <c r="AI70" s="133"/>
      <c r="AJ70" s="133"/>
      <c r="AK70" s="133"/>
      <c r="AL70" s="134"/>
      <c r="AM70" s="134"/>
      <c r="AN70" s="136"/>
      <c r="AO70" s="139">
        <f t="shared" si="8"/>
        <v>129.94027351696258</v>
      </c>
      <c r="AP70" s="139">
        <f t="shared" si="13"/>
        <v>4160.8025836258948</v>
      </c>
      <c r="AQ70" s="134">
        <f t="shared" si="9"/>
        <v>321.80571428571426</v>
      </c>
      <c r="AR70" s="139">
        <f t="shared" si="10"/>
        <v>3838.9968693401806</v>
      </c>
      <c r="AS70" s="134">
        <f t="shared" si="11"/>
        <v>0</v>
      </c>
      <c r="AT70" s="134"/>
      <c r="AU70" s="134">
        <f t="shared" si="12"/>
        <v>83.216051672517892</v>
      </c>
      <c r="AV70" s="139">
        <f>+P70+AS70+AT70+AU70</f>
        <v>4373.9589088153753</v>
      </c>
      <c r="AW70" s="131"/>
      <c r="AX70" s="142"/>
      <c r="AY70" s="133">
        <f t="shared" si="24"/>
        <v>-3838.9968693401806</v>
      </c>
      <c r="AZ70" s="135"/>
      <c r="BA70" s="42"/>
    </row>
    <row r="71" spans="1:53" s="18" customFormat="1" ht="15.75" customHeight="1">
      <c r="A71" s="131" t="s">
        <v>29</v>
      </c>
      <c r="B71" s="136" t="s">
        <v>138</v>
      </c>
      <c r="C71" s="132">
        <f>C70+1</f>
        <v>65</v>
      </c>
      <c r="D71" s="151" t="s">
        <v>170</v>
      </c>
      <c r="E71" s="131" t="s">
        <v>31</v>
      </c>
      <c r="F71" s="137"/>
      <c r="G71" s="133">
        <v>1099.9928571428572</v>
      </c>
      <c r="H71" s="133">
        <v>4399.971428571429</v>
      </c>
      <c r="I71" s="133">
        <f>+G71</f>
        <v>1099.9928571428572</v>
      </c>
      <c r="J71" s="133">
        <v>1422.15</v>
      </c>
      <c r="K71" s="133">
        <f t="shared" si="1"/>
        <v>2522.1428571428573</v>
      </c>
      <c r="L71" s="133">
        <f>(VLOOKUP($K71,TABLAS!$G$6:$I$16,3,TRUE)/30.4)*7</f>
        <v>0</v>
      </c>
      <c r="M71" s="133"/>
      <c r="N71" s="133"/>
      <c r="O71" s="138"/>
      <c r="P71" s="139">
        <f t="shared" si="2"/>
        <v>2522.1428571428573</v>
      </c>
      <c r="Q71" s="139"/>
      <c r="R71" s="139"/>
      <c r="S71" s="139">
        <f t="shared" si="3"/>
        <v>1.77418202764977</v>
      </c>
      <c r="T71" s="139">
        <f t="shared" si="4"/>
        <v>157.1418367346939</v>
      </c>
      <c r="U71" s="140">
        <f>VLOOKUP($H71,TABLAS!$B$6:$E$16,4,TRUE)</f>
        <v>0.21360000000000001</v>
      </c>
      <c r="V71" s="141">
        <f>VLOOKUP($H71,TABLAS!$B$6:$E$16,1,TRUE)</f>
        <v>2371.33</v>
      </c>
      <c r="W71" s="139">
        <f t="shared" si="5"/>
        <v>2028.6414285714291</v>
      </c>
      <c r="X71" s="141">
        <f>VLOOKUP($H71,TABLAS!$B$6:$E$16,3,TRUE)</f>
        <v>251.16</v>
      </c>
      <c r="Y71" s="139">
        <f t="shared" si="6"/>
        <v>684.47780914285727</v>
      </c>
      <c r="Z71" s="139">
        <f t="shared" si="7"/>
        <v>157.61002184210531</v>
      </c>
      <c r="AA71" s="134">
        <f t="shared" si="22"/>
        <v>365.80194089664252</v>
      </c>
      <c r="AB71" s="134">
        <f t="shared" si="23"/>
        <v>27.669748325142749</v>
      </c>
      <c r="AC71" s="134"/>
      <c r="AD71" s="139"/>
      <c r="AE71" s="133"/>
      <c r="AF71" s="133"/>
      <c r="AG71" s="133"/>
      <c r="AH71" s="133"/>
      <c r="AI71" s="133"/>
      <c r="AJ71" s="133"/>
      <c r="AK71" s="133"/>
      <c r="AL71" s="134"/>
      <c r="AM71" s="134"/>
      <c r="AN71" s="136"/>
      <c r="AO71" s="139">
        <f t="shared" si="8"/>
        <v>129.94027351696258</v>
      </c>
      <c r="AP71" s="139">
        <f t="shared" si="13"/>
        <v>2392.2025836258949</v>
      </c>
      <c r="AQ71" s="134">
        <f t="shared" si="9"/>
        <v>189.16071428571431</v>
      </c>
      <c r="AR71" s="139">
        <f t="shared" si="10"/>
        <v>2203.0418693401807</v>
      </c>
      <c r="AS71" s="134">
        <f t="shared" si="11"/>
        <v>0</v>
      </c>
      <c r="AT71" s="134"/>
      <c r="AU71" s="134">
        <f t="shared" si="12"/>
        <v>47.844051672517899</v>
      </c>
      <c r="AV71" s="139">
        <f>+P71+AS71+AT71+AU71</f>
        <v>2569.986908815375</v>
      </c>
      <c r="AW71" s="131"/>
      <c r="AX71" s="131"/>
      <c r="AY71" s="133">
        <f t="shared" si="24"/>
        <v>-2203.0418693401807</v>
      </c>
      <c r="AZ71" s="136"/>
      <c r="BA71" s="45"/>
    </row>
    <row r="72" spans="1:53" s="18" customFormat="1" ht="15.75" customHeight="1">
      <c r="A72" s="131" t="s">
        <v>29</v>
      </c>
      <c r="B72" s="136" t="s">
        <v>70</v>
      </c>
      <c r="C72" s="132">
        <f>C71+1</f>
        <v>66</v>
      </c>
      <c r="D72" s="150" t="s">
        <v>170</v>
      </c>
      <c r="E72" s="131" t="s">
        <v>31</v>
      </c>
      <c r="F72" s="137"/>
      <c r="G72" s="133">
        <v>1099.9928571428572</v>
      </c>
      <c r="H72" s="133">
        <v>4399.971428571429</v>
      </c>
      <c r="I72" s="133">
        <f>+G72</f>
        <v>1099.9928571428572</v>
      </c>
      <c r="J72" s="133">
        <v>94.38</v>
      </c>
      <c r="K72" s="133">
        <f t="shared" ref="K72:K102" si="25">$I72+$J72</f>
        <v>1194.3728571428574</v>
      </c>
      <c r="L72" s="133">
        <f>(VLOOKUP($K72,TABLAS!$G$6:$I$16,3,TRUE)/30.4)*7</f>
        <v>17.23059210526316</v>
      </c>
      <c r="M72" s="133"/>
      <c r="N72" s="133"/>
      <c r="O72" s="138"/>
      <c r="P72" s="139">
        <f t="shared" ref="P72:P102" si="26">+K72+L72+M72+N72-O72</f>
        <v>1211.6034492481206</v>
      </c>
      <c r="Q72" s="139"/>
      <c r="R72" s="139"/>
      <c r="S72" s="139">
        <f t="shared" ref="S72:S102" si="27">(H72/31)*1.25%</f>
        <v>1.77418202764977</v>
      </c>
      <c r="T72" s="139">
        <f t="shared" ref="T72:T102" si="28">I72/7</f>
        <v>157.1418367346939</v>
      </c>
      <c r="U72" s="140">
        <f>VLOOKUP($H72,TABLAS!$B$6:$E$16,4,TRUE)</f>
        <v>0.21360000000000001</v>
      </c>
      <c r="V72" s="141">
        <f>VLOOKUP($H72,TABLAS!$B$6:$E$16,1,TRUE)</f>
        <v>2371.33</v>
      </c>
      <c r="W72" s="139">
        <f t="shared" ref="W72:W102" si="29">$H72-$V72</f>
        <v>2028.6414285714291</v>
      </c>
      <c r="X72" s="141">
        <f>VLOOKUP($H72,TABLAS!$B$6:$E$16,3,TRUE)</f>
        <v>251.16</v>
      </c>
      <c r="Y72" s="139">
        <f t="shared" ref="Y72:Y102" si="30">($W72*$U72)+$X72</f>
        <v>684.47780914285727</v>
      </c>
      <c r="Z72" s="139">
        <f t="shared" ref="Z72:Z102" si="31">$Y72/30.4*7</f>
        <v>157.61002184210531</v>
      </c>
      <c r="AA72" s="134">
        <f t="shared" si="22"/>
        <v>365.80194089664252</v>
      </c>
      <c r="AB72" s="134">
        <f t="shared" si="23"/>
        <v>27.669748325142749</v>
      </c>
      <c r="AC72" s="134"/>
      <c r="AD72" s="139"/>
      <c r="AE72" s="133"/>
      <c r="AF72" s="133"/>
      <c r="AG72" s="133"/>
      <c r="AH72" s="133"/>
      <c r="AI72" s="133"/>
      <c r="AJ72" s="133"/>
      <c r="AK72" s="133"/>
      <c r="AL72" s="134"/>
      <c r="AM72" s="134"/>
      <c r="AN72" s="136"/>
      <c r="AO72" s="139">
        <f t="shared" ref="AO72:AO102" si="32">+Z72-AB72-AD72-AE72-AF72-AG72-AH72-AI72-AJ72-AK72-AL72-AM72-AN72</f>
        <v>129.94027351696258</v>
      </c>
      <c r="AP72" s="139">
        <f t="shared" ref="AP72:AP102" si="33">K72+L72-AO72</f>
        <v>1081.6631757311579</v>
      </c>
      <c r="AQ72" s="134">
        <f t="shared" ref="AQ72:AQ102" si="34">IF(P72&gt;2000,P72*0.075,0)</f>
        <v>0</v>
      </c>
      <c r="AR72" s="139">
        <f t="shared" ref="AR72:AR102" si="35">AP72-AQ72</f>
        <v>1081.6631757311579</v>
      </c>
      <c r="AS72" s="134">
        <f t="shared" ref="AS72:AS102" si="36">IF(P72&lt;2000,P72*0.075,0)</f>
        <v>90.870258693609046</v>
      </c>
      <c r="AT72" s="134"/>
      <c r="AU72" s="134">
        <f t="shared" ref="AU72:AU102" si="37">AP72*2%</f>
        <v>21.63326351462316</v>
      </c>
      <c r="AV72" s="139">
        <f>+P72+AS72+AT72+AU72</f>
        <v>1324.1069714563528</v>
      </c>
      <c r="AW72" s="131"/>
      <c r="AX72" s="142"/>
      <c r="AY72" s="133">
        <f t="shared" si="24"/>
        <v>-1081.6631757311579</v>
      </c>
      <c r="AZ72" s="136"/>
      <c r="BA72" s="45"/>
    </row>
    <row r="73" spans="1:53" s="18" customFormat="1" ht="15.75" customHeight="1">
      <c r="A73" s="131" t="s">
        <v>29</v>
      </c>
      <c r="B73" s="136" t="s">
        <v>40</v>
      </c>
      <c r="C73" s="132">
        <f>C72+1</f>
        <v>67</v>
      </c>
      <c r="D73" s="150" t="s">
        <v>170</v>
      </c>
      <c r="E73" s="131" t="s">
        <v>31</v>
      </c>
      <c r="F73" s="137"/>
      <c r="G73" s="133">
        <v>1099.9928571428572</v>
      </c>
      <c r="H73" s="133">
        <v>4399.971428571429</v>
      </c>
      <c r="I73" s="133">
        <f>+G73</f>
        <v>1099.9928571428572</v>
      </c>
      <c r="J73" s="133">
        <v>5553.21</v>
      </c>
      <c r="K73" s="133">
        <f t="shared" si="25"/>
        <v>6653.2028571428573</v>
      </c>
      <c r="L73" s="133">
        <f>(VLOOKUP($K73,TABLAS!$G$6:$I$16,3,TRUE)/30.4)*7</f>
        <v>0</v>
      </c>
      <c r="M73" s="133"/>
      <c r="N73" s="133"/>
      <c r="O73" s="138"/>
      <c r="P73" s="139">
        <f t="shared" si="26"/>
        <v>6653.2028571428573</v>
      </c>
      <c r="Q73" s="139"/>
      <c r="R73" s="139"/>
      <c r="S73" s="139">
        <f t="shared" si="27"/>
        <v>1.77418202764977</v>
      </c>
      <c r="T73" s="139">
        <f t="shared" si="28"/>
        <v>157.1418367346939</v>
      </c>
      <c r="U73" s="140">
        <f>VLOOKUP($H73,TABLAS!$B$6:$E$16,4,TRUE)</f>
        <v>0.21360000000000001</v>
      </c>
      <c r="V73" s="141">
        <f>VLOOKUP($H73,TABLAS!$B$6:$E$16,1,TRUE)</f>
        <v>2371.33</v>
      </c>
      <c r="W73" s="139">
        <f t="shared" si="29"/>
        <v>2028.6414285714291</v>
      </c>
      <c r="X73" s="141">
        <f>VLOOKUP($H73,TABLAS!$B$6:$E$16,3,TRUE)</f>
        <v>251.16</v>
      </c>
      <c r="Y73" s="139">
        <f t="shared" si="30"/>
        <v>684.47780914285727</v>
      </c>
      <c r="Z73" s="139">
        <f t="shared" si="31"/>
        <v>157.61002184210531</v>
      </c>
      <c r="AA73" s="134">
        <f t="shared" si="22"/>
        <v>365.80194089664252</v>
      </c>
      <c r="AB73" s="134">
        <f t="shared" si="23"/>
        <v>27.669748325142749</v>
      </c>
      <c r="AC73" s="134"/>
      <c r="AD73" s="139"/>
      <c r="AE73" s="133"/>
      <c r="AF73" s="133"/>
      <c r="AG73" s="133"/>
      <c r="AH73" s="133"/>
      <c r="AI73" s="133"/>
      <c r="AJ73" s="133"/>
      <c r="AK73" s="133"/>
      <c r="AL73" s="134"/>
      <c r="AM73" s="134"/>
      <c r="AN73" s="136"/>
      <c r="AO73" s="139">
        <f t="shared" si="32"/>
        <v>129.94027351696258</v>
      </c>
      <c r="AP73" s="139">
        <f t="shared" si="33"/>
        <v>6523.2625836258949</v>
      </c>
      <c r="AQ73" s="134">
        <f t="shared" si="34"/>
        <v>498.99021428571427</v>
      </c>
      <c r="AR73" s="139">
        <f t="shared" si="35"/>
        <v>6024.2723693401804</v>
      </c>
      <c r="AS73" s="134">
        <f t="shared" si="36"/>
        <v>0</v>
      </c>
      <c r="AT73" s="134"/>
      <c r="AU73" s="134">
        <f t="shared" si="37"/>
        <v>130.46525167251789</v>
      </c>
      <c r="AV73" s="139">
        <f>+P73+AS73+AT73+AU73</f>
        <v>6783.6681088153755</v>
      </c>
      <c r="AW73" s="131"/>
      <c r="AX73" s="142"/>
      <c r="AY73" s="133">
        <f t="shared" si="24"/>
        <v>-6024.2723693401804</v>
      </c>
      <c r="AZ73" s="136"/>
      <c r="BA73" s="45"/>
    </row>
    <row r="74" spans="1:53" s="18" customFormat="1" ht="15.75" customHeight="1">
      <c r="A74" s="131" t="s">
        <v>29</v>
      </c>
      <c r="B74" s="136" t="s">
        <v>156</v>
      </c>
      <c r="C74" s="132">
        <f>C73+1</f>
        <v>68</v>
      </c>
      <c r="D74" s="150" t="s">
        <v>170</v>
      </c>
      <c r="E74" s="131" t="s">
        <v>31</v>
      </c>
      <c r="F74" s="137"/>
      <c r="G74" s="133">
        <v>1099.9928571428572</v>
      </c>
      <c r="H74" s="133">
        <v>4399.971428571429</v>
      </c>
      <c r="I74" s="133">
        <f>+G74</f>
        <v>1099.9928571428572</v>
      </c>
      <c r="J74" s="133"/>
      <c r="K74" s="133">
        <f t="shared" si="25"/>
        <v>1099.9928571428572</v>
      </c>
      <c r="L74" s="133">
        <f>(VLOOKUP($K74,TABLAS!$G$6:$I$16,3,TRUE)/30.4)*7</f>
        <v>17.23059210526316</v>
      </c>
      <c r="M74" s="133"/>
      <c r="N74" s="133"/>
      <c r="O74" s="138"/>
      <c r="P74" s="139">
        <f t="shared" si="26"/>
        <v>1117.2234492481205</v>
      </c>
      <c r="Q74" s="139"/>
      <c r="R74" s="139"/>
      <c r="S74" s="139">
        <f t="shared" si="27"/>
        <v>1.77418202764977</v>
      </c>
      <c r="T74" s="139">
        <f t="shared" si="28"/>
        <v>157.1418367346939</v>
      </c>
      <c r="U74" s="140">
        <f>VLOOKUP($H74,TABLAS!$B$6:$E$16,4,TRUE)</f>
        <v>0.21360000000000001</v>
      </c>
      <c r="V74" s="141">
        <f>VLOOKUP($H74,TABLAS!$B$6:$E$16,1,TRUE)</f>
        <v>2371.33</v>
      </c>
      <c r="W74" s="139">
        <f t="shared" si="29"/>
        <v>2028.6414285714291</v>
      </c>
      <c r="X74" s="141">
        <f>VLOOKUP($H74,TABLAS!$B$6:$E$16,3,TRUE)</f>
        <v>251.16</v>
      </c>
      <c r="Y74" s="139">
        <f t="shared" si="30"/>
        <v>684.47780914285727</v>
      </c>
      <c r="Z74" s="139">
        <f t="shared" si="31"/>
        <v>157.61002184210531</v>
      </c>
      <c r="AA74" s="134">
        <f t="shared" si="22"/>
        <v>365.80194089664252</v>
      </c>
      <c r="AB74" s="134">
        <f t="shared" si="23"/>
        <v>27.669748325142749</v>
      </c>
      <c r="AC74" s="134"/>
      <c r="AD74" s="139"/>
      <c r="AE74" s="133"/>
      <c r="AF74" s="133"/>
      <c r="AG74" s="133"/>
      <c r="AH74" s="133"/>
      <c r="AI74" s="133"/>
      <c r="AJ74" s="133"/>
      <c r="AK74" s="133"/>
      <c r="AL74" s="134"/>
      <c r="AM74" s="134"/>
      <c r="AN74" s="136"/>
      <c r="AO74" s="139">
        <f t="shared" si="32"/>
        <v>129.94027351696258</v>
      </c>
      <c r="AP74" s="139">
        <f t="shared" si="33"/>
        <v>987.28317573115783</v>
      </c>
      <c r="AQ74" s="134">
        <f t="shared" si="34"/>
        <v>0</v>
      </c>
      <c r="AR74" s="139">
        <f t="shared" si="35"/>
        <v>987.28317573115783</v>
      </c>
      <c r="AS74" s="134">
        <f t="shared" si="36"/>
        <v>83.791758693609026</v>
      </c>
      <c r="AT74" s="134"/>
      <c r="AU74" s="134">
        <f t="shared" si="37"/>
        <v>19.745663514623157</v>
      </c>
      <c r="AV74" s="139">
        <f>+P74+AS74+AT74+AU74</f>
        <v>1220.7608714563526</v>
      </c>
      <c r="AW74" s="131"/>
      <c r="AX74" s="142"/>
      <c r="AY74" s="133">
        <f t="shared" si="24"/>
        <v>-987.28317573115783</v>
      </c>
      <c r="AZ74" s="136"/>
      <c r="BA74" s="45"/>
    </row>
    <row r="75" spans="1:53" s="18" customFormat="1" ht="15.75" customHeight="1">
      <c r="A75" s="131" t="s">
        <v>29</v>
      </c>
      <c r="B75" s="136" t="s">
        <v>141</v>
      </c>
      <c r="C75" s="132">
        <f>C74+1</f>
        <v>69</v>
      </c>
      <c r="D75" s="150" t="s">
        <v>170</v>
      </c>
      <c r="E75" s="131" t="s">
        <v>31</v>
      </c>
      <c r="F75" s="137"/>
      <c r="G75" s="133">
        <v>1099.9928571428572</v>
      </c>
      <c r="H75" s="133">
        <v>4399.971428571429</v>
      </c>
      <c r="I75" s="133">
        <f>+G75</f>
        <v>1099.9928571428572</v>
      </c>
      <c r="J75" s="133"/>
      <c r="K75" s="133">
        <f t="shared" si="25"/>
        <v>1099.9928571428572</v>
      </c>
      <c r="L75" s="133">
        <f>(VLOOKUP($K75,TABLAS!$G$6:$I$16,3,TRUE)/30.4)*7</f>
        <v>17.23059210526316</v>
      </c>
      <c r="M75" s="133"/>
      <c r="N75" s="133"/>
      <c r="O75" s="138"/>
      <c r="P75" s="139">
        <f t="shared" si="26"/>
        <v>1117.2234492481205</v>
      </c>
      <c r="Q75" s="139"/>
      <c r="R75" s="139"/>
      <c r="S75" s="139">
        <f t="shared" si="27"/>
        <v>1.77418202764977</v>
      </c>
      <c r="T75" s="139">
        <f t="shared" si="28"/>
        <v>157.1418367346939</v>
      </c>
      <c r="U75" s="140">
        <f>VLOOKUP($H75,TABLAS!$B$6:$E$16,4,TRUE)</f>
        <v>0.21360000000000001</v>
      </c>
      <c r="V75" s="141">
        <f>VLOOKUP($H75,TABLAS!$B$6:$E$16,1,TRUE)</f>
        <v>2371.33</v>
      </c>
      <c r="W75" s="139">
        <f t="shared" si="29"/>
        <v>2028.6414285714291</v>
      </c>
      <c r="X75" s="141">
        <f>VLOOKUP($H75,TABLAS!$B$6:$E$16,3,TRUE)</f>
        <v>251.16</v>
      </c>
      <c r="Y75" s="139">
        <f t="shared" si="30"/>
        <v>684.47780914285727</v>
      </c>
      <c r="Z75" s="139">
        <f t="shared" si="31"/>
        <v>157.61002184210531</v>
      </c>
      <c r="AA75" s="134">
        <f t="shared" si="22"/>
        <v>365.80194089664252</v>
      </c>
      <c r="AB75" s="134">
        <f t="shared" si="23"/>
        <v>27.669748325142749</v>
      </c>
      <c r="AC75" s="134"/>
      <c r="AD75" s="139"/>
      <c r="AE75" s="133"/>
      <c r="AF75" s="133"/>
      <c r="AG75" s="133"/>
      <c r="AH75" s="133"/>
      <c r="AI75" s="133"/>
      <c r="AJ75" s="133"/>
      <c r="AK75" s="133"/>
      <c r="AL75" s="134"/>
      <c r="AM75" s="134"/>
      <c r="AN75" s="136"/>
      <c r="AO75" s="139">
        <f t="shared" si="32"/>
        <v>129.94027351696258</v>
      </c>
      <c r="AP75" s="139">
        <f t="shared" si="33"/>
        <v>987.28317573115783</v>
      </c>
      <c r="AQ75" s="134">
        <f t="shared" si="34"/>
        <v>0</v>
      </c>
      <c r="AR75" s="139">
        <f t="shared" si="35"/>
        <v>987.28317573115783</v>
      </c>
      <c r="AS75" s="134">
        <f t="shared" si="36"/>
        <v>83.791758693609026</v>
      </c>
      <c r="AT75" s="134"/>
      <c r="AU75" s="134">
        <f t="shared" si="37"/>
        <v>19.745663514623157</v>
      </c>
      <c r="AV75" s="139">
        <f>+P75+AS75+AT75+AU75</f>
        <v>1220.7608714563526</v>
      </c>
      <c r="AW75" s="131"/>
      <c r="AX75" s="131"/>
      <c r="AY75" s="133">
        <f t="shared" si="24"/>
        <v>-987.28317573115783</v>
      </c>
      <c r="AZ75" s="136"/>
      <c r="BA75" s="45"/>
    </row>
    <row r="76" spans="1:53" s="18" customFormat="1" ht="15.75" customHeight="1">
      <c r="A76" s="131" t="s">
        <v>29</v>
      </c>
      <c r="B76" s="136" t="s">
        <v>112</v>
      </c>
      <c r="C76" s="132">
        <f>C75+1</f>
        <v>70</v>
      </c>
      <c r="D76" s="150" t="s">
        <v>170</v>
      </c>
      <c r="E76" s="131" t="s">
        <v>31</v>
      </c>
      <c r="F76" s="137"/>
      <c r="G76" s="133">
        <v>1099.9928571428572</v>
      </c>
      <c r="H76" s="133">
        <v>4399.971428571429</v>
      </c>
      <c r="I76" s="133">
        <f>+G76</f>
        <v>1099.9928571428572</v>
      </c>
      <c r="J76" s="133">
        <v>4887.3</v>
      </c>
      <c r="K76" s="133">
        <f t="shared" si="25"/>
        <v>5987.2928571428574</v>
      </c>
      <c r="L76" s="133">
        <f>(VLOOKUP($K76,TABLAS!$G$6:$I$16,3,TRUE)/30.4)*7</f>
        <v>0</v>
      </c>
      <c r="M76" s="133"/>
      <c r="N76" s="133"/>
      <c r="O76" s="138"/>
      <c r="P76" s="139">
        <f t="shared" si="26"/>
        <v>5987.2928571428574</v>
      </c>
      <c r="Q76" s="139"/>
      <c r="R76" s="139"/>
      <c r="S76" s="139">
        <f t="shared" si="27"/>
        <v>1.77418202764977</v>
      </c>
      <c r="T76" s="139">
        <f t="shared" si="28"/>
        <v>157.1418367346939</v>
      </c>
      <c r="U76" s="140">
        <f>VLOOKUP($H76,TABLAS!$B$6:$E$16,4,TRUE)</f>
        <v>0.21360000000000001</v>
      </c>
      <c r="V76" s="141">
        <f>VLOOKUP($H76,TABLAS!$B$6:$E$16,1,TRUE)</f>
        <v>2371.33</v>
      </c>
      <c r="W76" s="139">
        <f t="shared" si="29"/>
        <v>2028.6414285714291</v>
      </c>
      <c r="X76" s="141">
        <f>VLOOKUP($H76,TABLAS!$B$6:$E$16,3,TRUE)</f>
        <v>251.16</v>
      </c>
      <c r="Y76" s="139">
        <f t="shared" si="30"/>
        <v>684.47780914285727</v>
      </c>
      <c r="Z76" s="139">
        <f t="shared" si="31"/>
        <v>157.61002184210531</v>
      </c>
      <c r="AA76" s="134">
        <f t="shared" si="22"/>
        <v>365.80194089664252</v>
      </c>
      <c r="AB76" s="134">
        <f t="shared" si="23"/>
        <v>27.669748325142749</v>
      </c>
      <c r="AC76" s="134"/>
      <c r="AD76" s="139"/>
      <c r="AE76" s="133"/>
      <c r="AF76" s="133"/>
      <c r="AG76" s="133"/>
      <c r="AH76" s="133"/>
      <c r="AI76" s="133"/>
      <c r="AJ76" s="133"/>
      <c r="AK76" s="133"/>
      <c r="AL76" s="134"/>
      <c r="AM76" s="134"/>
      <c r="AN76" s="136"/>
      <c r="AO76" s="139">
        <f t="shared" si="32"/>
        <v>129.94027351696258</v>
      </c>
      <c r="AP76" s="139">
        <f t="shared" si="33"/>
        <v>5857.352583625895</v>
      </c>
      <c r="AQ76" s="134">
        <f t="shared" si="34"/>
        <v>449.0469642857143</v>
      </c>
      <c r="AR76" s="139">
        <f t="shared" si="35"/>
        <v>5408.3056193401808</v>
      </c>
      <c r="AS76" s="134">
        <f t="shared" si="36"/>
        <v>0</v>
      </c>
      <c r="AT76" s="134"/>
      <c r="AU76" s="134">
        <f t="shared" si="37"/>
        <v>117.1470516725179</v>
      </c>
      <c r="AV76" s="139">
        <f>+P76+AS76+AT76+AU76</f>
        <v>6104.439908815375</v>
      </c>
      <c r="AW76" s="131"/>
      <c r="AX76" s="131"/>
      <c r="AY76" s="133"/>
      <c r="AZ76" s="136"/>
      <c r="BA76" s="45"/>
    </row>
    <row r="77" spans="1:53" s="18" customFormat="1" ht="15.75" customHeight="1">
      <c r="A77" s="131" t="s">
        <v>29</v>
      </c>
      <c r="B77" s="136" t="s">
        <v>128</v>
      </c>
      <c r="C77" s="132">
        <f>C76+1</f>
        <v>71</v>
      </c>
      <c r="D77" s="150" t="s">
        <v>170</v>
      </c>
      <c r="E77" s="131" t="s">
        <v>31</v>
      </c>
      <c r="F77" s="137"/>
      <c r="G77" s="133">
        <v>1099.9928571428572</v>
      </c>
      <c r="H77" s="133">
        <v>4399.971428571429</v>
      </c>
      <c r="I77" s="133">
        <f>+G77</f>
        <v>1099.9928571428572</v>
      </c>
      <c r="J77" s="133">
        <v>153.59</v>
      </c>
      <c r="K77" s="133">
        <f t="shared" si="25"/>
        <v>1253.5828571428572</v>
      </c>
      <c r="L77" s="133">
        <f>(VLOOKUP($K77,TABLAS!$G$6:$I$16,3,TRUE)/30.4)*7</f>
        <v>15.618750000000002</v>
      </c>
      <c r="M77" s="133"/>
      <c r="N77" s="133"/>
      <c r="O77" s="138"/>
      <c r="P77" s="139">
        <f t="shared" si="26"/>
        <v>1269.2016071428573</v>
      </c>
      <c r="Q77" s="139"/>
      <c r="R77" s="139"/>
      <c r="S77" s="139">
        <f t="shared" si="27"/>
        <v>1.77418202764977</v>
      </c>
      <c r="T77" s="139">
        <f t="shared" si="28"/>
        <v>157.1418367346939</v>
      </c>
      <c r="U77" s="140">
        <f>VLOOKUP($H77,TABLAS!$B$6:$E$16,4,TRUE)</f>
        <v>0.21360000000000001</v>
      </c>
      <c r="V77" s="141">
        <f>VLOOKUP($H77,TABLAS!$B$6:$E$16,1,TRUE)</f>
        <v>2371.33</v>
      </c>
      <c r="W77" s="139">
        <f t="shared" si="29"/>
        <v>2028.6414285714291</v>
      </c>
      <c r="X77" s="141">
        <f>VLOOKUP($H77,TABLAS!$B$6:$E$16,3,TRUE)</f>
        <v>251.16</v>
      </c>
      <c r="Y77" s="139">
        <f t="shared" si="30"/>
        <v>684.47780914285727</v>
      </c>
      <c r="Z77" s="139">
        <f t="shared" si="31"/>
        <v>157.61002184210531</v>
      </c>
      <c r="AA77" s="134">
        <f t="shared" si="22"/>
        <v>365.80194089664252</v>
      </c>
      <c r="AB77" s="134">
        <f t="shared" si="23"/>
        <v>27.669748325142749</v>
      </c>
      <c r="AC77" s="134"/>
      <c r="AD77" s="139"/>
      <c r="AE77" s="133"/>
      <c r="AF77" s="133"/>
      <c r="AG77" s="133"/>
      <c r="AH77" s="133"/>
      <c r="AI77" s="133"/>
      <c r="AJ77" s="133"/>
      <c r="AK77" s="133"/>
      <c r="AL77" s="134"/>
      <c r="AM77" s="134"/>
      <c r="AN77" s="136"/>
      <c r="AO77" s="139">
        <f t="shared" si="32"/>
        <v>129.94027351696258</v>
      </c>
      <c r="AP77" s="139">
        <f t="shared" si="33"/>
        <v>1139.2613336258946</v>
      </c>
      <c r="AQ77" s="134">
        <f t="shared" si="34"/>
        <v>0</v>
      </c>
      <c r="AR77" s="139">
        <f t="shared" si="35"/>
        <v>1139.2613336258946</v>
      </c>
      <c r="AS77" s="134">
        <f t="shared" si="36"/>
        <v>95.190120535714286</v>
      </c>
      <c r="AT77" s="134"/>
      <c r="AU77" s="134">
        <f t="shared" si="37"/>
        <v>22.785226672517894</v>
      </c>
      <c r="AV77" s="139">
        <f>+P77+AS77+AT77+AU77</f>
        <v>1387.1769543510893</v>
      </c>
      <c r="AW77" s="131"/>
      <c r="AX77" s="131"/>
      <c r="AY77" s="133">
        <f t="shared" ref="AY77:AY87" si="38">+AW77+AX77-AR77</f>
        <v>-1139.2613336258946</v>
      </c>
      <c r="AZ77" s="136"/>
      <c r="BA77" s="45"/>
    </row>
    <row r="78" spans="1:53" s="18" customFormat="1" ht="15.75" customHeight="1">
      <c r="A78" s="131" t="s">
        <v>29</v>
      </c>
      <c r="B78" s="136" t="s">
        <v>41</v>
      </c>
      <c r="C78" s="132">
        <f>C77+1</f>
        <v>72</v>
      </c>
      <c r="D78" s="150" t="s">
        <v>170</v>
      </c>
      <c r="E78" s="131" t="s">
        <v>31</v>
      </c>
      <c r="F78" s="137"/>
      <c r="G78" s="133">
        <v>1099.9928571428572</v>
      </c>
      <c r="H78" s="133">
        <v>4399.971428571429</v>
      </c>
      <c r="I78" s="133">
        <f>+G78</f>
        <v>1099.9928571428572</v>
      </c>
      <c r="J78" s="133"/>
      <c r="K78" s="133">
        <f t="shared" si="25"/>
        <v>1099.9928571428572</v>
      </c>
      <c r="L78" s="133">
        <f>(VLOOKUP($K78,TABLAS!$G$6:$I$16,3,TRUE)/30.4)*7</f>
        <v>17.23059210526316</v>
      </c>
      <c r="M78" s="133"/>
      <c r="N78" s="133"/>
      <c r="O78" s="138"/>
      <c r="P78" s="139">
        <f t="shared" si="26"/>
        <v>1117.2234492481205</v>
      </c>
      <c r="Q78" s="139"/>
      <c r="R78" s="139"/>
      <c r="S78" s="139">
        <f t="shared" si="27"/>
        <v>1.77418202764977</v>
      </c>
      <c r="T78" s="139">
        <f t="shared" si="28"/>
        <v>157.1418367346939</v>
      </c>
      <c r="U78" s="140">
        <f>VLOOKUP($H78,TABLAS!$B$6:$E$16,4,TRUE)</f>
        <v>0.21360000000000001</v>
      </c>
      <c r="V78" s="141">
        <f>VLOOKUP($H78,TABLAS!$B$6:$E$16,1,TRUE)</f>
        <v>2371.33</v>
      </c>
      <c r="W78" s="139">
        <f t="shared" si="29"/>
        <v>2028.6414285714291</v>
      </c>
      <c r="X78" s="141">
        <f>VLOOKUP($H78,TABLAS!$B$6:$E$16,3,TRUE)</f>
        <v>251.16</v>
      </c>
      <c r="Y78" s="139">
        <f t="shared" si="30"/>
        <v>684.47780914285727</v>
      </c>
      <c r="Z78" s="139">
        <f t="shared" si="31"/>
        <v>157.61002184210531</v>
      </c>
      <c r="AA78" s="134">
        <f t="shared" si="22"/>
        <v>365.80194089664252</v>
      </c>
      <c r="AB78" s="134">
        <f t="shared" si="23"/>
        <v>27.669748325142749</v>
      </c>
      <c r="AC78" s="134"/>
      <c r="AD78" s="139"/>
      <c r="AE78" s="133"/>
      <c r="AF78" s="133"/>
      <c r="AG78" s="133"/>
      <c r="AH78" s="133"/>
      <c r="AI78" s="133"/>
      <c r="AJ78" s="133"/>
      <c r="AK78" s="133"/>
      <c r="AL78" s="134"/>
      <c r="AM78" s="134"/>
      <c r="AN78" s="136"/>
      <c r="AO78" s="139">
        <f t="shared" si="32"/>
        <v>129.94027351696258</v>
      </c>
      <c r="AP78" s="139">
        <f t="shared" si="33"/>
        <v>987.28317573115783</v>
      </c>
      <c r="AQ78" s="134">
        <f t="shared" si="34"/>
        <v>0</v>
      </c>
      <c r="AR78" s="139">
        <f t="shared" si="35"/>
        <v>987.28317573115783</v>
      </c>
      <c r="AS78" s="134">
        <f t="shared" si="36"/>
        <v>83.791758693609026</v>
      </c>
      <c r="AT78" s="134"/>
      <c r="AU78" s="134">
        <f t="shared" si="37"/>
        <v>19.745663514623157</v>
      </c>
      <c r="AV78" s="139">
        <f>+P78+AS78+AT78+AU78</f>
        <v>1220.7608714563526</v>
      </c>
      <c r="AW78" s="131"/>
      <c r="AX78" s="131"/>
      <c r="AY78" s="133">
        <f t="shared" si="38"/>
        <v>-987.28317573115783</v>
      </c>
      <c r="AZ78" s="136"/>
      <c r="BA78" s="42"/>
    </row>
    <row r="79" spans="1:53" s="18" customFormat="1" ht="15.75" customHeight="1">
      <c r="A79" s="131" t="s">
        <v>42</v>
      </c>
      <c r="B79" s="136" t="s">
        <v>78</v>
      </c>
      <c r="C79" s="132">
        <f>C78+1</f>
        <v>73</v>
      </c>
      <c r="D79" s="150" t="s">
        <v>170</v>
      </c>
      <c r="E79" s="131" t="s">
        <v>30</v>
      </c>
      <c r="F79" s="137"/>
      <c r="G79" s="133">
        <v>1249.5642857142857</v>
      </c>
      <c r="H79" s="133">
        <v>4998.2571428571428</v>
      </c>
      <c r="I79" s="133">
        <f>+G79</f>
        <v>1249.5642857142857</v>
      </c>
      <c r="J79" s="133">
        <v>1336.32</v>
      </c>
      <c r="K79" s="133">
        <f t="shared" si="25"/>
        <v>2585.8842857142854</v>
      </c>
      <c r="L79" s="133">
        <f>(VLOOKUP($K79,TABLAS!$G$6:$I$16,3,TRUE)/30.4)*7</f>
        <v>0</v>
      </c>
      <c r="M79" s="133"/>
      <c r="N79" s="133"/>
      <c r="O79" s="138"/>
      <c r="P79" s="139">
        <f t="shared" si="26"/>
        <v>2585.8842857142854</v>
      </c>
      <c r="Q79" s="139"/>
      <c r="R79" s="139"/>
      <c r="S79" s="139">
        <f t="shared" si="27"/>
        <v>2.0154262672811063</v>
      </c>
      <c r="T79" s="139">
        <f t="shared" si="28"/>
        <v>178.50918367346938</v>
      </c>
      <c r="U79" s="140">
        <f>VLOOKUP($H79,TABLAS!$B$6:$E$16,4,TRUE)</f>
        <v>0.23519999999999999</v>
      </c>
      <c r="V79" s="141">
        <f>VLOOKUP($H79,TABLAS!$B$6:$E$16,1,TRUE)</f>
        <v>4782.62</v>
      </c>
      <c r="W79" s="139">
        <f t="shared" si="29"/>
        <v>215.63714285714286</v>
      </c>
      <c r="X79" s="141">
        <f>VLOOKUP($H79,TABLAS!$B$6:$E$16,3,TRUE)</f>
        <v>766.15</v>
      </c>
      <c r="Y79" s="139">
        <f t="shared" si="30"/>
        <v>816.86785599999996</v>
      </c>
      <c r="Z79" s="139">
        <f t="shared" si="31"/>
        <v>188.09457210526315</v>
      </c>
      <c r="AA79" s="133">
        <f>1600.575449853/4</f>
        <v>400.14386246325</v>
      </c>
      <c r="AB79" s="133">
        <f>125.728559334857/4</f>
        <v>31.432139833714249</v>
      </c>
      <c r="AC79" s="133"/>
      <c r="AD79" s="139"/>
      <c r="AE79" s="133"/>
      <c r="AF79" s="133"/>
      <c r="AG79" s="133"/>
      <c r="AH79" s="133"/>
      <c r="AI79" s="133"/>
      <c r="AJ79" s="133"/>
      <c r="AK79" s="133"/>
      <c r="AL79" s="134"/>
      <c r="AM79" s="134"/>
      <c r="AN79" s="136"/>
      <c r="AO79" s="139">
        <f t="shared" si="32"/>
        <v>156.66243227154891</v>
      </c>
      <c r="AP79" s="139">
        <f t="shared" si="33"/>
        <v>2429.2218534427366</v>
      </c>
      <c r="AQ79" s="134">
        <f t="shared" si="34"/>
        <v>193.9413214285714</v>
      </c>
      <c r="AR79" s="139">
        <f t="shared" si="35"/>
        <v>2235.2805320141651</v>
      </c>
      <c r="AS79" s="134">
        <f t="shared" si="36"/>
        <v>0</v>
      </c>
      <c r="AT79" s="134"/>
      <c r="AU79" s="134">
        <f t="shared" si="37"/>
        <v>48.584437068854733</v>
      </c>
      <c r="AV79" s="139">
        <f>+P79+AS79+AT79+AU79</f>
        <v>2634.46872278314</v>
      </c>
      <c r="AW79" s="131"/>
      <c r="AX79" s="142"/>
      <c r="AY79" s="133">
        <f t="shared" si="38"/>
        <v>-2235.2805320141651</v>
      </c>
      <c r="AZ79" s="136"/>
      <c r="BA79" s="45"/>
    </row>
    <row r="80" spans="1:53" s="18" customFormat="1" ht="15.75" customHeight="1">
      <c r="A80" s="131" t="s">
        <v>42</v>
      </c>
      <c r="B80" s="136" t="s">
        <v>144</v>
      </c>
      <c r="C80" s="132">
        <f>C79+1</f>
        <v>74</v>
      </c>
      <c r="D80" s="150" t="s">
        <v>170</v>
      </c>
      <c r="E80" s="131" t="s">
        <v>30</v>
      </c>
      <c r="F80" s="137"/>
      <c r="G80" s="133">
        <v>1249.5642857142857</v>
      </c>
      <c r="H80" s="133">
        <v>4998.2571428571428</v>
      </c>
      <c r="I80" s="133">
        <f>+G80</f>
        <v>1249.5642857142857</v>
      </c>
      <c r="J80" s="133">
        <v>1105.4100000000001</v>
      </c>
      <c r="K80" s="133">
        <f t="shared" si="25"/>
        <v>2354.9742857142855</v>
      </c>
      <c r="L80" s="133">
        <f>(VLOOKUP($K80,TABLAS!$G$6:$I$16,3,TRUE)/30.4)*7</f>
        <v>0</v>
      </c>
      <c r="M80" s="133"/>
      <c r="N80" s="133"/>
      <c r="O80" s="138"/>
      <c r="P80" s="139">
        <f t="shared" si="26"/>
        <v>2354.9742857142855</v>
      </c>
      <c r="Q80" s="139"/>
      <c r="R80" s="139"/>
      <c r="S80" s="139">
        <f t="shared" si="27"/>
        <v>2.0154262672811063</v>
      </c>
      <c r="T80" s="139">
        <f t="shared" si="28"/>
        <v>178.50918367346938</v>
      </c>
      <c r="U80" s="140">
        <f>VLOOKUP($H80,TABLAS!$B$6:$E$16,4,TRUE)</f>
        <v>0.23519999999999999</v>
      </c>
      <c r="V80" s="141">
        <f>VLOOKUP($H80,TABLAS!$B$6:$E$16,1,TRUE)</f>
        <v>4782.62</v>
      </c>
      <c r="W80" s="139">
        <f t="shared" si="29"/>
        <v>215.63714285714286</v>
      </c>
      <c r="X80" s="141">
        <f>VLOOKUP($H80,TABLAS!$B$6:$E$16,3,TRUE)</f>
        <v>766.15</v>
      </c>
      <c r="Y80" s="139">
        <f t="shared" si="30"/>
        <v>816.86785599999996</v>
      </c>
      <c r="Z80" s="139">
        <f t="shared" si="31"/>
        <v>188.09457210526315</v>
      </c>
      <c r="AA80" s="133">
        <f t="shared" ref="AA80:AA85" si="39">1600.575449853/4</f>
        <v>400.14386246325</v>
      </c>
      <c r="AB80" s="133">
        <f t="shared" ref="AB80:AB85" si="40">125.728559334857/4</f>
        <v>31.432139833714249</v>
      </c>
      <c r="AC80" s="133"/>
      <c r="AD80" s="139"/>
      <c r="AE80" s="133"/>
      <c r="AF80" s="133"/>
      <c r="AG80" s="133"/>
      <c r="AH80" s="133"/>
      <c r="AI80" s="133"/>
      <c r="AJ80" s="133"/>
      <c r="AK80" s="133"/>
      <c r="AL80" s="134"/>
      <c r="AM80" s="134"/>
      <c r="AN80" s="136"/>
      <c r="AO80" s="139">
        <f t="shared" si="32"/>
        <v>156.66243227154891</v>
      </c>
      <c r="AP80" s="139">
        <f t="shared" si="33"/>
        <v>2198.3118534427367</v>
      </c>
      <c r="AQ80" s="134">
        <f t="shared" si="34"/>
        <v>176.62307142857142</v>
      </c>
      <c r="AR80" s="139">
        <f t="shared" si="35"/>
        <v>2021.6887820141653</v>
      </c>
      <c r="AS80" s="134">
        <f t="shared" si="36"/>
        <v>0</v>
      </c>
      <c r="AT80" s="134"/>
      <c r="AU80" s="134">
        <f t="shared" si="37"/>
        <v>43.966237068854738</v>
      </c>
      <c r="AV80" s="139">
        <f>+P80+AS80+AT80+AU80</f>
        <v>2398.9405227831403</v>
      </c>
      <c r="AW80" s="131"/>
      <c r="AX80" s="131"/>
      <c r="AY80" s="133">
        <f t="shared" si="38"/>
        <v>-2021.6887820141653</v>
      </c>
      <c r="AZ80" s="136"/>
      <c r="BA80" s="42"/>
    </row>
    <row r="81" spans="1:53" s="18" customFormat="1" ht="15.75" customHeight="1">
      <c r="A81" s="131" t="s">
        <v>42</v>
      </c>
      <c r="B81" s="136" t="s">
        <v>136</v>
      </c>
      <c r="C81" s="132">
        <f>C80+1</f>
        <v>75</v>
      </c>
      <c r="D81" s="150" t="s">
        <v>170</v>
      </c>
      <c r="E81" s="131" t="s">
        <v>30</v>
      </c>
      <c r="F81" s="137"/>
      <c r="G81" s="133">
        <v>1249.5642857142857</v>
      </c>
      <c r="H81" s="133">
        <v>4998.2571428571428</v>
      </c>
      <c r="I81" s="133">
        <f>+G81</f>
        <v>1249.5642857142857</v>
      </c>
      <c r="J81" s="133">
        <v>959.1</v>
      </c>
      <c r="K81" s="133">
        <f t="shared" si="25"/>
        <v>2208.6642857142856</v>
      </c>
      <c r="L81" s="133">
        <f>(VLOOKUP($K81,TABLAS!$G$6:$I$16,3,TRUE)/30.4)*7</f>
        <v>0</v>
      </c>
      <c r="M81" s="133"/>
      <c r="N81" s="133"/>
      <c r="O81" s="138"/>
      <c r="P81" s="139">
        <f t="shared" si="26"/>
        <v>2208.6642857142856</v>
      </c>
      <c r="Q81" s="139"/>
      <c r="R81" s="139"/>
      <c r="S81" s="139">
        <f t="shared" si="27"/>
        <v>2.0154262672811063</v>
      </c>
      <c r="T81" s="139">
        <f t="shared" si="28"/>
        <v>178.50918367346938</v>
      </c>
      <c r="U81" s="140">
        <f>VLOOKUP($H81,TABLAS!$B$6:$E$16,4,TRUE)</f>
        <v>0.23519999999999999</v>
      </c>
      <c r="V81" s="141">
        <f>VLOOKUP($H81,TABLAS!$B$6:$E$16,1,TRUE)</f>
        <v>4782.62</v>
      </c>
      <c r="W81" s="139">
        <f t="shared" si="29"/>
        <v>215.63714285714286</v>
      </c>
      <c r="X81" s="141">
        <f>VLOOKUP($H81,TABLAS!$B$6:$E$16,3,TRUE)</f>
        <v>766.15</v>
      </c>
      <c r="Y81" s="139">
        <f t="shared" si="30"/>
        <v>816.86785599999996</v>
      </c>
      <c r="Z81" s="139">
        <f t="shared" si="31"/>
        <v>188.09457210526315</v>
      </c>
      <c r="AA81" s="133">
        <f t="shared" si="39"/>
        <v>400.14386246325</v>
      </c>
      <c r="AB81" s="133">
        <f t="shared" si="40"/>
        <v>31.432139833714249</v>
      </c>
      <c r="AC81" s="133"/>
      <c r="AD81" s="139"/>
      <c r="AE81" s="133"/>
      <c r="AF81" s="133"/>
      <c r="AG81" s="133"/>
      <c r="AH81" s="133"/>
      <c r="AI81" s="133"/>
      <c r="AJ81" s="133"/>
      <c r="AK81" s="133"/>
      <c r="AL81" s="134"/>
      <c r="AM81" s="134"/>
      <c r="AN81" s="136"/>
      <c r="AO81" s="139">
        <f t="shared" si="32"/>
        <v>156.66243227154891</v>
      </c>
      <c r="AP81" s="139">
        <f t="shared" si="33"/>
        <v>2052.0018534427368</v>
      </c>
      <c r="AQ81" s="134">
        <f t="shared" si="34"/>
        <v>165.64982142857141</v>
      </c>
      <c r="AR81" s="139">
        <f t="shared" si="35"/>
        <v>1886.3520320141654</v>
      </c>
      <c r="AS81" s="134">
        <f t="shared" si="36"/>
        <v>0</v>
      </c>
      <c r="AT81" s="134"/>
      <c r="AU81" s="134">
        <f t="shared" si="37"/>
        <v>41.040037068854737</v>
      </c>
      <c r="AV81" s="139">
        <f>+P81+AS81+AT81+AU81</f>
        <v>2249.7043227831405</v>
      </c>
      <c r="AW81" s="131"/>
      <c r="AX81" s="142"/>
      <c r="AY81" s="133">
        <f t="shared" si="38"/>
        <v>-1886.3520320141654</v>
      </c>
      <c r="AZ81" s="136"/>
      <c r="BA81" s="42"/>
    </row>
    <row r="82" spans="1:53" s="18" customFormat="1" ht="15.75" customHeight="1">
      <c r="A82" s="131" t="s">
        <v>42</v>
      </c>
      <c r="B82" s="136" t="s">
        <v>129</v>
      </c>
      <c r="C82" s="132">
        <f>C81+1</f>
        <v>76</v>
      </c>
      <c r="D82" s="150" t="s">
        <v>170</v>
      </c>
      <c r="E82" s="131" t="s">
        <v>30</v>
      </c>
      <c r="F82" s="137"/>
      <c r="G82" s="133">
        <v>1249.5642857142857</v>
      </c>
      <c r="H82" s="133">
        <v>4998.2571428571428</v>
      </c>
      <c r="I82" s="133">
        <f>+G82</f>
        <v>1249.5642857142857</v>
      </c>
      <c r="J82" s="133">
        <v>1353.41</v>
      </c>
      <c r="K82" s="133">
        <f t="shared" si="25"/>
        <v>2602.9742857142855</v>
      </c>
      <c r="L82" s="133">
        <f>(VLOOKUP($K82,TABLAS!$G$6:$I$16,3,TRUE)/30.4)*7</f>
        <v>0</v>
      </c>
      <c r="M82" s="133"/>
      <c r="N82" s="133"/>
      <c r="O82" s="138"/>
      <c r="P82" s="139">
        <f t="shared" si="26"/>
        <v>2602.9742857142855</v>
      </c>
      <c r="Q82" s="139"/>
      <c r="R82" s="139"/>
      <c r="S82" s="139">
        <f t="shared" si="27"/>
        <v>2.0154262672811063</v>
      </c>
      <c r="T82" s="139">
        <f t="shared" si="28"/>
        <v>178.50918367346938</v>
      </c>
      <c r="U82" s="140">
        <f>VLOOKUP($H82,TABLAS!$B$6:$E$16,4,TRUE)</f>
        <v>0.23519999999999999</v>
      </c>
      <c r="V82" s="141">
        <f>VLOOKUP($H82,TABLAS!$B$6:$E$16,1,TRUE)</f>
        <v>4782.62</v>
      </c>
      <c r="W82" s="139">
        <f t="shared" si="29"/>
        <v>215.63714285714286</v>
      </c>
      <c r="X82" s="141">
        <f>VLOOKUP($H82,TABLAS!$B$6:$E$16,3,TRUE)</f>
        <v>766.15</v>
      </c>
      <c r="Y82" s="139">
        <f t="shared" si="30"/>
        <v>816.86785599999996</v>
      </c>
      <c r="Z82" s="139">
        <f t="shared" si="31"/>
        <v>188.09457210526315</v>
      </c>
      <c r="AA82" s="133">
        <f t="shared" si="39"/>
        <v>400.14386246325</v>
      </c>
      <c r="AB82" s="133">
        <f t="shared" si="40"/>
        <v>31.432139833714249</v>
      </c>
      <c r="AC82" s="133"/>
      <c r="AD82" s="139"/>
      <c r="AE82" s="133"/>
      <c r="AF82" s="133"/>
      <c r="AG82" s="133"/>
      <c r="AH82" s="133"/>
      <c r="AI82" s="133"/>
      <c r="AJ82" s="133"/>
      <c r="AK82" s="133"/>
      <c r="AL82" s="134"/>
      <c r="AM82" s="134"/>
      <c r="AN82" s="136"/>
      <c r="AO82" s="139">
        <f t="shared" si="32"/>
        <v>156.66243227154891</v>
      </c>
      <c r="AP82" s="139">
        <f t="shared" si="33"/>
        <v>2446.3118534427367</v>
      </c>
      <c r="AQ82" s="134">
        <f t="shared" si="34"/>
        <v>195.22307142857142</v>
      </c>
      <c r="AR82" s="139">
        <f t="shared" si="35"/>
        <v>2251.0887820141652</v>
      </c>
      <c r="AS82" s="134">
        <f t="shared" si="36"/>
        <v>0</v>
      </c>
      <c r="AT82" s="134"/>
      <c r="AU82" s="134">
        <f t="shared" si="37"/>
        <v>48.926237068854732</v>
      </c>
      <c r="AV82" s="139">
        <f>+P82+AS82+AT82+AU82</f>
        <v>2651.9005227831403</v>
      </c>
      <c r="AW82" s="131"/>
      <c r="AX82" s="142"/>
      <c r="AY82" s="133">
        <f t="shared" si="38"/>
        <v>-2251.0887820141652</v>
      </c>
      <c r="AZ82" s="136"/>
      <c r="BA82" s="42"/>
    </row>
    <row r="83" spans="1:53" s="18" customFormat="1" ht="15.75" customHeight="1">
      <c r="A83" s="131" t="s">
        <v>42</v>
      </c>
      <c r="B83" s="136" t="s">
        <v>109</v>
      </c>
      <c r="C83" s="132">
        <f>C82+1</f>
        <v>77</v>
      </c>
      <c r="D83" s="150" t="s">
        <v>170</v>
      </c>
      <c r="E83" s="131" t="s">
        <v>30</v>
      </c>
      <c r="F83" s="137"/>
      <c r="G83" s="133">
        <v>1249.5642857142857</v>
      </c>
      <c r="H83" s="133">
        <v>4998.2571428571428</v>
      </c>
      <c r="I83" s="133">
        <f>+G83</f>
        <v>1249.5642857142857</v>
      </c>
      <c r="J83" s="133">
        <v>1030.44</v>
      </c>
      <c r="K83" s="133">
        <f t="shared" si="25"/>
        <v>2280.0042857142857</v>
      </c>
      <c r="L83" s="133">
        <f>(VLOOKUP($K83,TABLAS!$G$6:$I$16,3,TRUE)/30.4)*7</f>
        <v>0</v>
      </c>
      <c r="M83" s="133"/>
      <c r="N83" s="133"/>
      <c r="O83" s="138"/>
      <c r="P83" s="139">
        <f t="shared" si="26"/>
        <v>2280.0042857142857</v>
      </c>
      <c r="Q83" s="139"/>
      <c r="R83" s="139"/>
      <c r="S83" s="139">
        <f t="shared" si="27"/>
        <v>2.0154262672811063</v>
      </c>
      <c r="T83" s="139">
        <f t="shared" si="28"/>
        <v>178.50918367346938</v>
      </c>
      <c r="U83" s="140">
        <f>VLOOKUP($H83,TABLAS!$B$6:$E$16,4,TRUE)</f>
        <v>0.23519999999999999</v>
      </c>
      <c r="V83" s="141">
        <f>VLOOKUP($H83,TABLAS!$B$6:$E$16,1,TRUE)</f>
        <v>4782.62</v>
      </c>
      <c r="W83" s="139">
        <f t="shared" si="29"/>
        <v>215.63714285714286</v>
      </c>
      <c r="X83" s="141">
        <f>VLOOKUP($H83,TABLAS!$B$6:$E$16,3,TRUE)</f>
        <v>766.15</v>
      </c>
      <c r="Y83" s="139">
        <f t="shared" si="30"/>
        <v>816.86785599999996</v>
      </c>
      <c r="Z83" s="139">
        <f t="shared" si="31"/>
        <v>188.09457210526315</v>
      </c>
      <c r="AA83" s="133">
        <f t="shared" si="39"/>
        <v>400.14386246325</v>
      </c>
      <c r="AB83" s="133">
        <f t="shared" si="40"/>
        <v>31.432139833714249</v>
      </c>
      <c r="AC83" s="133"/>
      <c r="AD83" s="139"/>
      <c r="AE83" s="133"/>
      <c r="AF83" s="133"/>
      <c r="AG83" s="133"/>
      <c r="AH83" s="133"/>
      <c r="AI83" s="133"/>
      <c r="AJ83" s="133"/>
      <c r="AK83" s="133"/>
      <c r="AL83" s="134"/>
      <c r="AM83" s="134"/>
      <c r="AN83" s="136"/>
      <c r="AO83" s="139">
        <f t="shared" si="32"/>
        <v>156.66243227154891</v>
      </c>
      <c r="AP83" s="139">
        <f t="shared" si="33"/>
        <v>2123.3418534427369</v>
      </c>
      <c r="AQ83" s="134">
        <f t="shared" si="34"/>
        <v>171.00032142857143</v>
      </c>
      <c r="AR83" s="139">
        <f t="shared" si="35"/>
        <v>1952.3415320141655</v>
      </c>
      <c r="AS83" s="134">
        <f t="shared" si="36"/>
        <v>0</v>
      </c>
      <c r="AT83" s="134"/>
      <c r="AU83" s="134">
        <f t="shared" si="37"/>
        <v>42.466837068854737</v>
      </c>
      <c r="AV83" s="139">
        <f>+P83+AS83+AT83+AU83</f>
        <v>2322.4711227831403</v>
      </c>
      <c r="AW83" s="131"/>
      <c r="AX83" s="131"/>
      <c r="AY83" s="133">
        <f t="shared" si="38"/>
        <v>-1952.3415320141655</v>
      </c>
      <c r="AZ83" s="136"/>
      <c r="BA83" s="42"/>
    </row>
    <row r="84" spans="1:53" s="18" customFormat="1" ht="15.75" customHeight="1">
      <c r="A84" s="131" t="s">
        <v>42</v>
      </c>
      <c r="B84" s="136" t="s">
        <v>145</v>
      </c>
      <c r="C84" s="132">
        <f>C83+1</f>
        <v>78</v>
      </c>
      <c r="D84" s="150" t="s">
        <v>170</v>
      </c>
      <c r="E84" s="131" t="s">
        <v>30</v>
      </c>
      <c r="F84" s="137"/>
      <c r="G84" s="133">
        <v>1249.5642857142857</v>
      </c>
      <c r="H84" s="133">
        <v>4998.2571428571428</v>
      </c>
      <c r="I84" s="133">
        <f>+G84</f>
        <v>1249.5642857142857</v>
      </c>
      <c r="J84" s="133">
        <v>5307.94</v>
      </c>
      <c r="K84" s="133">
        <f t="shared" si="25"/>
        <v>6557.5042857142853</v>
      </c>
      <c r="L84" s="133">
        <f>(VLOOKUP($K84,TABLAS!$G$6:$I$16,3,TRUE)/30.4)*7</f>
        <v>0</v>
      </c>
      <c r="M84" s="133"/>
      <c r="N84" s="133"/>
      <c r="O84" s="138"/>
      <c r="P84" s="139">
        <f t="shared" si="26"/>
        <v>6557.5042857142853</v>
      </c>
      <c r="Q84" s="139"/>
      <c r="R84" s="139"/>
      <c r="S84" s="139">
        <f t="shared" si="27"/>
        <v>2.0154262672811063</v>
      </c>
      <c r="T84" s="139">
        <f t="shared" si="28"/>
        <v>178.50918367346938</v>
      </c>
      <c r="U84" s="140">
        <f>VLOOKUP($H84,TABLAS!$B$6:$E$16,4,TRUE)</f>
        <v>0.23519999999999999</v>
      </c>
      <c r="V84" s="141">
        <f>VLOOKUP($H84,TABLAS!$B$6:$E$16,1,TRUE)</f>
        <v>4782.62</v>
      </c>
      <c r="W84" s="139">
        <f t="shared" si="29"/>
        <v>215.63714285714286</v>
      </c>
      <c r="X84" s="141">
        <f>VLOOKUP($H84,TABLAS!$B$6:$E$16,3,TRUE)</f>
        <v>766.15</v>
      </c>
      <c r="Y84" s="139">
        <f t="shared" si="30"/>
        <v>816.86785599999996</v>
      </c>
      <c r="Z84" s="139">
        <f t="shared" si="31"/>
        <v>188.09457210526315</v>
      </c>
      <c r="AA84" s="133">
        <f t="shared" si="39"/>
        <v>400.14386246325</v>
      </c>
      <c r="AB84" s="133">
        <f t="shared" si="40"/>
        <v>31.432139833714249</v>
      </c>
      <c r="AC84" s="133"/>
      <c r="AD84" s="139"/>
      <c r="AE84" s="133"/>
      <c r="AF84" s="133"/>
      <c r="AG84" s="133"/>
      <c r="AH84" s="133"/>
      <c r="AI84" s="133"/>
      <c r="AJ84" s="133"/>
      <c r="AK84" s="133"/>
      <c r="AL84" s="134"/>
      <c r="AM84" s="134"/>
      <c r="AN84" s="136"/>
      <c r="AO84" s="139">
        <f t="shared" si="32"/>
        <v>156.66243227154891</v>
      </c>
      <c r="AP84" s="139">
        <f t="shared" si="33"/>
        <v>6400.8418534427365</v>
      </c>
      <c r="AQ84" s="134">
        <f t="shared" si="34"/>
        <v>491.8128214285714</v>
      </c>
      <c r="AR84" s="139">
        <f t="shared" si="35"/>
        <v>5909.0290320141648</v>
      </c>
      <c r="AS84" s="134">
        <f t="shared" si="36"/>
        <v>0</v>
      </c>
      <c r="AT84" s="134"/>
      <c r="AU84" s="134">
        <f t="shared" si="37"/>
        <v>128.01683706885473</v>
      </c>
      <c r="AV84" s="139">
        <f>+P84+AS84+AT84+AU84</f>
        <v>6685.5211227831396</v>
      </c>
      <c r="AW84" s="131"/>
      <c r="AX84" s="131"/>
      <c r="AY84" s="133">
        <f t="shared" si="38"/>
        <v>-5909.0290320141648</v>
      </c>
      <c r="AZ84" s="136"/>
      <c r="BA84" s="45"/>
    </row>
    <row r="85" spans="1:53" s="18" customFormat="1" ht="15.75" customHeight="1">
      <c r="A85" s="131" t="s">
        <v>42</v>
      </c>
      <c r="B85" s="136" t="s">
        <v>79</v>
      </c>
      <c r="C85" s="132">
        <f>C84+1</f>
        <v>79</v>
      </c>
      <c r="D85" s="150" t="s">
        <v>170</v>
      </c>
      <c r="E85" s="131" t="s">
        <v>30</v>
      </c>
      <c r="F85" s="137"/>
      <c r="G85" s="133">
        <v>1249.5642857142857</v>
      </c>
      <c r="H85" s="133">
        <v>4998.2571428571428</v>
      </c>
      <c r="I85" s="133">
        <f>+G85</f>
        <v>1249.5642857142857</v>
      </c>
      <c r="J85" s="133">
        <v>968.49</v>
      </c>
      <c r="K85" s="133">
        <f t="shared" si="25"/>
        <v>2218.0542857142855</v>
      </c>
      <c r="L85" s="133">
        <f>(VLOOKUP($K85,TABLAS!$G$6:$I$16,3,TRUE)/30.4)*7</f>
        <v>0</v>
      </c>
      <c r="M85" s="133"/>
      <c r="N85" s="133"/>
      <c r="O85" s="138"/>
      <c r="P85" s="139">
        <f t="shared" si="26"/>
        <v>2218.0542857142855</v>
      </c>
      <c r="Q85" s="139"/>
      <c r="R85" s="139"/>
      <c r="S85" s="139">
        <f t="shared" si="27"/>
        <v>2.0154262672811063</v>
      </c>
      <c r="T85" s="139">
        <f t="shared" si="28"/>
        <v>178.50918367346938</v>
      </c>
      <c r="U85" s="140">
        <f>VLOOKUP($H85,TABLAS!$B$6:$E$16,4,TRUE)</f>
        <v>0.23519999999999999</v>
      </c>
      <c r="V85" s="141">
        <f>VLOOKUP($H85,TABLAS!$B$6:$E$16,1,TRUE)</f>
        <v>4782.62</v>
      </c>
      <c r="W85" s="139">
        <f t="shared" si="29"/>
        <v>215.63714285714286</v>
      </c>
      <c r="X85" s="141">
        <f>VLOOKUP($H85,TABLAS!$B$6:$E$16,3,TRUE)</f>
        <v>766.15</v>
      </c>
      <c r="Y85" s="139">
        <f t="shared" si="30"/>
        <v>816.86785599999996</v>
      </c>
      <c r="Z85" s="139">
        <f t="shared" si="31"/>
        <v>188.09457210526315</v>
      </c>
      <c r="AA85" s="133">
        <f t="shared" si="39"/>
        <v>400.14386246325</v>
      </c>
      <c r="AB85" s="133">
        <f t="shared" si="40"/>
        <v>31.432139833714249</v>
      </c>
      <c r="AC85" s="133"/>
      <c r="AD85" s="139"/>
      <c r="AE85" s="133"/>
      <c r="AF85" s="133"/>
      <c r="AG85" s="133"/>
      <c r="AH85" s="133"/>
      <c r="AI85" s="133"/>
      <c r="AJ85" s="133"/>
      <c r="AK85" s="133"/>
      <c r="AL85" s="134"/>
      <c r="AM85" s="134"/>
      <c r="AN85" s="136"/>
      <c r="AO85" s="139">
        <f t="shared" si="32"/>
        <v>156.66243227154891</v>
      </c>
      <c r="AP85" s="139">
        <f t="shared" si="33"/>
        <v>2061.3918534427366</v>
      </c>
      <c r="AQ85" s="134">
        <f t="shared" si="34"/>
        <v>166.35407142857142</v>
      </c>
      <c r="AR85" s="139">
        <f t="shared" si="35"/>
        <v>1895.0377820141653</v>
      </c>
      <c r="AS85" s="134">
        <f t="shared" si="36"/>
        <v>0</v>
      </c>
      <c r="AT85" s="134"/>
      <c r="AU85" s="134">
        <f t="shared" si="37"/>
        <v>41.227837068854733</v>
      </c>
      <c r="AV85" s="139">
        <f>+P85+AS85+AT85+AU85</f>
        <v>2259.28212278314</v>
      </c>
      <c r="AW85" s="131"/>
      <c r="AX85" s="142"/>
      <c r="AY85" s="133">
        <f t="shared" si="38"/>
        <v>-1895.0377820141653</v>
      </c>
      <c r="AZ85" s="136"/>
      <c r="BA85" s="42"/>
    </row>
    <row r="86" spans="1:53" s="18" customFormat="1" ht="15.75" customHeight="1">
      <c r="A86" s="131" t="s">
        <v>160</v>
      </c>
      <c r="B86" s="136" t="s">
        <v>106</v>
      </c>
      <c r="C86" s="132">
        <f>C85+1</f>
        <v>80</v>
      </c>
      <c r="D86" s="150" t="s">
        <v>170</v>
      </c>
      <c r="E86" s="131" t="s">
        <v>46</v>
      </c>
      <c r="F86" s="137"/>
      <c r="G86" s="133">
        <v>1500</v>
      </c>
      <c r="H86" s="133">
        <v>6000</v>
      </c>
      <c r="I86" s="133">
        <f>+G86</f>
        <v>1500</v>
      </c>
      <c r="J86" s="133"/>
      <c r="K86" s="133">
        <f t="shared" si="25"/>
        <v>1500</v>
      </c>
      <c r="L86" s="133">
        <f>(VLOOKUP($K86,TABLAS!$G$6:$I$16,3,TRUE)/30.4)*7</f>
        <v>13.442763157894738</v>
      </c>
      <c r="M86" s="133"/>
      <c r="N86" s="133"/>
      <c r="O86" s="138"/>
      <c r="P86" s="139">
        <f t="shared" si="26"/>
        <v>1513.4427631578947</v>
      </c>
      <c r="Q86" s="139"/>
      <c r="R86" s="139"/>
      <c r="S86" s="139">
        <f t="shared" si="27"/>
        <v>2.4193548387096779</v>
      </c>
      <c r="T86" s="139">
        <f t="shared" si="28"/>
        <v>214.28571428571428</v>
      </c>
      <c r="U86" s="140">
        <f>VLOOKUP($H86,TABLAS!$B$6:$E$16,4,TRUE)</f>
        <v>0.23519999999999999</v>
      </c>
      <c r="V86" s="141">
        <f>VLOOKUP($H86,TABLAS!$B$6:$E$16,1,TRUE)</f>
        <v>4782.62</v>
      </c>
      <c r="W86" s="139">
        <f t="shared" si="29"/>
        <v>1217.3800000000001</v>
      </c>
      <c r="X86" s="141">
        <f>VLOOKUP($H86,TABLAS!$B$6:$E$16,3,TRUE)</f>
        <v>766.15</v>
      </c>
      <c r="Y86" s="139">
        <f t="shared" si="30"/>
        <v>1052.4777759999999</v>
      </c>
      <c r="Z86" s="139">
        <f t="shared" si="31"/>
        <v>242.34685631578947</v>
      </c>
      <c r="AA86" s="133">
        <f>1830.57776352/4</f>
        <v>457.64444087999999</v>
      </c>
      <c r="AB86" s="133">
        <f>150.92688/4</f>
        <v>37.731720000000003</v>
      </c>
      <c r="AC86" s="133"/>
      <c r="AD86" s="139"/>
      <c r="AE86" s="133"/>
      <c r="AF86" s="133"/>
      <c r="AG86" s="133"/>
      <c r="AH86" s="133"/>
      <c r="AI86" s="133"/>
      <c r="AJ86" s="133"/>
      <c r="AK86" s="133"/>
      <c r="AL86" s="134"/>
      <c r="AM86" s="134"/>
      <c r="AN86" s="136"/>
      <c r="AO86" s="139">
        <f t="shared" si="32"/>
        <v>204.61513631578947</v>
      </c>
      <c r="AP86" s="139">
        <f t="shared" si="33"/>
        <v>1308.8276268421052</v>
      </c>
      <c r="AQ86" s="134">
        <f t="shared" si="34"/>
        <v>0</v>
      </c>
      <c r="AR86" s="139">
        <f t="shared" si="35"/>
        <v>1308.8276268421052</v>
      </c>
      <c r="AS86" s="134">
        <f t="shared" si="36"/>
        <v>113.5082072368421</v>
      </c>
      <c r="AT86" s="134"/>
      <c r="AU86" s="134">
        <f t="shared" si="37"/>
        <v>26.176552536842106</v>
      </c>
      <c r="AV86" s="139">
        <f>+P86+AS86+AT86+AU86</f>
        <v>1653.1275229315788</v>
      </c>
      <c r="AW86" s="131"/>
      <c r="AX86" s="142"/>
      <c r="AY86" s="133">
        <f t="shared" si="38"/>
        <v>-1308.8276268421052</v>
      </c>
      <c r="AZ86" s="136"/>
      <c r="BA86" s="42"/>
    </row>
    <row r="87" spans="1:53" s="18" customFormat="1" ht="15.75" customHeight="1">
      <c r="A87" s="131" t="s">
        <v>163</v>
      </c>
      <c r="B87" s="136" t="s">
        <v>59</v>
      </c>
      <c r="C87" s="132">
        <f>C86+1</f>
        <v>81</v>
      </c>
      <c r="D87" s="150" t="s">
        <v>170</v>
      </c>
      <c r="E87" s="131" t="s">
        <v>47</v>
      </c>
      <c r="F87" s="137"/>
      <c r="G87" s="133">
        <v>1625.0035714285714</v>
      </c>
      <c r="H87" s="133">
        <v>6500.0142857142855</v>
      </c>
      <c r="I87" s="133">
        <f>+G87</f>
        <v>1625.0035714285714</v>
      </c>
      <c r="J87" s="133"/>
      <c r="K87" s="133">
        <f t="shared" si="25"/>
        <v>1625.0035714285714</v>
      </c>
      <c r="L87" s="133">
        <f>(VLOOKUP($K87,TABLAS!$G$6:$I$16,3,TRUE)/30.4)*7</f>
        <v>13.442763157894738</v>
      </c>
      <c r="M87" s="133"/>
      <c r="N87" s="133"/>
      <c r="O87" s="138"/>
      <c r="P87" s="139">
        <f t="shared" si="26"/>
        <v>1638.446334586466</v>
      </c>
      <c r="Q87" s="139"/>
      <c r="R87" s="139"/>
      <c r="S87" s="139">
        <f t="shared" si="27"/>
        <v>2.6209735023041478</v>
      </c>
      <c r="T87" s="139">
        <f t="shared" si="28"/>
        <v>232.14336734693876</v>
      </c>
      <c r="U87" s="140">
        <f>VLOOKUP($H87,TABLAS!$B$6:$E$16,4,TRUE)</f>
        <v>0.23519999999999999</v>
      </c>
      <c r="V87" s="141">
        <f>VLOOKUP($H87,TABLAS!$B$6:$E$16,1,TRUE)</f>
        <v>4782.62</v>
      </c>
      <c r="W87" s="139">
        <f t="shared" si="29"/>
        <v>1717.3942857142856</v>
      </c>
      <c r="X87" s="141">
        <f>VLOOKUP($H87,TABLAS!$B$6:$E$16,3,TRUE)</f>
        <v>766.15</v>
      </c>
      <c r="Y87" s="139">
        <f t="shared" si="30"/>
        <v>1170.081136</v>
      </c>
      <c r="Z87" s="139">
        <f t="shared" si="31"/>
        <v>269.42657736842108</v>
      </c>
      <c r="AA87" s="133">
        <f>1948.72938546843/4</f>
        <v>487.18234636710753</v>
      </c>
      <c r="AB87" s="133">
        <f>164.397083871771/4</f>
        <v>41.099270967942751</v>
      </c>
      <c r="AC87" s="133"/>
      <c r="AD87" s="139"/>
      <c r="AE87" s="133"/>
      <c r="AF87" s="133"/>
      <c r="AG87" s="133"/>
      <c r="AH87" s="133"/>
      <c r="AI87" s="133"/>
      <c r="AJ87" s="133"/>
      <c r="AK87" s="133"/>
      <c r="AL87" s="134"/>
      <c r="AM87" s="134"/>
      <c r="AN87" s="136"/>
      <c r="AO87" s="139">
        <f t="shared" si="32"/>
        <v>228.32730640047834</v>
      </c>
      <c r="AP87" s="139">
        <f t="shared" si="33"/>
        <v>1410.1190281859876</v>
      </c>
      <c r="AQ87" s="134">
        <f t="shared" si="34"/>
        <v>0</v>
      </c>
      <c r="AR87" s="139">
        <f t="shared" si="35"/>
        <v>1410.1190281859876</v>
      </c>
      <c r="AS87" s="134">
        <f t="shared" si="36"/>
        <v>122.88347509398494</v>
      </c>
      <c r="AT87" s="134"/>
      <c r="AU87" s="134">
        <f t="shared" si="37"/>
        <v>28.202380563719753</v>
      </c>
      <c r="AV87" s="139">
        <f>+P87+AS87+AT87+AU87</f>
        <v>1789.5321902441708</v>
      </c>
      <c r="AW87" s="136"/>
      <c r="AX87" s="142"/>
      <c r="AY87" s="133">
        <f t="shared" si="38"/>
        <v>-1410.1190281859876</v>
      </c>
      <c r="AZ87" s="136"/>
      <c r="BA87" s="45"/>
    </row>
    <row r="88" spans="1:53" s="18" customFormat="1" ht="15.75" customHeight="1">
      <c r="A88" s="131" t="s">
        <v>163</v>
      </c>
      <c r="B88" s="136" t="s">
        <v>104</v>
      </c>
      <c r="C88" s="132">
        <f>C87+1</f>
        <v>82</v>
      </c>
      <c r="D88" s="150" t="s">
        <v>170</v>
      </c>
      <c r="E88" s="131" t="s">
        <v>47</v>
      </c>
      <c r="F88" s="137"/>
      <c r="G88" s="133">
        <v>1625.0035714285714</v>
      </c>
      <c r="H88" s="133">
        <v>6500.0142857142855</v>
      </c>
      <c r="I88" s="133">
        <f>+G88</f>
        <v>1625.0035714285714</v>
      </c>
      <c r="J88" s="133"/>
      <c r="K88" s="133">
        <f t="shared" si="25"/>
        <v>1625.0035714285714</v>
      </c>
      <c r="L88" s="133">
        <f>(VLOOKUP($K88,TABLAS!$G$6:$I$16,3,TRUE)/30.4)*7</f>
        <v>13.442763157894738</v>
      </c>
      <c r="M88" s="133"/>
      <c r="N88" s="133"/>
      <c r="O88" s="138"/>
      <c r="P88" s="139">
        <f t="shared" si="26"/>
        <v>1638.446334586466</v>
      </c>
      <c r="Q88" s="139"/>
      <c r="R88" s="139"/>
      <c r="S88" s="139">
        <f t="shared" si="27"/>
        <v>2.6209735023041478</v>
      </c>
      <c r="T88" s="139">
        <f t="shared" si="28"/>
        <v>232.14336734693876</v>
      </c>
      <c r="U88" s="140">
        <f>VLOOKUP($H88,TABLAS!$B$6:$E$16,4,TRUE)</f>
        <v>0.23519999999999999</v>
      </c>
      <c r="V88" s="141">
        <f>VLOOKUP($H88,TABLAS!$B$6:$E$16,1,TRUE)</f>
        <v>4782.62</v>
      </c>
      <c r="W88" s="139">
        <f t="shared" si="29"/>
        <v>1717.3942857142856</v>
      </c>
      <c r="X88" s="141">
        <f>VLOOKUP($H88,TABLAS!$B$6:$E$16,3,TRUE)</f>
        <v>766.15</v>
      </c>
      <c r="Y88" s="139">
        <f t="shared" si="30"/>
        <v>1170.081136</v>
      </c>
      <c r="Z88" s="139">
        <f t="shared" si="31"/>
        <v>269.42657736842108</v>
      </c>
      <c r="AA88" s="133">
        <f t="shared" ref="AA88:AA95" si="41">1948.72938546843/4</f>
        <v>487.18234636710753</v>
      </c>
      <c r="AB88" s="133">
        <f t="shared" ref="AB88:AB95" si="42">164.397083871771/4</f>
        <v>41.099270967942751</v>
      </c>
      <c r="AC88" s="133"/>
      <c r="AD88" s="139"/>
      <c r="AE88" s="133"/>
      <c r="AF88" s="133"/>
      <c r="AG88" s="133"/>
      <c r="AH88" s="133"/>
      <c r="AI88" s="133"/>
      <c r="AJ88" s="133"/>
      <c r="AK88" s="133"/>
      <c r="AL88" s="134"/>
      <c r="AM88" s="134"/>
      <c r="AN88" s="136"/>
      <c r="AO88" s="139">
        <f t="shared" si="32"/>
        <v>228.32730640047834</v>
      </c>
      <c r="AP88" s="139">
        <f t="shared" si="33"/>
        <v>1410.1190281859876</v>
      </c>
      <c r="AQ88" s="134">
        <f t="shared" si="34"/>
        <v>0</v>
      </c>
      <c r="AR88" s="139">
        <f t="shared" si="35"/>
        <v>1410.1190281859876</v>
      </c>
      <c r="AS88" s="134">
        <f t="shared" si="36"/>
        <v>122.88347509398494</v>
      </c>
      <c r="AT88" s="134"/>
      <c r="AU88" s="134">
        <f t="shared" si="37"/>
        <v>28.202380563719753</v>
      </c>
      <c r="AV88" s="139">
        <f>+P88+AS88+AT88+AU88</f>
        <v>1789.5321902441708</v>
      </c>
      <c r="AW88" s="136"/>
      <c r="AX88" s="142"/>
      <c r="AY88" s="133"/>
      <c r="AZ88" s="136"/>
      <c r="BA88" s="45"/>
    </row>
    <row r="89" spans="1:53" s="18" customFormat="1" ht="15.75" customHeight="1">
      <c r="A89" s="131" t="s">
        <v>163</v>
      </c>
      <c r="B89" s="136" t="s">
        <v>61</v>
      </c>
      <c r="C89" s="132">
        <f>C88+1</f>
        <v>83</v>
      </c>
      <c r="D89" s="150" t="s">
        <v>170</v>
      </c>
      <c r="E89" s="131" t="s">
        <v>47</v>
      </c>
      <c r="F89" s="137"/>
      <c r="G89" s="133">
        <v>1625.0035714285714</v>
      </c>
      <c r="H89" s="133">
        <v>6500.0142857142855</v>
      </c>
      <c r="I89" s="133">
        <f>+G89</f>
        <v>1625.0035714285714</v>
      </c>
      <c r="J89" s="133"/>
      <c r="K89" s="133">
        <f t="shared" si="25"/>
        <v>1625.0035714285714</v>
      </c>
      <c r="L89" s="133">
        <f>(VLOOKUP($K89,TABLAS!$G$6:$I$16,3,TRUE)/30.4)*7</f>
        <v>13.442763157894738</v>
      </c>
      <c r="M89" s="133"/>
      <c r="N89" s="133"/>
      <c r="O89" s="138"/>
      <c r="P89" s="139">
        <f t="shared" si="26"/>
        <v>1638.446334586466</v>
      </c>
      <c r="Q89" s="139"/>
      <c r="R89" s="139"/>
      <c r="S89" s="139">
        <f t="shared" si="27"/>
        <v>2.6209735023041478</v>
      </c>
      <c r="T89" s="139">
        <f t="shared" si="28"/>
        <v>232.14336734693876</v>
      </c>
      <c r="U89" s="140">
        <f>VLOOKUP($H89,TABLAS!$B$6:$E$16,4,TRUE)</f>
        <v>0.23519999999999999</v>
      </c>
      <c r="V89" s="141">
        <f>VLOOKUP($H89,TABLAS!$B$6:$E$16,1,TRUE)</f>
        <v>4782.62</v>
      </c>
      <c r="W89" s="139">
        <f t="shared" si="29"/>
        <v>1717.3942857142856</v>
      </c>
      <c r="X89" s="141">
        <f>VLOOKUP($H89,TABLAS!$B$6:$E$16,3,TRUE)</f>
        <v>766.15</v>
      </c>
      <c r="Y89" s="139">
        <f t="shared" si="30"/>
        <v>1170.081136</v>
      </c>
      <c r="Z89" s="139">
        <f t="shared" si="31"/>
        <v>269.42657736842108</v>
      </c>
      <c r="AA89" s="133">
        <f t="shared" si="41"/>
        <v>487.18234636710753</v>
      </c>
      <c r="AB89" s="133">
        <f t="shared" si="42"/>
        <v>41.099270967942751</v>
      </c>
      <c r="AC89" s="133"/>
      <c r="AD89" s="139"/>
      <c r="AE89" s="133"/>
      <c r="AF89" s="133"/>
      <c r="AG89" s="133"/>
      <c r="AH89" s="133"/>
      <c r="AI89" s="133"/>
      <c r="AJ89" s="133"/>
      <c r="AK89" s="133"/>
      <c r="AL89" s="134"/>
      <c r="AM89" s="134"/>
      <c r="AN89" s="136"/>
      <c r="AO89" s="139">
        <f t="shared" si="32"/>
        <v>228.32730640047834</v>
      </c>
      <c r="AP89" s="139">
        <f t="shared" si="33"/>
        <v>1410.1190281859876</v>
      </c>
      <c r="AQ89" s="134">
        <f t="shared" si="34"/>
        <v>0</v>
      </c>
      <c r="AR89" s="139">
        <f t="shared" si="35"/>
        <v>1410.1190281859876</v>
      </c>
      <c r="AS89" s="134">
        <f t="shared" si="36"/>
        <v>122.88347509398494</v>
      </c>
      <c r="AT89" s="134"/>
      <c r="AU89" s="134">
        <f t="shared" si="37"/>
        <v>28.202380563719753</v>
      </c>
      <c r="AV89" s="139">
        <f>+P89+AS89+AT89+AU89</f>
        <v>1789.5321902441708</v>
      </c>
      <c r="AW89" s="131"/>
      <c r="AX89" s="142"/>
      <c r="AY89" s="133">
        <f t="shared" ref="AY89:AY97" si="43">+AW89+AX89-AR89</f>
        <v>-1410.1190281859876</v>
      </c>
      <c r="AZ89" s="136"/>
      <c r="BA89" s="45"/>
    </row>
    <row r="90" spans="1:53" s="18" customFormat="1" ht="15.75" customHeight="1">
      <c r="A90" s="131" t="s">
        <v>163</v>
      </c>
      <c r="B90" s="136" t="s">
        <v>122</v>
      </c>
      <c r="C90" s="132">
        <f>C89+1</f>
        <v>84</v>
      </c>
      <c r="D90" s="151" t="s">
        <v>170</v>
      </c>
      <c r="E90" s="131" t="s">
        <v>47</v>
      </c>
      <c r="F90" s="137"/>
      <c r="G90" s="133">
        <v>1625.0035714285714</v>
      </c>
      <c r="H90" s="133">
        <v>6500.0142857142855</v>
      </c>
      <c r="I90" s="133">
        <f>+G90</f>
        <v>1625.0035714285714</v>
      </c>
      <c r="J90" s="133"/>
      <c r="K90" s="133">
        <f t="shared" si="25"/>
        <v>1625.0035714285714</v>
      </c>
      <c r="L90" s="133">
        <f>(VLOOKUP($K90,TABLAS!$G$6:$I$16,3,TRUE)/30.4)*7</f>
        <v>13.442763157894738</v>
      </c>
      <c r="M90" s="133"/>
      <c r="N90" s="133"/>
      <c r="O90" s="138"/>
      <c r="P90" s="139">
        <f t="shared" si="26"/>
        <v>1638.446334586466</v>
      </c>
      <c r="Q90" s="139"/>
      <c r="R90" s="139"/>
      <c r="S90" s="139">
        <f t="shared" si="27"/>
        <v>2.6209735023041478</v>
      </c>
      <c r="T90" s="139">
        <f t="shared" si="28"/>
        <v>232.14336734693876</v>
      </c>
      <c r="U90" s="140">
        <f>VLOOKUP($H90,TABLAS!$B$6:$E$16,4,TRUE)</f>
        <v>0.23519999999999999</v>
      </c>
      <c r="V90" s="141">
        <f>VLOOKUP($H90,TABLAS!$B$6:$E$16,1,TRUE)</f>
        <v>4782.62</v>
      </c>
      <c r="W90" s="139">
        <f t="shared" si="29"/>
        <v>1717.3942857142856</v>
      </c>
      <c r="X90" s="141">
        <f>VLOOKUP($H90,TABLAS!$B$6:$E$16,3,TRUE)</f>
        <v>766.15</v>
      </c>
      <c r="Y90" s="139">
        <f t="shared" si="30"/>
        <v>1170.081136</v>
      </c>
      <c r="Z90" s="139">
        <f t="shared" si="31"/>
        <v>269.42657736842108</v>
      </c>
      <c r="AA90" s="133">
        <f t="shared" si="41"/>
        <v>487.18234636710753</v>
      </c>
      <c r="AB90" s="133">
        <f t="shared" si="42"/>
        <v>41.099270967942751</v>
      </c>
      <c r="AC90" s="133"/>
      <c r="AD90" s="139"/>
      <c r="AE90" s="133"/>
      <c r="AF90" s="133"/>
      <c r="AG90" s="133"/>
      <c r="AH90" s="133"/>
      <c r="AI90" s="133"/>
      <c r="AJ90" s="133"/>
      <c r="AK90" s="133"/>
      <c r="AL90" s="134"/>
      <c r="AM90" s="134"/>
      <c r="AN90" s="136"/>
      <c r="AO90" s="139">
        <f t="shared" si="32"/>
        <v>228.32730640047834</v>
      </c>
      <c r="AP90" s="139">
        <f t="shared" si="33"/>
        <v>1410.1190281859876</v>
      </c>
      <c r="AQ90" s="134">
        <f t="shared" si="34"/>
        <v>0</v>
      </c>
      <c r="AR90" s="139">
        <f t="shared" si="35"/>
        <v>1410.1190281859876</v>
      </c>
      <c r="AS90" s="134">
        <f t="shared" si="36"/>
        <v>122.88347509398494</v>
      </c>
      <c r="AT90" s="134"/>
      <c r="AU90" s="134">
        <f t="shared" si="37"/>
        <v>28.202380563719753</v>
      </c>
      <c r="AV90" s="139">
        <f>+P90+AS90+AT90+AU90</f>
        <v>1789.5321902441708</v>
      </c>
      <c r="AW90" s="131"/>
      <c r="AX90" s="142"/>
      <c r="AY90" s="133">
        <f t="shared" si="43"/>
        <v>-1410.1190281859876</v>
      </c>
      <c r="AZ90" s="136"/>
      <c r="BA90" s="45"/>
    </row>
    <row r="91" spans="1:53" s="18" customFormat="1" ht="15.75" customHeight="1">
      <c r="A91" s="131" t="s">
        <v>163</v>
      </c>
      <c r="B91" s="136" t="s">
        <v>81</v>
      </c>
      <c r="C91" s="132">
        <f>C90+1</f>
        <v>85</v>
      </c>
      <c r="D91" s="150" t="s">
        <v>170</v>
      </c>
      <c r="E91" s="131" t="s">
        <v>47</v>
      </c>
      <c r="F91" s="137"/>
      <c r="G91" s="133">
        <v>1625.0035714285714</v>
      </c>
      <c r="H91" s="133">
        <v>6500.0142857142855</v>
      </c>
      <c r="I91" s="133">
        <f>+G91</f>
        <v>1625.0035714285714</v>
      </c>
      <c r="J91" s="133"/>
      <c r="K91" s="133">
        <f t="shared" si="25"/>
        <v>1625.0035714285714</v>
      </c>
      <c r="L91" s="133">
        <f>(VLOOKUP($K91,TABLAS!$G$6:$I$16,3,TRUE)/30.4)*7</f>
        <v>13.442763157894738</v>
      </c>
      <c r="M91" s="133"/>
      <c r="N91" s="133"/>
      <c r="O91" s="138"/>
      <c r="P91" s="139">
        <f t="shared" si="26"/>
        <v>1638.446334586466</v>
      </c>
      <c r="Q91" s="139"/>
      <c r="R91" s="139"/>
      <c r="S91" s="139">
        <f t="shared" si="27"/>
        <v>2.6209735023041478</v>
      </c>
      <c r="T91" s="139">
        <f t="shared" si="28"/>
        <v>232.14336734693876</v>
      </c>
      <c r="U91" s="140">
        <f>VLOOKUP($H91,TABLAS!$B$6:$E$16,4,TRUE)</f>
        <v>0.23519999999999999</v>
      </c>
      <c r="V91" s="141">
        <f>VLOOKUP($H91,TABLAS!$B$6:$E$16,1,TRUE)</f>
        <v>4782.62</v>
      </c>
      <c r="W91" s="139">
        <f t="shared" si="29"/>
        <v>1717.3942857142856</v>
      </c>
      <c r="X91" s="141">
        <f>VLOOKUP($H91,TABLAS!$B$6:$E$16,3,TRUE)</f>
        <v>766.15</v>
      </c>
      <c r="Y91" s="139">
        <f t="shared" si="30"/>
        <v>1170.081136</v>
      </c>
      <c r="Z91" s="139">
        <f t="shared" si="31"/>
        <v>269.42657736842108</v>
      </c>
      <c r="AA91" s="133">
        <f t="shared" si="41"/>
        <v>487.18234636710753</v>
      </c>
      <c r="AB91" s="133">
        <f t="shared" si="42"/>
        <v>41.099270967942751</v>
      </c>
      <c r="AC91" s="133"/>
      <c r="AD91" s="139"/>
      <c r="AE91" s="133"/>
      <c r="AF91" s="133"/>
      <c r="AG91" s="133"/>
      <c r="AH91" s="133"/>
      <c r="AI91" s="133"/>
      <c r="AJ91" s="133"/>
      <c r="AK91" s="133"/>
      <c r="AL91" s="134"/>
      <c r="AM91" s="134"/>
      <c r="AN91" s="136"/>
      <c r="AO91" s="139">
        <f t="shared" si="32"/>
        <v>228.32730640047834</v>
      </c>
      <c r="AP91" s="139">
        <f t="shared" si="33"/>
        <v>1410.1190281859876</v>
      </c>
      <c r="AQ91" s="134">
        <f t="shared" si="34"/>
        <v>0</v>
      </c>
      <c r="AR91" s="139">
        <f t="shared" si="35"/>
        <v>1410.1190281859876</v>
      </c>
      <c r="AS91" s="134">
        <f t="shared" si="36"/>
        <v>122.88347509398494</v>
      </c>
      <c r="AT91" s="134"/>
      <c r="AU91" s="134">
        <f t="shared" si="37"/>
        <v>28.202380563719753</v>
      </c>
      <c r="AV91" s="139">
        <f>+P91+AS91+AT91+AU91</f>
        <v>1789.5321902441708</v>
      </c>
      <c r="AW91" s="131"/>
      <c r="AX91" s="142"/>
      <c r="AY91" s="133">
        <f t="shared" si="43"/>
        <v>-1410.1190281859876</v>
      </c>
      <c r="AZ91" s="136"/>
      <c r="BA91" s="45"/>
    </row>
    <row r="92" spans="1:53" s="18" customFormat="1" ht="15.75" customHeight="1">
      <c r="A92" s="131" t="s">
        <v>163</v>
      </c>
      <c r="B92" s="136" t="s">
        <v>157</v>
      </c>
      <c r="C92" s="132">
        <f>C91+1</f>
        <v>86</v>
      </c>
      <c r="D92" s="150" t="s">
        <v>170</v>
      </c>
      <c r="E92" s="131" t="s">
        <v>47</v>
      </c>
      <c r="F92" s="137"/>
      <c r="G92" s="133">
        <v>1625.0035714285714</v>
      </c>
      <c r="H92" s="133">
        <v>6500.0142857142855</v>
      </c>
      <c r="I92" s="133">
        <f>+G92</f>
        <v>1625.0035714285714</v>
      </c>
      <c r="J92" s="133"/>
      <c r="K92" s="133">
        <f t="shared" si="25"/>
        <v>1625.0035714285714</v>
      </c>
      <c r="L92" s="133">
        <f>(VLOOKUP($K92,TABLAS!$G$6:$I$16,3,TRUE)/30.4)*7</f>
        <v>13.442763157894738</v>
      </c>
      <c r="M92" s="133"/>
      <c r="N92" s="133"/>
      <c r="O92" s="138"/>
      <c r="P92" s="139">
        <f t="shared" si="26"/>
        <v>1638.446334586466</v>
      </c>
      <c r="Q92" s="139"/>
      <c r="R92" s="139"/>
      <c r="S92" s="139">
        <f t="shared" si="27"/>
        <v>2.6209735023041478</v>
      </c>
      <c r="T92" s="139">
        <f t="shared" si="28"/>
        <v>232.14336734693876</v>
      </c>
      <c r="U92" s="140">
        <f>VLOOKUP($H92,TABLAS!$B$6:$E$16,4,TRUE)</f>
        <v>0.23519999999999999</v>
      </c>
      <c r="V92" s="141">
        <f>VLOOKUP($H92,TABLAS!$B$6:$E$16,1,TRUE)</f>
        <v>4782.62</v>
      </c>
      <c r="W92" s="139">
        <f t="shared" si="29"/>
        <v>1717.3942857142856</v>
      </c>
      <c r="X92" s="141">
        <f>VLOOKUP($H92,TABLAS!$B$6:$E$16,3,TRUE)</f>
        <v>766.15</v>
      </c>
      <c r="Y92" s="139">
        <f t="shared" si="30"/>
        <v>1170.081136</v>
      </c>
      <c r="Z92" s="139">
        <f t="shared" si="31"/>
        <v>269.42657736842108</v>
      </c>
      <c r="AA92" s="133">
        <f t="shared" si="41"/>
        <v>487.18234636710753</v>
      </c>
      <c r="AB92" s="133">
        <f t="shared" si="42"/>
        <v>41.099270967942751</v>
      </c>
      <c r="AC92" s="133"/>
      <c r="AD92" s="139"/>
      <c r="AE92" s="133"/>
      <c r="AF92" s="133"/>
      <c r="AG92" s="133"/>
      <c r="AH92" s="133"/>
      <c r="AI92" s="133"/>
      <c r="AJ92" s="133"/>
      <c r="AK92" s="133"/>
      <c r="AL92" s="134"/>
      <c r="AM92" s="134"/>
      <c r="AN92" s="136"/>
      <c r="AO92" s="139">
        <f t="shared" si="32"/>
        <v>228.32730640047834</v>
      </c>
      <c r="AP92" s="139">
        <f t="shared" si="33"/>
        <v>1410.1190281859876</v>
      </c>
      <c r="AQ92" s="134">
        <f t="shared" si="34"/>
        <v>0</v>
      </c>
      <c r="AR92" s="139">
        <f t="shared" si="35"/>
        <v>1410.1190281859876</v>
      </c>
      <c r="AS92" s="134">
        <f t="shared" si="36"/>
        <v>122.88347509398494</v>
      </c>
      <c r="AT92" s="134"/>
      <c r="AU92" s="134">
        <f t="shared" si="37"/>
        <v>28.202380563719753</v>
      </c>
      <c r="AV92" s="139">
        <f>+P92+AS92+AT92+AU92</f>
        <v>1789.5321902441708</v>
      </c>
      <c r="AW92" s="131"/>
      <c r="AX92" s="142"/>
      <c r="AY92" s="133">
        <f t="shared" si="43"/>
        <v>-1410.1190281859876</v>
      </c>
      <c r="AZ92" s="136"/>
      <c r="BA92" s="45"/>
    </row>
    <row r="93" spans="1:53" s="18" customFormat="1" ht="15.75" customHeight="1">
      <c r="A93" s="131" t="s">
        <v>163</v>
      </c>
      <c r="B93" s="136" t="s">
        <v>158</v>
      </c>
      <c r="C93" s="132">
        <f>C92+1</f>
        <v>87</v>
      </c>
      <c r="D93" s="150" t="s">
        <v>170</v>
      </c>
      <c r="E93" s="131" t="s">
        <v>47</v>
      </c>
      <c r="F93" s="137"/>
      <c r="G93" s="133">
        <v>1625.0035714285714</v>
      </c>
      <c r="H93" s="133">
        <v>6500.0142857142855</v>
      </c>
      <c r="I93" s="133">
        <f>+G93</f>
        <v>1625.0035714285714</v>
      </c>
      <c r="J93" s="133"/>
      <c r="K93" s="133">
        <f t="shared" si="25"/>
        <v>1625.0035714285714</v>
      </c>
      <c r="L93" s="133">
        <f>(VLOOKUP($K93,TABLAS!$G$6:$I$16,3,TRUE)/30.4)*7</f>
        <v>13.442763157894738</v>
      </c>
      <c r="M93" s="133"/>
      <c r="N93" s="133"/>
      <c r="O93" s="138"/>
      <c r="P93" s="139">
        <f t="shared" si="26"/>
        <v>1638.446334586466</v>
      </c>
      <c r="Q93" s="139"/>
      <c r="R93" s="139"/>
      <c r="S93" s="139">
        <f t="shared" si="27"/>
        <v>2.6209735023041478</v>
      </c>
      <c r="T93" s="139">
        <f t="shared" si="28"/>
        <v>232.14336734693876</v>
      </c>
      <c r="U93" s="140">
        <f>VLOOKUP($H93,TABLAS!$B$6:$E$16,4,TRUE)</f>
        <v>0.23519999999999999</v>
      </c>
      <c r="V93" s="141">
        <f>VLOOKUP($H93,TABLAS!$B$6:$E$16,1,TRUE)</f>
        <v>4782.62</v>
      </c>
      <c r="W93" s="139">
        <f t="shared" si="29"/>
        <v>1717.3942857142856</v>
      </c>
      <c r="X93" s="141">
        <f>VLOOKUP($H93,TABLAS!$B$6:$E$16,3,TRUE)</f>
        <v>766.15</v>
      </c>
      <c r="Y93" s="139">
        <f t="shared" si="30"/>
        <v>1170.081136</v>
      </c>
      <c r="Z93" s="139">
        <f t="shared" si="31"/>
        <v>269.42657736842108</v>
      </c>
      <c r="AA93" s="133">
        <f t="shared" si="41"/>
        <v>487.18234636710753</v>
      </c>
      <c r="AB93" s="133">
        <f t="shared" si="42"/>
        <v>41.099270967942751</v>
      </c>
      <c r="AC93" s="133"/>
      <c r="AD93" s="139"/>
      <c r="AE93" s="133"/>
      <c r="AF93" s="133"/>
      <c r="AG93" s="133"/>
      <c r="AH93" s="133"/>
      <c r="AI93" s="133"/>
      <c r="AJ93" s="133"/>
      <c r="AK93" s="133"/>
      <c r="AL93" s="134"/>
      <c r="AM93" s="134"/>
      <c r="AN93" s="136"/>
      <c r="AO93" s="139">
        <f t="shared" si="32"/>
        <v>228.32730640047834</v>
      </c>
      <c r="AP93" s="139">
        <f t="shared" si="33"/>
        <v>1410.1190281859876</v>
      </c>
      <c r="AQ93" s="134">
        <f t="shared" si="34"/>
        <v>0</v>
      </c>
      <c r="AR93" s="139">
        <f t="shared" si="35"/>
        <v>1410.1190281859876</v>
      </c>
      <c r="AS93" s="134">
        <f t="shared" si="36"/>
        <v>122.88347509398494</v>
      </c>
      <c r="AT93" s="134"/>
      <c r="AU93" s="134">
        <f t="shared" si="37"/>
        <v>28.202380563719753</v>
      </c>
      <c r="AV93" s="139">
        <f>+P93+AS93+AT93+AU93</f>
        <v>1789.5321902441708</v>
      </c>
      <c r="AW93" s="136"/>
      <c r="AX93" s="146"/>
      <c r="AY93" s="133">
        <f t="shared" si="43"/>
        <v>-1410.1190281859876</v>
      </c>
      <c r="AZ93" s="135"/>
      <c r="BA93" s="42"/>
    </row>
    <row r="94" spans="1:53" s="18" customFormat="1" ht="15.75" customHeight="1">
      <c r="A94" s="131" t="s">
        <v>163</v>
      </c>
      <c r="B94" s="136" t="s">
        <v>159</v>
      </c>
      <c r="C94" s="132">
        <f>C93+1</f>
        <v>88</v>
      </c>
      <c r="D94" s="150" t="s">
        <v>170</v>
      </c>
      <c r="E94" s="131" t="s">
        <v>47</v>
      </c>
      <c r="F94" s="137"/>
      <c r="G94" s="133">
        <v>1625.0035714285714</v>
      </c>
      <c r="H94" s="133">
        <v>6500.0142857142855</v>
      </c>
      <c r="I94" s="133">
        <f>+G94</f>
        <v>1625.0035714285714</v>
      </c>
      <c r="J94" s="133"/>
      <c r="K94" s="133">
        <f t="shared" si="25"/>
        <v>1625.0035714285714</v>
      </c>
      <c r="L94" s="133">
        <f>(VLOOKUP($K94,TABLAS!$G$6:$I$16,3,TRUE)/30.4)*7</f>
        <v>13.442763157894738</v>
      </c>
      <c r="M94" s="133"/>
      <c r="N94" s="133"/>
      <c r="O94" s="138"/>
      <c r="P94" s="139">
        <f t="shared" si="26"/>
        <v>1638.446334586466</v>
      </c>
      <c r="Q94" s="139"/>
      <c r="R94" s="139"/>
      <c r="S94" s="139">
        <f t="shared" si="27"/>
        <v>2.6209735023041478</v>
      </c>
      <c r="T94" s="139">
        <f t="shared" si="28"/>
        <v>232.14336734693876</v>
      </c>
      <c r="U94" s="140">
        <f>VLOOKUP($H94,TABLAS!$B$6:$E$16,4,TRUE)</f>
        <v>0.23519999999999999</v>
      </c>
      <c r="V94" s="141">
        <f>VLOOKUP($H94,TABLAS!$B$6:$E$16,1,TRUE)</f>
        <v>4782.62</v>
      </c>
      <c r="W94" s="139">
        <f t="shared" si="29"/>
        <v>1717.3942857142856</v>
      </c>
      <c r="X94" s="141">
        <f>VLOOKUP($H94,TABLAS!$B$6:$E$16,3,TRUE)</f>
        <v>766.15</v>
      </c>
      <c r="Y94" s="139">
        <f t="shared" si="30"/>
        <v>1170.081136</v>
      </c>
      <c r="Z94" s="139">
        <f t="shared" si="31"/>
        <v>269.42657736842108</v>
      </c>
      <c r="AA94" s="133">
        <f t="shared" si="41"/>
        <v>487.18234636710753</v>
      </c>
      <c r="AB94" s="133">
        <f t="shared" si="42"/>
        <v>41.099270967942751</v>
      </c>
      <c r="AC94" s="133"/>
      <c r="AD94" s="139"/>
      <c r="AE94" s="133"/>
      <c r="AF94" s="133"/>
      <c r="AG94" s="133"/>
      <c r="AH94" s="133"/>
      <c r="AI94" s="133"/>
      <c r="AJ94" s="133"/>
      <c r="AK94" s="133"/>
      <c r="AL94" s="134"/>
      <c r="AM94" s="134"/>
      <c r="AN94" s="136"/>
      <c r="AO94" s="139">
        <f t="shared" si="32"/>
        <v>228.32730640047834</v>
      </c>
      <c r="AP94" s="139">
        <f t="shared" si="33"/>
        <v>1410.1190281859876</v>
      </c>
      <c r="AQ94" s="134">
        <f t="shared" si="34"/>
        <v>0</v>
      </c>
      <c r="AR94" s="139">
        <f t="shared" si="35"/>
        <v>1410.1190281859876</v>
      </c>
      <c r="AS94" s="134">
        <f t="shared" si="36"/>
        <v>122.88347509398494</v>
      </c>
      <c r="AT94" s="134"/>
      <c r="AU94" s="134">
        <f t="shared" si="37"/>
        <v>28.202380563719753</v>
      </c>
      <c r="AV94" s="139">
        <f>+P94+AS94+AT94+AU94</f>
        <v>1789.5321902441708</v>
      </c>
      <c r="AW94" s="136"/>
      <c r="AX94" s="136"/>
      <c r="AY94" s="133">
        <f t="shared" si="43"/>
        <v>-1410.1190281859876</v>
      </c>
      <c r="AZ94" s="136"/>
      <c r="BA94" s="45"/>
    </row>
    <row r="95" spans="1:53" s="18" customFormat="1" ht="15.75" customHeight="1">
      <c r="A95" s="131" t="s">
        <v>163</v>
      </c>
      <c r="B95" s="136" t="s">
        <v>102</v>
      </c>
      <c r="C95" s="132">
        <f>C94+1</f>
        <v>89</v>
      </c>
      <c r="D95" s="150" t="s">
        <v>170</v>
      </c>
      <c r="E95" s="131" t="s">
        <v>47</v>
      </c>
      <c r="F95" s="137"/>
      <c r="G95" s="133">
        <v>1625.0035714285714</v>
      </c>
      <c r="H95" s="133">
        <v>6500.0142857142855</v>
      </c>
      <c r="I95" s="133">
        <f>+G95</f>
        <v>1625.0035714285714</v>
      </c>
      <c r="J95" s="133"/>
      <c r="K95" s="133">
        <f t="shared" si="25"/>
        <v>1625.0035714285714</v>
      </c>
      <c r="L95" s="133">
        <f>(VLOOKUP($K95,TABLAS!$G$6:$I$16,3,TRUE)/30.4)*7</f>
        <v>13.442763157894738</v>
      </c>
      <c r="M95" s="133"/>
      <c r="N95" s="133"/>
      <c r="O95" s="138"/>
      <c r="P95" s="139">
        <f t="shared" si="26"/>
        <v>1638.446334586466</v>
      </c>
      <c r="Q95" s="139"/>
      <c r="R95" s="139"/>
      <c r="S95" s="139">
        <f t="shared" si="27"/>
        <v>2.6209735023041478</v>
      </c>
      <c r="T95" s="139">
        <f t="shared" si="28"/>
        <v>232.14336734693876</v>
      </c>
      <c r="U95" s="140">
        <f>VLOOKUP($H95,TABLAS!$B$6:$E$16,4,TRUE)</f>
        <v>0.23519999999999999</v>
      </c>
      <c r="V95" s="141">
        <f>VLOOKUP($H95,TABLAS!$B$6:$E$16,1,TRUE)</f>
        <v>4782.62</v>
      </c>
      <c r="W95" s="139">
        <f t="shared" si="29"/>
        <v>1717.3942857142856</v>
      </c>
      <c r="X95" s="141">
        <f>VLOOKUP($H95,TABLAS!$B$6:$E$16,3,TRUE)</f>
        <v>766.15</v>
      </c>
      <c r="Y95" s="139">
        <f t="shared" si="30"/>
        <v>1170.081136</v>
      </c>
      <c r="Z95" s="139">
        <f t="shared" si="31"/>
        <v>269.42657736842108</v>
      </c>
      <c r="AA95" s="133">
        <f t="shared" si="41"/>
        <v>487.18234636710753</v>
      </c>
      <c r="AB95" s="133">
        <f t="shared" si="42"/>
        <v>41.099270967942751</v>
      </c>
      <c r="AC95" s="133"/>
      <c r="AD95" s="139"/>
      <c r="AE95" s="133"/>
      <c r="AF95" s="133"/>
      <c r="AG95" s="133"/>
      <c r="AH95" s="133"/>
      <c r="AI95" s="133"/>
      <c r="AJ95" s="133"/>
      <c r="AK95" s="133"/>
      <c r="AL95" s="134"/>
      <c r="AM95" s="134"/>
      <c r="AN95" s="136"/>
      <c r="AO95" s="139">
        <f t="shared" si="32"/>
        <v>228.32730640047834</v>
      </c>
      <c r="AP95" s="139">
        <f t="shared" si="33"/>
        <v>1410.1190281859876</v>
      </c>
      <c r="AQ95" s="134">
        <f t="shared" si="34"/>
        <v>0</v>
      </c>
      <c r="AR95" s="139">
        <f t="shared" si="35"/>
        <v>1410.1190281859876</v>
      </c>
      <c r="AS95" s="134">
        <f t="shared" si="36"/>
        <v>122.88347509398494</v>
      </c>
      <c r="AT95" s="134"/>
      <c r="AU95" s="134">
        <f t="shared" si="37"/>
        <v>28.202380563719753</v>
      </c>
      <c r="AV95" s="139">
        <f>+P95+AS95+AT95+AU95</f>
        <v>1789.5321902441708</v>
      </c>
      <c r="AW95" s="131"/>
      <c r="AX95" s="142"/>
      <c r="AY95" s="133">
        <f t="shared" si="43"/>
        <v>-1410.1190281859876</v>
      </c>
      <c r="AZ95" s="136"/>
      <c r="BA95" s="42"/>
    </row>
    <row r="96" spans="1:53" s="18" customFormat="1" ht="15.75" customHeight="1">
      <c r="A96" s="95" t="s">
        <v>42</v>
      </c>
      <c r="B96" s="136" t="s">
        <v>134</v>
      </c>
      <c r="C96" s="132">
        <f>C95+1</f>
        <v>90</v>
      </c>
      <c r="D96" s="150" t="s">
        <v>170</v>
      </c>
      <c r="E96" s="95" t="s">
        <v>135</v>
      </c>
      <c r="F96" s="137"/>
      <c r="G96" s="133">
        <v>1750</v>
      </c>
      <c r="H96" s="133">
        <v>7000</v>
      </c>
      <c r="I96" s="133">
        <f>+G96</f>
        <v>1750</v>
      </c>
      <c r="J96" s="133">
        <v>2278.5300000000002</v>
      </c>
      <c r="K96" s="133">
        <f t="shared" si="25"/>
        <v>4028.53</v>
      </c>
      <c r="L96" s="133">
        <f>(VLOOKUP($K96,TABLAS!$G$6:$I$16,3,TRUE)/30.4)*7</f>
        <v>0</v>
      </c>
      <c r="M96" s="133"/>
      <c r="N96" s="133"/>
      <c r="O96" s="138"/>
      <c r="P96" s="139">
        <f t="shared" si="26"/>
        <v>4028.53</v>
      </c>
      <c r="Q96" s="139"/>
      <c r="R96" s="139"/>
      <c r="S96" s="139">
        <f t="shared" si="27"/>
        <v>2.8225806451612905</v>
      </c>
      <c r="T96" s="139">
        <f t="shared" si="28"/>
        <v>250</v>
      </c>
      <c r="U96" s="140">
        <f>VLOOKUP($H96,TABLAS!$B$6:$E$16,4,TRUE)</f>
        <v>0.23519999999999999</v>
      </c>
      <c r="V96" s="141">
        <f>VLOOKUP($H96,TABLAS!$B$6:$E$16,1,TRUE)</f>
        <v>4782.62</v>
      </c>
      <c r="W96" s="139">
        <f t="shared" si="29"/>
        <v>2217.38</v>
      </c>
      <c r="X96" s="141">
        <f>VLOOKUP($H96,TABLAS!$B$6:$E$16,3,TRUE)</f>
        <v>766.15</v>
      </c>
      <c r="Y96" s="139">
        <f t="shared" si="30"/>
        <v>1287.677776</v>
      </c>
      <c r="Z96" s="139">
        <f t="shared" si="31"/>
        <v>296.5047510526316</v>
      </c>
      <c r="AA96" s="133">
        <f>2071.47047344/4</f>
        <v>517.86761836000005</v>
      </c>
      <c r="AB96" s="133">
        <f>179.092176/4</f>
        <v>44.773043999999999</v>
      </c>
      <c r="AC96" s="133"/>
      <c r="AD96" s="139"/>
      <c r="AE96" s="133"/>
      <c r="AF96" s="133"/>
      <c r="AG96" s="133"/>
      <c r="AH96" s="133"/>
      <c r="AI96" s="133"/>
      <c r="AJ96" s="133"/>
      <c r="AK96" s="133"/>
      <c r="AL96" s="134"/>
      <c r="AM96" s="134"/>
      <c r="AN96" s="136"/>
      <c r="AO96" s="139">
        <f t="shared" si="32"/>
        <v>251.73170705263161</v>
      </c>
      <c r="AP96" s="139">
        <f t="shared" si="33"/>
        <v>3776.7982929473687</v>
      </c>
      <c r="AQ96" s="134">
        <f t="shared" si="34"/>
        <v>302.13974999999999</v>
      </c>
      <c r="AR96" s="139">
        <f t="shared" si="35"/>
        <v>3474.6585429473689</v>
      </c>
      <c r="AS96" s="134">
        <f t="shared" si="36"/>
        <v>0</v>
      </c>
      <c r="AT96" s="134"/>
      <c r="AU96" s="134">
        <f t="shared" si="37"/>
        <v>75.535965858947378</v>
      </c>
      <c r="AV96" s="139">
        <f>+P96+AS96+AT96+AU96</f>
        <v>4104.0659658589475</v>
      </c>
      <c r="AW96" s="131"/>
      <c r="AX96" s="136"/>
      <c r="AY96" s="133">
        <f t="shared" si="43"/>
        <v>-3474.6585429473689</v>
      </c>
      <c r="AZ96" s="136"/>
      <c r="BA96" s="42"/>
    </row>
    <row r="97" spans="1:207" s="18" customFormat="1" ht="15.75" customHeight="1">
      <c r="A97" s="131" t="s">
        <v>42</v>
      </c>
      <c r="B97" s="136" t="s">
        <v>146</v>
      </c>
      <c r="C97" s="132">
        <f>C96+1</f>
        <v>91</v>
      </c>
      <c r="D97" s="150" t="s">
        <v>170</v>
      </c>
      <c r="E97" s="131" t="s">
        <v>135</v>
      </c>
      <c r="F97" s="137"/>
      <c r="G97" s="133">
        <v>1750</v>
      </c>
      <c r="H97" s="133">
        <v>7000</v>
      </c>
      <c r="I97" s="133">
        <f>+G97</f>
        <v>1750</v>
      </c>
      <c r="J97" s="133">
        <v>2278.5300000000002</v>
      </c>
      <c r="K97" s="133">
        <f t="shared" si="25"/>
        <v>4028.53</v>
      </c>
      <c r="L97" s="133">
        <f>(VLOOKUP($K97,TABLAS!$G$6:$I$16,3,TRUE)/30.4)*7</f>
        <v>0</v>
      </c>
      <c r="M97" s="133"/>
      <c r="N97" s="133"/>
      <c r="O97" s="138"/>
      <c r="P97" s="139">
        <f t="shared" si="26"/>
        <v>4028.53</v>
      </c>
      <c r="Q97" s="139"/>
      <c r="R97" s="139"/>
      <c r="S97" s="139">
        <f t="shared" si="27"/>
        <v>2.8225806451612905</v>
      </c>
      <c r="T97" s="139">
        <f t="shared" si="28"/>
        <v>250</v>
      </c>
      <c r="U97" s="140">
        <f>VLOOKUP($H97,TABLAS!$B$6:$E$16,4,TRUE)</f>
        <v>0.23519999999999999</v>
      </c>
      <c r="V97" s="141">
        <f>VLOOKUP($H97,TABLAS!$B$6:$E$16,1,TRUE)</f>
        <v>4782.62</v>
      </c>
      <c r="W97" s="139">
        <f t="shared" si="29"/>
        <v>2217.38</v>
      </c>
      <c r="X97" s="141">
        <f>VLOOKUP($H97,TABLAS!$B$6:$E$16,3,TRUE)</f>
        <v>766.15</v>
      </c>
      <c r="Y97" s="139">
        <f t="shared" si="30"/>
        <v>1287.677776</v>
      </c>
      <c r="Z97" s="139">
        <f t="shared" si="31"/>
        <v>296.5047510526316</v>
      </c>
      <c r="AA97" s="133">
        <f>2071.47047344/4</f>
        <v>517.86761836000005</v>
      </c>
      <c r="AB97" s="133">
        <f>179.092176/4</f>
        <v>44.773043999999999</v>
      </c>
      <c r="AC97" s="133"/>
      <c r="AD97" s="139"/>
      <c r="AE97" s="133"/>
      <c r="AF97" s="133"/>
      <c r="AG97" s="133"/>
      <c r="AH97" s="133"/>
      <c r="AI97" s="133"/>
      <c r="AJ97" s="133"/>
      <c r="AK97" s="133"/>
      <c r="AL97" s="134"/>
      <c r="AM97" s="134"/>
      <c r="AN97" s="136"/>
      <c r="AO97" s="139">
        <f t="shared" si="32"/>
        <v>251.73170705263161</v>
      </c>
      <c r="AP97" s="139">
        <f t="shared" si="33"/>
        <v>3776.7982929473687</v>
      </c>
      <c r="AQ97" s="134">
        <f t="shared" si="34"/>
        <v>302.13974999999999</v>
      </c>
      <c r="AR97" s="139">
        <f t="shared" si="35"/>
        <v>3474.6585429473689</v>
      </c>
      <c r="AS97" s="134">
        <f t="shared" si="36"/>
        <v>0</v>
      </c>
      <c r="AT97" s="134"/>
      <c r="AU97" s="134">
        <f t="shared" si="37"/>
        <v>75.535965858947378</v>
      </c>
      <c r="AV97" s="139">
        <f>+P97+AS97+AT97+AU97</f>
        <v>4104.0659658589475</v>
      </c>
      <c r="AW97" s="131"/>
      <c r="AX97" s="146"/>
      <c r="AY97" s="133">
        <f t="shared" si="43"/>
        <v>-3474.6585429473689</v>
      </c>
      <c r="AZ97" s="136"/>
      <c r="BA97" s="42"/>
    </row>
    <row r="98" spans="1:207" s="18" customFormat="1" ht="15.75" customHeight="1">
      <c r="A98" s="131" t="s">
        <v>44</v>
      </c>
      <c r="B98" s="136" t="s">
        <v>131</v>
      </c>
      <c r="C98" s="132">
        <f>C97+1</f>
        <v>92</v>
      </c>
      <c r="D98" s="150" t="s">
        <v>170</v>
      </c>
      <c r="E98" s="131" t="s">
        <v>164</v>
      </c>
      <c r="F98" s="137"/>
      <c r="G98" s="133">
        <v>2124.9924999999998</v>
      </c>
      <c r="H98" s="133">
        <v>8499.9699999999993</v>
      </c>
      <c r="I98" s="133">
        <f>+G98</f>
        <v>2124.9924999999998</v>
      </c>
      <c r="J98" s="133"/>
      <c r="K98" s="133">
        <f t="shared" si="25"/>
        <v>2124.9924999999998</v>
      </c>
      <c r="L98" s="133">
        <f>(VLOOKUP($K98,TABLAS!$G$6:$I$16,3,TRUE)/30.4)*7</f>
        <v>0</v>
      </c>
      <c r="M98" s="133"/>
      <c r="N98" s="133"/>
      <c r="O98" s="138"/>
      <c r="P98" s="139">
        <f t="shared" si="26"/>
        <v>2124.9924999999998</v>
      </c>
      <c r="Q98" s="139"/>
      <c r="R98" s="139"/>
      <c r="S98" s="139">
        <f t="shared" si="27"/>
        <v>3.4274072580645161</v>
      </c>
      <c r="T98" s="139">
        <f t="shared" si="28"/>
        <v>303.57035714285712</v>
      </c>
      <c r="U98" s="140">
        <f>VLOOKUP($H98,TABLAS!$B$6:$E$16,4,TRUE)</f>
        <v>0.3</v>
      </c>
      <c r="V98" s="141">
        <f>VLOOKUP($H98,TABLAS!$B$6:$E$16,1,TRUE)</f>
        <v>7538.1</v>
      </c>
      <c r="W98" s="139">
        <f t="shared" si="29"/>
        <v>961.86999999999898</v>
      </c>
      <c r="X98" s="141">
        <f>VLOOKUP($H98,TABLAS!$B$6:$E$16,3,TRUE)</f>
        <v>1414.28</v>
      </c>
      <c r="Y98" s="139">
        <f t="shared" si="30"/>
        <v>1702.8409999999997</v>
      </c>
      <c r="Z98" s="139">
        <f t="shared" si="31"/>
        <v>392.10154605263153</v>
      </c>
      <c r="AA98" s="133">
        <f>2439.70075133157/4</f>
        <v>609.92518783289245</v>
      </c>
      <c r="AB98" s="133">
        <f>223.178292128229/4</f>
        <v>55.794573032057251</v>
      </c>
      <c r="AC98" s="133"/>
      <c r="AD98" s="139"/>
      <c r="AE98" s="133"/>
      <c r="AF98" s="133"/>
      <c r="AG98" s="133"/>
      <c r="AH98" s="133"/>
      <c r="AI98" s="133"/>
      <c r="AJ98" s="133"/>
      <c r="AK98" s="133"/>
      <c r="AL98" s="134"/>
      <c r="AM98" s="134"/>
      <c r="AN98" s="136"/>
      <c r="AO98" s="139">
        <f t="shared" si="32"/>
        <v>336.30697302057428</v>
      </c>
      <c r="AP98" s="139">
        <f t="shared" si="33"/>
        <v>1788.6855269794255</v>
      </c>
      <c r="AQ98" s="134">
        <f t="shared" si="34"/>
        <v>159.37443749999997</v>
      </c>
      <c r="AR98" s="139">
        <f t="shared" si="35"/>
        <v>1629.3110894794256</v>
      </c>
      <c r="AS98" s="134">
        <f t="shared" si="36"/>
        <v>0</v>
      </c>
      <c r="AT98" s="134"/>
      <c r="AU98" s="134">
        <f t="shared" si="37"/>
        <v>35.773710539588514</v>
      </c>
      <c r="AV98" s="139">
        <f>+P98+AS98+AT98+AU98</f>
        <v>2160.7662105395884</v>
      </c>
      <c r="AW98" s="131"/>
      <c r="AX98" s="146"/>
      <c r="AY98" s="133"/>
      <c r="AZ98" s="136"/>
      <c r="BA98" s="42"/>
    </row>
    <row r="99" spans="1:207" s="18" customFormat="1" ht="15.75" customHeight="1">
      <c r="A99" s="131" t="s">
        <v>29</v>
      </c>
      <c r="B99" s="136" t="s">
        <v>71</v>
      </c>
      <c r="C99" s="132">
        <f>C98+1</f>
        <v>93</v>
      </c>
      <c r="D99" s="150" t="s">
        <v>170</v>
      </c>
      <c r="E99" s="131" t="s">
        <v>32</v>
      </c>
      <c r="F99" s="137"/>
      <c r="G99" s="133">
        <v>5000</v>
      </c>
      <c r="H99" s="133">
        <v>20000</v>
      </c>
      <c r="I99" s="133">
        <f>+G99</f>
        <v>5000</v>
      </c>
      <c r="J99" s="133"/>
      <c r="K99" s="133">
        <f t="shared" si="25"/>
        <v>5000</v>
      </c>
      <c r="L99" s="133">
        <f>(VLOOKUP($K99,TABLAS!$G$6:$I$16,3,TRUE)/30.4)*7</f>
        <v>0</v>
      </c>
      <c r="M99" s="133"/>
      <c r="N99" s="133"/>
      <c r="O99" s="138"/>
      <c r="P99" s="139">
        <f t="shared" si="26"/>
        <v>5000</v>
      </c>
      <c r="Q99" s="139"/>
      <c r="R99" s="139"/>
      <c r="S99" s="139">
        <f t="shared" si="27"/>
        <v>8.064516129032258</v>
      </c>
      <c r="T99" s="139">
        <f t="shared" si="28"/>
        <v>714.28571428571433</v>
      </c>
      <c r="U99" s="140">
        <f>VLOOKUP($H99,TABLAS!$B$6:$E$16,4,TRUE)</f>
        <v>0.34</v>
      </c>
      <c r="V99" s="141">
        <f>VLOOKUP($H99,TABLAS!$B$6:$E$16,1,TRUE)</f>
        <v>19188.62</v>
      </c>
      <c r="W99" s="139">
        <f t="shared" si="29"/>
        <v>811.38000000000102</v>
      </c>
      <c r="X99" s="141">
        <f>VLOOKUP($H99,TABLAS!$B$6:$E$16,3,TRUE)</f>
        <v>5005.3500000000004</v>
      </c>
      <c r="Y99" s="139">
        <f t="shared" si="30"/>
        <v>5281.2192000000005</v>
      </c>
      <c r="Z99" s="139">
        <f t="shared" si="31"/>
        <v>1216.070210526316</v>
      </c>
      <c r="AA99" s="133">
        <f>6402.3/4</f>
        <v>1600.575</v>
      </c>
      <c r="AB99" s="133">
        <f>267.265248/4</f>
        <v>66.816311999999996</v>
      </c>
      <c r="AC99" s="133"/>
      <c r="AD99" s="139"/>
      <c r="AE99" s="133"/>
      <c r="AF99" s="133"/>
      <c r="AG99" s="133"/>
      <c r="AH99" s="133"/>
      <c r="AI99" s="133"/>
      <c r="AJ99" s="133"/>
      <c r="AK99" s="133"/>
      <c r="AL99" s="134"/>
      <c r="AM99" s="134"/>
      <c r="AN99" s="136"/>
      <c r="AO99" s="139">
        <f t="shared" si="32"/>
        <v>1149.2538985263161</v>
      </c>
      <c r="AP99" s="139">
        <f t="shared" si="33"/>
        <v>3850.7461014736837</v>
      </c>
      <c r="AQ99" s="134">
        <f t="shared" si="34"/>
        <v>375</v>
      </c>
      <c r="AR99" s="139">
        <f t="shared" si="35"/>
        <v>3475.7461014736837</v>
      </c>
      <c r="AS99" s="134">
        <f t="shared" si="36"/>
        <v>0</v>
      </c>
      <c r="AT99" s="134"/>
      <c r="AU99" s="134">
        <f t="shared" si="37"/>
        <v>77.014922029473681</v>
      </c>
      <c r="AV99" s="139">
        <f>+P99+AS99+AT99+AU99</f>
        <v>5077.0149220294734</v>
      </c>
      <c r="AW99" s="131"/>
      <c r="AX99" s="146"/>
      <c r="AY99" s="133"/>
      <c r="AZ99" s="136"/>
      <c r="BA99" s="42"/>
    </row>
    <row r="100" spans="1:207" s="18" customFormat="1" ht="15.75" customHeight="1">
      <c r="A100" s="131" t="s">
        <v>29</v>
      </c>
      <c r="B100" s="136" t="s">
        <v>39</v>
      </c>
      <c r="C100" s="132">
        <f>C99+1</f>
        <v>94</v>
      </c>
      <c r="D100" s="150" t="s">
        <v>170</v>
      </c>
      <c r="E100" s="131" t="s">
        <v>32</v>
      </c>
      <c r="F100" s="137"/>
      <c r="G100" s="133">
        <v>5000</v>
      </c>
      <c r="H100" s="133">
        <v>20000</v>
      </c>
      <c r="I100" s="133">
        <f>+G100</f>
        <v>5000</v>
      </c>
      <c r="J100" s="133"/>
      <c r="K100" s="133">
        <f t="shared" si="25"/>
        <v>5000</v>
      </c>
      <c r="L100" s="133">
        <f>(VLOOKUP($K100,TABLAS!$G$6:$I$16,3,TRUE)/30.4)*7</f>
        <v>0</v>
      </c>
      <c r="M100" s="133"/>
      <c r="N100" s="133"/>
      <c r="O100" s="138"/>
      <c r="P100" s="139">
        <f t="shared" si="26"/>
        <v>5000</v>
      </c>
      <c r="Q100" s="139"/>
      <c r="R100" s="139"/>
      <c r="S100" s="139">
        <f t="shared" si="27"/>
        <v>8.064516129032258</v>
      </c>
      <c r="T100" s="139">
        <f t="shared" si="28"/>
        <v>714.28571428571433</v>
      </c>
      <c r="U100" s="140">
        <f>VLOOKUP($H100,TABLAS!$B$6:$E$16,4,TRUE)</f>
        <v>0.34</v>
      </c>
      <c r="V100" s="141">
        <f>VLOOKUP($H100,TABLAS!$B$6:$E$16,1,TRUE)</f>
        <v>19188.62</v>
      </c>
      <c r="W100" s="139">
        <f t="shared" si="29"/>
        <v>811.38000000000102</v>
      </c>
      <c r="X100" s="141">
        <f>VLOOKUP($H100,TABLAS!$B$6:$E$16,3,TRUE)</f>
        <v>5005.3500000000004</v>
      </c>
      <c r="Y100" s="139">
        <f t="shared" si="30"/>
        <v>5281.2192000000005</v>
      </c>
      <c r="Z100" s="139">
        <f t="shared" si="31"/>
        <v>1216.070210526316</v>
      </c>
      <c r="AA100" s="133">
        <f t="shared" ref="AA100:AA102" si="44">6402.3/4</f>
        <v>1600.575</v>
      </c>
      <c r="AB100" s="133">
        <f t="shared" ref="AB100:AB102" si="45">267.265248/4</f>
        <v>66.816311999999996</v>
      </c>
      <c r="AC100" s="133"/>
      <c r="AD100" s="139"/>
      <c r="AE100" s="133"/>
      <c r="AF100" s="133"/>
      <c r="AG100" s="133"/>
      <c r="AH100" s="133"/>
      <c r="AI100" s="133"/>
      <c r="AJ100" s="133"/>
      <c r="AK100" s="133"/>
      <c r="AL100" s="134"/>
      <c r="AM100" s="134"/>
      <c r="AN100" s="136"/>
      <c r="AO100" s="139">
        <f t="shared" si="32"/>
        <v>1149.2538985263161</v>
      </c>
      <c r="AP100" s="139">
        <f t="shared" si="33"/>
        <v>3850.7461014736837</v>
      </c>
      <c r="AQ100" s="134">
        <f t="shared" si="34"/>
        <v>375</v>
      </c>
      <c r="AR100" s="139">
        <f t="shared" si="35"/>
        <v>3475.7461014736837</v>
      </c>
      <c r="AS100" s="134">
        <f t="shared" si="36"/>
        <v>0</v>
      </c>
      <c r="AT100" s="134"/>
      <c r="AU100" s="134">
        <f t="shared" si="37"/>
        <v>77.014922029473681</v>
      </c>
      <c r="AV100" s="139">
        <f>+P100+AS100+AT100+AU100</f>
        <v>5077.0149220294734</v>
      </c>
      <c r="AW100" s="131"/>
      <c r="AX100" s="146"/>
      <c r="AY100" s="133"/>
      <c r="AZ100" s="136"/>
      <c r="BA100" s="42"/>
    </row>
    <row r="101" spans="1:207" s="18" customFormat="1" ht="15.75" customHeight="1">
      <c r="A101" s="131" t="s">
        <v>29</v>
      </c>
      <c r="B101" s="136" t="s">
        <v>90</v>
      </c>
      <c r="C101" s="132">
        <f>C100+1</f>
        <v>95</v>
      </c>
      <c r="D101" s="150" t="s">
        <v>170</v>
      </c>
      <c r="E101" s="131" t="s">
        <v>32</v>
      </c>
      <c r="F101" s="137"/>
      <c r="G101" s="133">
        <v>5000</v>
      </c>
      <c r="H101" s="133">
        <v>20000</v>
      </c>
      <c r="I101" s="133">
        <f>+G101</f>
        <v>5000</v>
      </c>
      <c r="J101" s="133"/>
      <c r="K101" s="133">
        <f t="shared" si="25"/>
        <v>5000</v>
      </c>
      <c r="L101" s="133">
        <f>(VLOOKUP($K101,TABLAS!$G$6:$I$16,3,TRUE)/30.4)*7</f>
        <v>0</v>
      </c>
      <c r="M101" s="133"/>
      <c r="N101" s="133"/>
      <c r="O101" s="138"/>
      <c r="P101" s="139">
        <f t="shared" si="26"/>
        <v>5000</v>
      </c>
      <c r="Q101" s="139"/>
      <c r="R101" s="139"/>
      <c r="S101" s="139">
        <f t="shared" si="27"/>
        <v>8.064516129032258</v>
      </c>
      <c r="T101" s="139">
        <f t="shared" si="28"/>
        <v>714.28571428571433</v>
      </c>
      <c r="U101" s="140">
        <f>VLOOKUP($H101,TABLAS!$B$6:$E$16,4,TRUE)</f>
        <v>0.34</v>
      </c>
      <c r="V101" s="141">
        <f>VLOOKUP($H101,TABLAS!$B$6:$E$16,1,TRUE)</f>
        <v>19188.62</v>
      </c>
      <c r="W101" s="139">
        <f t="shared" si="29"/>
        <v>811.38000000000102</v>
      </c>
      <c r="X101" s="141">
        <f>VLOOKUP($H101,TABLAS!$B$6:$E$16,3,TRUE)</f>
        <v>5005.3500000000004</v>
      </c>
      <c r="Y101" s="139">
        <f t="shared" si="30"/>
        <v>5281.2192000000005</v>
      </c>
      <c r="Z101" s="139">
        <f t="shared" si="31"/>
        <v>1216.070210526316</v>
      </c>
      <c r="AA101" s="133">
        <f t="shared" si="44"/>
        <v>1600.575</v>
      </c>
      <c r="AB101" s="133">
        <f t="shared" si="45"/>
        <v>66.816311999999996</v>
      </c>
      <c r="AC101" s="133"/>
      <c r="AD101" s="139"/>
      <c r="AE101" s="133"/>
      <c r="AF101" s="133"/>
      <c r="AG101" s="133"/>
      <c r="AH101" s="133"/>
      <c r="AI101" s="133"/>
      <c r="AJ101" s="133"/>
      <c r="AK101" s="133"/>
      <c r="AL101" s="134"/>
      <c r="AM101" s="134"/>
      <c r="AN101" s="136"/>
      <c r="AO101" s="139">
        <f t="shared" si="32"/>
        <v>1149.2538985263161</v>
      </c>
      <c r="AP101" s="139">
        <f t="shared" si="33"/>
        <v>3850.7461014736837</v>
      </c>
      <c r="AQ101" s="134">
        <f t="shared" si="34"/>
        <v>375</v>
      </c>
      <c r="AR101" s="139">
        <f t="shared" si="35"/>
        <v>3475.7461014736837</v>
      </c>
      <c r="AS101" s="134">
        <f t="shared" si="36"/>
        <v>0</v>
      </c>
      <c r="AT101" s="134"/>
      <c r="AU101" s="134">
        <f t="shared" si="37"/>
        <v>77.014922029473681</v>
      </c>
      <c r="AV101" s="139">
        <f>+P101+AS101+AT101+AU101</f>
        <v>5077.0149220294734</v>
      </c>
      <c r="AW101" s="131"/>
      <c r="AX101" s="146"/>
      <c r="AY101" s="133"/>
      <c r="AZ101" s="136"/>
      <c r="BA101" s="42"/>
    </row>
    <row r="102" spans="1:207" s="18" customFormat="1" ht="15.75" customHeight="1">
      <c r="A102" s="131" t="s">
        <v>29</v>
      </c>
      <c r="B102" s="136" t="s">
        <v>96</v>
      </c>
      <c r="C102" s="132">
        <f>C101+1</f>
        <v>96</v>
      </c>
      <c r="D102" s="150" t="s">
        <v>170</v>
      </c>
      <c r="E102" s="131" t="s">
        <v>103</v>
      </c>
      <c r="F102" s="137"/>
      <c r="G102" s="133">
        <v>5000</v>
      </c>
      <c r="H102" s="133">
        <v>20000</v>
      </c>
      <c r="I102" s="133">
        <f>+G102</f>
        <v>5000</v>
      </c>
      <c r="J102" s="133">
        <v>588.66</v>
      </c>
      <c r="K102" s="133">
        <f t="shared" si="25"/>
        <v>5588.66</v>
      </c>
      <c r="L102" s="133">
        <f>(VLOOKUP($K102,TABLAS!$G$6:$I$16,3,TRUE)/30.4)*7</f>
        <v>0</v>
      </c>
      <c r="M102" s="133"/>
      <c r="N102" s="133"/>
      <c r="O102" s="138"/>
      <c r="P102" s="139">
        <f t="shared" si="26"/>
        <v>5588.66</v>
      </c>
      <c r="Q102" s="139"/>
      <c r="R102" s="139"/>
      <c r="S102" s="139">
        <f t="shared" si="27"/>
        <v>8.064516129032258</v>
      </c>
      <c r="T102" s="139">
        <f t="shared" si="28"/>
        <v>714.28571428571433</v>
      </c>
      <c r="U102" s="140">
        <f>VLOOKUP($H102,TABLAS!$B$6:$E$16,4,TRUE)</f>
        <v>0.34</v>
      </c>
      <c r="V102" s="141">
        <f>VLOOKUP($H102,TABLAS!$B$6:$E$16,1,TRUE)</f>
        <v>19188.62</v>
      </c>
      <c r="W102" s="139">
        <f t="shared" si="29"/>
        <v>811.38000000000102</v>
      </c>
      <c r="X102" s="141">
        <f>VLOOKUP($H102,TABLAS!$B$6:$E$16,3,TRUE)</f>
        <v>5005.3500000000004</v>
      </c>
      <c r="Y102" s="139">
        <f t="shared" si="30"/>
        <v>5281.2192000000005</v>
      </c>
      <c r="Z102" s="139">
        <f t="shared" si="31"/>
        <v>1216.070210526316</v>
      </c>
      <c r="AA102" s="133">
        <f t="shared" si="44"/>
        <v>1600.575</v>
      </c>
      <c r="AB102" s="133">
        <f t="shared" si="45"/>
        <v>66.816311999999996</v>
      </c>
      <c r="AC102" s="133"/>
      <c r="AD102" s="139"/>
      <c r="AE102" s="133"/>
      <c r="AF102" s="133"/>
      <c r="AG102" s="133"/>
      <c r="AH102" s="133"/>
      <c r="AI102" s="133"/>
      <c r="AJ102" s="133"/>
      <c r="AK102" s="133"/>
      <c r="AL102" s="134"/>
      <c r="AM102" s="134"/>
      <c r="AN102" s="136"/>
      <c r="AO102" s="139">
        <f t="shared" si="32"/>
        <v>1149.2538985263161</v>
      </c>
      <c r="AP102" s="139">
        <f t="shared" si="33"/>
        <v>4439.4061014736835</v>
      </c>
      <c r="AQ102" s="134">
        <f t="shared" si="34"/>
        <v>419.14949999999999</v>
      </c>
      <c r="AR102" s="139">
        <f t="shared" si="35"/>
        <v>4020.2566014736835</v>
      </c>
      <c r="AS102" s="134">
        <f t="shared" si="36"/>
        <v>0</v>
      </c>
      <c r="AT102" s="134"/>
      <c r="AU102" s="134">
        <f t="shared" si="37"/>
        <v>88.788122029473669</v>
      </c>
      <c r="AV102" s="139">
        <f>+P102+AS102+AT102+AU102</f>
        <v>5677.4481220294738</v>
      </c>
      <c r="AW102" s="131"/>
      <c r="AX102" s="146"/>
      <c r="AY102" s="133"/>
      <c r="AZ102" s="136"/>
      <c r="BA102" s="42"/>
    </row>
    <row r="103" spans="1:207" s="18" customFormat="1">
      <c r="A103" s="136"/>
      <c r="B103" s="136"/>
      <c r="C103" s="136"/>
      <c r="D103" s="136"/>
      <c r="E103" s="136"/>
      <c r="F103" s="137"/>
      <c r="G103" s="136"/>
      <c r="H103" s="136"/>
      <c r="I103" s="133"/>
      <c r="J103" s="133"/>
      <c r="K103" s="133"/>
      <c r="L103" s="133"/>
      <c r="M103" s="133"/>
      <c r="N103" s="133"/>
      <c r="O103" s="138"/>
      <c r="P103" s="139"/>
      <c r="Q103" s="139"/>
      <c r="R103" s="139"/>
      <c r="S103" s="139"/>
      <c r="T103" s="139"/>
      <c r="U103" s="140"/>
      <c r="V103" s="141"/>
      <c r="W103" s="139"/>
      <c r="X103" s="141"/>
      <c r="Y103" s="139"/>
      <c r="Z103" s="139"/>
      <c r="AA103" s="139"/>
      <c r="AB103" s="139"/>
      <c r="AC103" s="139"/>
      <c r="AD103" s="139"/>
      <c r="AE103" s="133"/>
      <c r="AF103" s="133"/>
      <c r="AG103" s="133"/>
      <c r="AH103" s="133"/>
      <c r="AI103" s="133"/>
      <c r="AJ103" s="133"/>
      <c r="AK103" s="133"/>
      <c r="AL103" s="134"/>
      <c r="AM103" s="134"/>
      <c r="AN103" s="136"/>
      <c r="AO103" s="139"/>
      <c r="AP103" s="139"/>
      <c r="AQ103" s="134"/>
      <c r="AR103" s="139"/>
      <c r="AS103" s="134"/>
      <c r="AT103" s="134"/>
      <c r="AU103" s="134"/>
      <c r="AV103" s="139"/>
      <c r="AW103" s="131"/>
      <c r="AX103" s="142"/>
      <c r="AY103" s="133"/>
      <c r="AZ103" s="136"/>
      <c r="BA103" s="42"/>
    </row>
    <row r="104" spans="1:207" s="18" customFormat="1">
      <c r="A104" s="149"/>
      <c r="B104" s="136"/>
      <c r="C104" s="136"/>
      <c r="D104" s="136"/>
      <c r="E104" s="136"/>
      <c r="F104" s="136"/>
      <c r="G104" s="136"/>
      <c r="H104" s="136"/>
      <c r="I104" s="133"/>
      <c r="J104" s="133"/>
      <c r="K104" s="133"/>
      <c r="L104" s="133"/>
      <c r="M104" s="133"/>
      <c r="N104" s="133"/>
      <c r="O104" s="138"/>
      <c r="P104" s="139"/>
      <c r="Q104" s="139"/>
      <c r="R104" s="139"/>
      <c r="S104" s="139"/>
      <c r="T104" s="139"/>
      <c r="U104" s="140"/>
      <c r="V104" s="141"/>
      <c r="W104" s="139"/>
      <c r="X104" s="139"/>
      <c r="Y104" s="139"/>
      <c r="Z104" s="139"/>
      <c r="AA104" s="139"/>
      <c r="AB104" s="139"/>
      <c r="AC104" s="139"/>
      <c r="AD104" s="139"/>
      <c r="AE104" s="133"/>
      <c r="AF104" s="133"/>
      <c r="AG104" s="133"/>
      <c r="AH104" s="133"/>
      <c r="AI104" s="133"/>
      <c r="AJ104" s="133"/>
      <c r="AK104" s="133"/>
      <c r="AL104" s="134"/>
      <c r="AM104" s="134"/>
      <c r="AN104" s="134"/>
      <c r="AO104" s="139"/>
      <c r="AP104" s="139"/>
      <c r="AQ104" s="134"/>
      <c r="AR104" s="139"/>
      <c r="AS104" s="134"/>
      <c r="AT104" s="134"/>
      <c r="AU104" s="134"/>
      <c r="AV104" s="139"/>
      <c r="AW104" s="133"/>
      <c r="AX104" s="133"/>
      <c r="AY104" s="133"/>
      <c r="AZ104" s="136"/>
      <c r="BA104" s="42"/>
    </row>
    <row r="105" spans="1:207" s="18" customFormat="1">
      <c r="A105" s="31"/>
      <c r="B105" s="32"/>
      <c r="C105" s="32"/>
      <c r="D105" s="32"/>
      <c r="E105" s="32"/>
      <c r="F105" s="32"/>
      <c r="G105" s="32"/>
      <c r="H105" s="32"/>
      <c r="I105" s="33"/>
      <c r="J105" s="33"/>
      <c r="K105" s="33"/>
      <c r="L105" s="33"/>
      <c r="M105" s="33"/>
      <c r="N105" s="33"/>
      <c r="O105" s="33"/>
      <c r="P105" s="34"/>
      <c r="Q105" s="34"/>
      <c r="R105" s="34"/>
      <c r="S105" s="34"/>
      <c r="T105" s="34"/>
      <c r="U105" s="116"/>
      <c r="V105" s="125"/>
      <c r="W105" s="34"/>
      <c r="X105" s="34"/>
      <c r="Y105" s="34"/>
      <c r="Z105" s="34"/>
      <c r="AA105" s="34"/>
      <c r="AB105" s="34"/>
      <c r="AC105" s="34"/>
      <c r="AD105" s="34"/>
      <c r="AE105" s="33"/>
      <c r="AF105" s="33"/>
      <c r="AG105" s="33"/>
      <c r="AH105" s="33"/>
      <c r="AI105" s="33"/>
      <c r="AJ105" s="33"/>
      <c r="AK105" s="33"/>
      <c r="AL105" s="47"/>
      <c r="AM105" s="47"/>
      <c r="AN105" s="47"/>
      <c r="AO105" s="34"/>
      <c r="AP105" s="34"/>
      <c r="AQ105" s="47"/>
      <c r="AR105" s="34"/>
      <c r="AS105" s="47"/>
      <c r="AT105" s="47"/>
      <c r="AU105" s="47"/>
      <c r="AV105" s="34"/>
      <c r="AW105" s="59"/>
      <c r="AX105" s="59"/>
      <c r="AY105" s="28"/>
    </row>
    <row r="106" spans="1:207">
      <c r="B106" s="48" t="s">
        <v>1</v>
      </c>
      <c r="C106" s="48"/>
      <c r="D106" s="48"/>
      <c r="E106" s="48"/>
      <c r="F106" s="48"/>
      <c r="G106" s="48"/>
      <c r="H106" s="48"/>
      <c r="I106" s="49">
        <f>SUM(I7:I103)</f>
        <v>114026.26035714299</v>
      </c>
      <c r="J106" s="49">
        <f>SUM(J7:J105)</f>
        <v>164383.27799999999</v>
      </c>
      <c r="K106" s="49"/>
      <c r="L106" s="49"/>
      <c r="M106" s="49">
        <f>SUM(M7:M105)</f>
        <v>0</v>
      </c>
      <c r="N106" s="49">
        <f>SUM(N7:N105)</f>
        <v>0</v>
      </c>
      <c r="O106" s="49">
        <f>SUM(O7:O105)</f>
        <v>0</v>
      </c>
      <c r="P106" s="49">
        <f>SUM(P7:P105)</f>
        <v>278977.55151503772</v>
      </c>
      <c r="Q106" s="49"/>
      <c r="R106" s="49"/>
      <c r="S106" s="49"/>
      <c r="T106" s="49"/>
      <c r="U106" s="117"/>
      <c r="V106" s="126"/>
      <c r="W106" s="49"/>
      <c r="X106" s="49"/>
      <c r="Y106" s="49"/>
      <c r="Z106" s="49"/>
      <c r="AA106" s="49"/>
      <c r="AB106" s="49"/>
      <c r="AC106" s="49"/>
      <c r="AD106" s="49"/>
      <c r="AE106" s="49">
        <f>SUM(AE7:AE105)</f>
        <v>0</v>
      </c>
      <c r="AF106" s="49"/>
      <c r="AG106" s="49"/>
      <c r="AH106" s="50">
        <f t="shared" ref="AH106:AY106" si="46">SUM(AH7:AH105)</f>
        <v>0</v>
      </c>
      <c r="AI106" s="50">
        <f t="shared" si="46"/>
        <v>0</v>
      </c>
      <c r="AJ106" s="50">
        <f t="shared" si="46"/>
        <v>0</v>
      </c>
      <c r="AK106" s="50">
        <f t="shared" si="46"/>
        <v>0</v>
      </c>
      <c r="AL106" s="49">
        <f t="shared" si="46"/>
        <v>0</v>
      </c>
      <c r="AM106" s="49">
        <f t="shared" si="46"/>
        <v>0</v>
      </c>
      <c r="AN106" s="49">
        <f t="shared" si="46"/>
        <v>0</v>
      </c>
      <c r="AO106" s="49">
        <f t="shared" si="46"/>
        <v>15502.690478697757</v>
      </c>
      <c r="AP106" s="49"/>
      <c r="AQ106" s="49">
        <f t="shared" si="46"/>
        <v>16634.417266071428</v>
      </c>
      <c r="AR106" s="49">
        <f t="shared" si="46"/>
        <v>246840.44377026855</v>
      </c>
      <c r="AS106" s="49">
        <f t="shared" si="46"/>
        <v>4288.899097556392</v>
      </c>
      <c r="AT106" s="49">
        <f t="shared" si="46"/>
        <v>0</v>
      </c>
      <c r="AU106" s="49">
        <f t="shared" si="46"/>
        <v>5269.4972207267992</v>
      </c>
      <c r="AV106" s="49">
        <f t="shared" si="46"/>
        <v>288535.94783332082</v>
      </c>
      <c r="AW106" s="60">
        <f t="shared" si="46"/>
        <v>0</v>
      </c>
      <c r="AX106" s="60">
        <f t="shared" si="46"/>
        <v>0</v>
      </c>
      <c r="AY106" s="51">
        <f t="shared" si="46"/>
        <v>-210792.63740952223</v>
      </c>
      <c r="AZ106" s="35"/>
      <c r="BA106" s="35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</row>
    <row r="107" spans="1:207">
      <c r="AV107" s="14">
        <f>AV106*0.16</f>
        <v>46165.751653331332</v>
      </c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</row>
    <row r="108" spans="1:207">
      <c r="A108" s="83" t="s">
        <v>100</v>
      </c>
      <c r="B108" s="83"/>
      <c r="C108" s="52"/>
      <c r="D108" s="35"/>
      <c r="E108" s="35"/>
      <c r="F108" s="35"/>
      <c r="G108" s="35"/>
      <c r="H108" s="35"/>
      <c r="I108" s="37"/>
      <c r="J108" s="37"/>
      <c r="K108" s="37"/>
      <c r="L108" s="37"/>
      <c r="M108" s="37"/>
      <c r="N108" s="37"/>
      <c r="O108" s="37"/>
      <c r="P108" s="49"/>
      <c r="Q108" s="49"/>
      <c r="R108" s="49"/>
      <c r="S108" s="49"/>
      <c r="T108" s="49"/>
      <c r="U108" s="117"/>
      <c r="V108" s="126"/>
      <c r="W108" s="49"/>
      <c r="X108" s="49"/>
      <c r="Y108" s="49"/>
      <c r="Z108" s="49"/>
      <c r="AA108" s="49"/>
      <c r="AB108" s="49"/>
      <c r="AC108" s="49"/>
      <c r="AD108" s="49"/>
      <c r="AE108" s="37"/>
      <c r="AF108" s="37"/>
      <c r="AG108" s="37"/>
      <c r="AH108" s="44"/>
      <c r="AI108" s="44"/>
      <c r="AJ108" s="44"/>
      <c r="AK108" s="44"/>
      <c r="AL108" s="37"/>
      <c r="AM108" s="37"/>
      <c r="AN108" s="37"/>
      <c r="AO108" s="49"/>
      <c r="AP108" s="49"/>
      <c r="AQ108" s="37"/>
      <c r="AR108" s="49"/>
      <c r="AS108" s="37"/>
      <c r="AT108" s="37"/>
      <c r="AU108" s="37"/>
      <c r="AV108" s="49">
        <f>+AV106+AV107</f>
        <v>334701.69948665216</v>
      </c>
      <c r="AW108" s="60"/>
      <c r="AX108" s="60"/>
      <c r="AY108" s="51"/>
      <c r="AZ108" s="35"/>
      <c r="BA108" s="35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</row>
    <row r="109" spans="1:207" s="21" customFormat="1">
      <c r="A109" s="69"/>
      <c r="B109" s="69"/>
      <c r="C109" s="69"/>
      <c r="D109" s="69"/>
      <c r="E109" s="69"/>
      <c r="F109" s="73"/>
      <c r="G109" s="69"/>
      <c r="H109" s="69"/>
      <c r="I109" s="55"/>
      <c r="J109" s="55"/>
      <c r="K109" s="55"/>
      <c r="L109" s="55"/>
      <c r="M109" s="55"/>
      <c r="N109" s="55"/>
      <c r="O109" s="55"/>
      <c r="P109" s="70">
        <f>SUM(I109:O109)</f>
        <v>0</v>
      </c>
      <c r="Q109" s="70"/>
      <c r="R109" s="70"/>
      <c r="S109" s="70"/>
      <c r="T109" s="70"/>
      <c r="U109" s="118"/>
      <c r="V109" s="127"/>
      <c r="W109" s="70"/>
      <c r="X109" s="70"/>
      <c r="Y109" s="70"/>
      <c r="Z109" s="70"/>
      <c r="AA109" s="70"/>
      <c r="AB109" s="70"/>
      <c r="AC109" s="70"/>
      <c r="AD109" s="70"/>
      <c r="AE109" s="55"/>
      <c r="AF109" s="55"/>
      <c r="AG109" s="55"/>
      <c r="AH109" s="55"/>
      <c r="AI109" s="55">
        <f>P109*4.9%</f>
        <v>0</v>
      </c>
      <c r="AJ109" s="55">
        <f>P109*1%</f>
        <v>0</v>
      </c>
      <c r="AK109" s="55"/>
      <c r="AL109" s="71"/>
      <c r="AM109" s="71"/>
      <c r="AN109" s="71"/>
      <c r="AO109" s="70">
        <f>+P109-SUM(AE109:AN109)</f>
        <v>0</v>
      </c>
      <c r="AP109" s="70"/>
      <c r="AQ109" s="71">
        <f>+AO109*0.05</f>
        <v>0</v>
      </c>
      <c r="AR109" s="70" t="e">
        <f>+AO109-AL109-#REF!</f>
        <v>#REF!</v>
      </c>
      <c r="AS109" s="71">
        <f>IF(AO109&lt;3000,AO109*0.1,0)</f>
        <v>0</v>
      </c>
      <c r="AT109" s="71">
        <v>0</v>
      </c>
      <c r="AU109" s="71"/>
      <c r="AV109" s="70">
        <f>+AO109+AS109+AT109</f>
        <v>0</v>
      </c>
      <c r="AW109" s="74"/>
      <c r="AX109" s="74"/>
      <c r="AY109" s="75"/>
      <c r="AZ109" s="69"/>
      <c r="BA109" s="72"/>
    </row>
    <row r="110" spans="1:207">
      <c r="A110" s="42"/>
      <c r="B110" s="36"/>
      <c r="C110" s="36"/>
      <c r="D110" s="36"/>
      <c r="E110" s="36"/>
      <c r="F110" s="67"/>
      <c r="G110" s="36"/>
      <c r="H110" s="36"/>
      <c r="I110" s="44"/>
      <c r="J110" s="44"/>
      <c r="K110" s="44"/>
      <c r="L110" s="38"/>
      <c r="M110" s="38"/>
      <c r="N110" s="38"/>
      <c r="O110" s="38"/>
      <c r="P110" s="39">
        <f>SUM(I110:O110)</f>
        <v>0</v>
      </c>
      <c r="Q110" s="39"/>
      <c r="R110" s="39"/>
      <c r="S110" s="39"/>
      <c r="T110" s="39"/>
      <c r="U110" s="119"/>
      <c r="V110" s="128"/>
      <c r="W110" s="39"/>
      <c r="X110" s="39"/>
      <c r="Y110" s="39"/>
      <c r="Z110" s="39"/>
      <c r="AA110" s="39"/>
      <c r="AB110" s="39"/>
      <c r="AC110" s="39"/>
      <c r="AD110" s="39"/>
      <c r="AE110" s="55"/>
      <c r="AF110" s="55"/>
      <c r="AG110" s="55"/>
      <c r="AH110" s="55"/>
      <c r="AI110" s="55"/>
      <c r="AJ110" s="55"/>
      <c r="AK110" s="55"/>
      <c r="AL110" s="71"/>
      <c r="AM110" s="71"/>
      <c r="AN110" s="71"/>
      <c r="AO110" s="70">
        <f>+P110-SUM(AE110:AN110)</f>
        <v>0</v>
      </c>
      <c r="AP110" s="70"/>
      <c r="AQ110" s="71">
        <f t="shared" ref="AQ110:AQ111" si="47">+AO110*0.05</f>
        <v>0</v>
      </c>
      <c r="AR110" s="70" t="e">
        <f>+AO110-AL110-#REF!</f>
        <v>#REF!</v>
      </c>
      <c r="AS110" s="71">
        <f t="shared" ref="AS110:AS111" si="48">IF(AO110&lt;3000,AO110*0.1,0)</f>
        <v>0</v>
      </c>
      <c r="AT110" s="71"/>
      <c r="AU110" s="71"/>
      <c r="AV110" s="70">
        <f t="shared" ref="AV110:AV111" si="49">+AO110+AS110+AT110</f>
        <v>0</v>
      </c>
      <c r="AW110" s="61"/>
      <c r="AX110" s="61"/>
      <c r="AY110" s="53"/>
      <c r="AZ110" s="35"/>
      <c r="BA110" s="6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</row>
    <row r="111" spans="1:207">
      <c r="A111" s="35"/>
      <c r="B111" s="35"/>
      <c r="C111" s="35"/>
      <c r="D111" s="35"/>
      <c r="E111" s="35"/>
      <c r="F111" s="76"/>
      <c r="G111" s="35"/>
      <c r="H111" s="35"/>
      <c r="I111" s="37"/>
      <c r="J111" s="37"/>
      <c r="K111" s="37"/>
      <c r="L111" s="37"/>
      <c r="M111" s="37"/>
      <c r="N111" s="37"/>
      <c r="O111" s="37"/>
      <c r="P111" s="39">
        <f>SUM(I111:O111)</f>
        <v>0</v>
      </c>
      <c r="Q111" s="39"/>
      <c r="R111" s="39"/>
      <c r="S111" s="39"/>
      <c r="T111" s="39"/>
      <c r="U111" s="119"/>
      <c r="V111" s="128"/>
      <c r="W111" s="39"/>
      <c r="X111" s="39"/>
      <c r="Y111" s="39"/>
      <c r="Z111" s="39"/>
      <c r="AA111" s="39"/>
      <c r="AB111" s="39"/>
      <c r="AC111" s="39"/>
      <c r="AD111" s="39"/>
      <c r="AE111" s="55"/>
      <c r="AF111" s="55"/>
      <c r="AG111" s="55"/>
      <c r="AH111" s="55"/>
      <c r="AI111" s="55"/>
      <c r="AJ111" s="55"/>
      <c r="AK111" s="55"/>
      <c r="AL111" s="71"/>
      <c r="AM111" s="71"/>
      <c r="AN111" s="71"/>
      <c r="AO111" s="70">
        <f>+P111-SUM(AE111:AN111)</f>
        <v>0</v>
      </c>
      <c r="AP111" s="70"/>
      <c r="AQ111" s="71">
        <f t="shared" si="47"/>
        <v>0</v>
      </c>
      <c r="AR111" s="70" t="e">
        <f>+AO111-AL111-#REF!</f>
        <v>#REF!</v>
      </c>
      <c r="AS111" s="71">
        <f t="shared" si="48"/>
        <v>0</v>
      </c>
      <c r="AT111" s="71"/>
      <c r="AU111" s="71"/>
      <c r="AV111" s="70">
        <f t="shared" si="49"/>
        <v>0</v>
      </c>
      <c r="AW111" s="60"/>
      <c r="AX111" s="60"/>
      <c r="AY111" s="51"/>
      <c r="AZ111" s="35"/>
      <c r="BA111" s="35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</row>
    <row r="112" spans="1:207">
      <c r="B112" s="20"/>
      <c r="C112" s="20"/>
      <c r="D112" s="20"/>
      <c r="AV112" s="14">
        <f>+AV111*0.16</f>
        <v>0</v>
      </c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</row>
    <row r="113" spans="1:207">
      <c r="A113" s="81" t="s">
        <v>108</v>
      </c>
      <c r="B113" s="81"/>
      <c r="C113" s="20"/>
      <c r="D113" s="20"/>
      <c r="AV113" s="14">
        <f>+AV111+AV112</f>
        <v>0</v>
      </c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</row>
    <row r="114" spans="1:207" s="18" customFormat="1">
      <c r="A114" s="42"/>
      <c r="B114" s="42"/>
      <c r="C114" s="42"/>
      <c r="D114" s="46"/>
      <c r="E114" s="42"/>
      <c r="F114" s="43"/>
      <c r="G114" s="42"/>
      <c r="H114" s="42"/>
      <c r="I114" s="44"/>
      <c r="J114" s="44"/>
      <c r="K114" s="44"/>
      <c r="L114" s="44"/>
      <c r="M114" s="44"/>
      <c r="N114" s="44"/>
      <c r="O114" s="65"/>
      <c r="P114" s="66"/>
      <c r="Q114" s="66"/>
      <c r="R114" s="66"/>
      <c r="S114" s="66"/>
      <c r="T114" s="66"/>
      <c r="U114" s="115"/>
      <c r="V114" s="124"/>
      <c r="W114" s="66"/>
      <c r="X114" s="66"/>
      <c r="Y114" s="66"/>
      <c r="Z114" s="66"/>
      <c r="AA114" s="66"/>
      <c r="AB114" s="66"/>
      <c r="AC114" s="66"/>
      <c r="AD114" s="66"/>
      <c r="AE114" s="44"/>
      <c r="AF114" s="44"/>
      <c r="AG114" s="44"/>
      <c r="AH114" s="44"/>
      <c r="AI114" s="44"/>
      <c r="AJ114" s="44"/>
      <c r="AK114" s="44"/>
      <c r="AL114" s="40"/>
      <c r="AM114" s="40"/>
      <c r="AN114" s="42"/>
      <c r="AO114" s="66"/>
      <c r="AP114" s="66"/>
      <c r="AQ114" s="40"/>
      <c r="AR114" s="66"/>
      <c r="AS114" s="40"/>
      <c r="AT114" s="40"/>
      <c r="AU114" s="40"/>
      <c r="AV114" s="66"/>
      <c r="AW114" s="62"/>
      <c r="AX114" s="63"/>
      <c r="AY114" s="41">
        <f t="shared" ref="AY114" si="50">+AW114+AX114-AR114</f>
        <v>0</v>
      </c>
      <c r="AZ114" s="42"/>
      <c r="BA114" s="64"/>
    </row>
    <row r="115" spans="1:207"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</row>
    <row r="116" spans="1:207"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</row>
    <row r="117" spans="1:207"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</row>
    <row r="118" spans="1:207"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</row>
    <row r="119" spans="1:207"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</row>
    <row r="120" spans="1:207"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</row>
    <row r="121" spans="1:207">
      <c r="A121" s="19" t="s">
        <v>18</v>
      </c>
      <c r="B121" s="13"/>
      <c r="C121" s="13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</row>
    <row r="122" spans="1:207">
      <c r="A122" s="19" t="s">
        <v>19</v>
      </c>
      <c r="B122" s="13"/>
      <c r="C122" s="13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</row>
    <row r="123" spans="1:207">
      <c r="A123" s="19" t="s">
        <v>20</v>
      </c>
      <c r="B123" s="13"/>
      <c r="C123" s="13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</row>
    <row r="124" spans="1:207">
      <c r="A124" s="19" t="s">
        <v>21</v>
      </c>
      <c r="B124" s="13"/>
      <c r="C124" s="13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</row>
    <row r="125" spans="1:207">
      <c r="A125" s="19" t="s">
        <v>22</v>
      </c>
      <c r="B125" s="13"/>
      <c r="C125" s="13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</row>
    <row r="126" spans="1:207">
      <c r="A126" s="19" t="s">
        <v>23</v>
      </c>
      <c r="B126" s="13"/>
      <c r="C126" s="13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</row>
    <row r="127" spans="1:207"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</row>
    <row r="128" spans="1:207"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</row>
    <row r="130" spans="2:3">
      <c r="B130" s="17"/>
      <c r="C130" s="24"/>
    </row>
    <row r="131" spans="2:3">
      <c r="B131" s="17"/>
      <c r="C131" s="24"/>
    </row>
    <row r="132" spans="2:3">
      <c r="B132" s="17"/>
      <c r="C132" s="24"/>
    </row>
  </sheetData>
  <sheetProtection selectLockedCells="1" selectUnlockedCells="1"/>
  <autoFilter ref="A5:BA6">
    <filterColumn colId="28" showButton="0"/>
    <filterColumn colId="48" showButton="0"/>
  </autoFilter>
  <sortState ref="A7:I102">
    <sortCondition ref="H7:H102"/>
  </sortState>
  <mergeCells count="34">
    <mergeCell ref="J5:J6"/>
    <mergeCell ref="A5:A6"/>
    <mergeCell ref="B5:B6"/>
    <mergeCell ref="C5:C6"/>
    <mergeCell ref="D5:D6"/>
    <mergeCell ref="E5:E6"/>
    <mergeCell ref="F5:F6"/>
    <mergeCell ref="G5:G6"/>
    <mergeCell ref="I5:I6"/>
    <mergeCell ref="AL5:AL6"/>
    <mergeCell ref="AM5:AM6"/>
    <mergeCell ref="AN5:AN6"/>
    <mergeCell ref="M5:M6"/>
    <mergeCell ref="N5:N6"/>
    <mergeCell ref="O5:O6"/>
    <mergeCell ref="P5:P6"/>
    <mergeCell ref="AE5:AE6"/>
    <mergeCell ref="AH5:AH6"/>
    <mergeCell ref="AC5:AD5"/>
    <mergeCell ref="A113:B113"/>
    <mergeCell ref="BA5:BA6"/>
    <mergeCell ref="A108:B108"/>
    <mergeCell ref="AV5:AV6"/>
    <mergeCell ref="AW5:AX5"/>
    <mergeCell ref="AY5:AY6"/>
    <mergeCell ref="AZ5:AZ6"/>
    <mergeCell ref="AO5:AO6"/>
    <mergeCell ref="AQ5:AQ6"/>
    <mergeCell ref="AR5:AR6"/>
    <mergeCell ref="AS5:AS6"/>
    <mergeCell ref="AT5:AT6"/>
    <mergeCell ref="AI5:AI6"/>
    <mergeCell ref="AJ5:AJ6"/>
    <mergeCell ref="AK5:A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>
      <selection activeCell="E10" sqref="B10:E10"/>
    </sheetView>
  </sheetViews>
  <sheetFormatPr baseColWidth="10" defaultRowHeight="12.75"/>
  <sheetData>
    <row r="2" spans="1:14">
      <c r="B2" t="s">
        <v>180</v>
      </c>
      <c r="G2" t="s">
        <v>181</v>
      </c>
      <c r="L2" t="s">
        <v>182</v>
      </c>
    </row>
    <row r="3" spans="1:14">
      <c r="B3" t="s">
        <v>183</v>
      </c>
      <c r="C3" t="s">
        <v>183</v>
      </c>
      <c r="D3" t="s">
        <v>184</v>
      </c>
      <c r="E3" t="s">
        <v>185</v>
      </c>
      <c r="G3" t="s">
        <v>183</v>
      </c>
      <c r="H3" t="s">
        <v>183</v>
      </c>
      <c r="I3" t="s">
        <v>184</v>
      </c>
      <c r="J3" t="s">
        <v>186</v>
      </c>
      <c r="L3" t="s">
        <v>187</v>
      </c>
      <c r="M3" t="s">
        <v>188</v>
      </c>
      <c r="N3" t="s">
        <v>189</v>
      </c>
    </row>
    <row r="4" spans="1:14">
      <c r="B4" t="s">
        <v>190</v>
      </c>
      <c r="C4" t="s">
        <v>191</v>
      </c>
      <c r="D4" t="s">
        <v>192</v>
      </c>
      <c r="E4" t="s">
        <v>193</v>
      </c>
      <c r="G4" t="s">
        <v>190</v>
      </c>
      <c r="H4" t="s">
        <v>191</v>
      </c>
      <c r="I4" t="s">
        <v>192</v>
      </c>
      <c r="J4" t="s">
        <v>194</v>
      </c>
      <c r="L4" t="s">
        <v>195</v>
      </c>
      <c r="M4" t="s">
        <v>196</v>
      </c>
      <c r="N4" t="s">
        <v>197</v>
      </c>
    </row>
    <row r="5" spans="1:14">
      <c r="E5" t="s">
        <v>198</v>
      </c>
      <c r="J5" t="s">
        <v>199</v>
      </c>
    </row>
    <row r="6" spans="1:14">
      <c r="A6">
        <v>1</v>
      </c>
      <c r="B6">
        <v>0.01</v>
      </c>
      <c r="C6">
        <v>114.24</v>
      </c>
      <c r="D6">
        <v>0</v>
      </c>
      <c r="E6" s="120">
        <v>1.9199999999999998E-2</v>
      </c>
      <c r="G6">
        <v>0.01</v>
      </c>
      <c r="H6">
        <v>407.33</v>
      </c>
      <c r="I6">
        <v>93.73</v>
      </c>
      <c r="L6">
        <v>0.01</v>
      </c>
      <c r="M6">
        <v>407.33</v>
      </c>
      <c r="N6">
        <v>93.73</v>
      </c>
    </row>
    <row r="7" spans="1:14">
      <c r="A7">
        <v>2</v>
      </c>
      <c r="B7">
        <v>114.25</v>
      </c>
      <c r="C7">
        <v>969.5</v>
      </c>
      <c r="D7">
        <v>2.17</v>
      </c>
      <c r="E7" s="120">
        <v>6.4000000000000001E-2</v>
      </c>
      <c r="G7">
        <v>407.34</v>
      </c>
      <c r="H7">
        <v>610.96</v>
      </c>
      <c r="I7">
        <v>93.66</v>
      </c>
      <c r="L7">
        <v>407.34</v>
      </c>
      <c r="M7">
        <v>610.96</v>
      </c>
      <c r="N7">
        <v>93.66</v>
      </c>
    </row>
    <row r="8" spans="1:14">
      <c r="A8">
        <v>3</v>
      </c>
      <c r="B8">
        <v>969.51</v>
      </c>
      <c r="C8">
        <v>1703.8</v>
      </c>
      <c r="D8">
        <v>56.91</v>
      </c>
      <c r="E8" s="120">
        <v>0.10879999999999999</v>
      </c>
      <c r="G8">
        <v>610.97</v>
      </c>
      <c r="H8">
        <v>799.68</v>
      </c>
      <c r="I8">
        <v>93.66</v>
      </c>
      <c r="L8">
        <v>610.97</v>
      </c>
      <c r="M8">
        <v>799.68</v>
      </c>
      <c r="N8">
        <v>93.66</v>
      </c>
    </row>
    <row r="9" spans="1:14">
      <c r="A9">
        <v>4</v>
      </c>
      <c r="B9">
        <v>1703.81</v>
      </c>
      <c r="C9">
        <v>1980.58</v>
      </c>
      <c r="D9">
        <v>136.85</v>
      </c>
      <c r="E9" s="120">
        <v>0.16</v>
      </c>
      <c r="G9">
        <v>799.69</v>
      </c>
      <c r="H9">
        <v>814.66</v>
      </c>
      <c r="I9">
        <v>90.44</v>
      </c>
      <c r="L9">
        <v>799.69</v>
      </c>
      <c r="M9">
        <v>814.66</v>
      </c>
      <c r="N9">
        <v>90.44</v>
      </c>
    </row>
    <row r="10" spans="1:14">
      <c r="A10">
        <v>5</v>
      </c>
      <c r="B10">
        <v>1980.59</v>
      </c>
      <c r="C10">
        <v>2371.3200000000002</v>
      </c>
      <c r="D10">
        <v>181.09</v>
      </c>
      <c r="E10" s="120">
        <v>0.1792</v>
      </c>
      <c r="G10">
        <v>814.67</v>
      </c>
      <c r="H10">
        <v>1023.75</v>
      </c>
      <c r="I10">
        <v>88.06</v>
      </c>
      <c r="L10">
        <v>814.67</v>
      </c>
      <c r="M10">
        <v>1023.75</v>
      </c>
      <c r="N10">
        <v>88.06</v>
      </c>
    </row>
    <row r="11" spans="1:14">
      <c r="A11">
        <v>6</v>
      </c>
      <c r="B11">
        <v>2371.33</v>
      </c>
      <c r="C11">
        <v>4782.6099999999997</v>
      </c>
      <c r="D11">
        <v>251.16</v>
      </c>
      <c r="E11" s="120">
        <v>0.21360000000000001</v>
      </c>
      <c r="G11">
        <v>1023.76</v>
      </c>
      <c r="H11">
        <v>1086.19</v>
      </c>
      <c r="I11">
        <v>81.55</v>
      </c>
      <c r="L11">
        <v>1023.76</v>
      </c>
      <c r="M11">
        <v>1086.19</v>
      </c>
      <c r="N11">
        <v>81.55</v>
      </c>
    </row>
    <row r="12" spans="1:14">
      <c r="A12">
        <v>7</v>
      </c>
      <c r="B12">
        <v>4782.62</v>
      </c>
      <c r="C12">
        <v>7538.09</v>
      </c>
      <c r="D12">
        <v>766.15</v>
      </c>
      <c r="E12" s="120">
        <v>0.23519999999999999</v>
      </c>
      <c r="G12">
        <v>1086.2</v>
      </c>
      <c r="H12">
        <v>1228.57</v>
      </c>
      <c r="I12">
        <v>74.83</v>
      </c>
      <c r="L12">
        <v>1086.2</v>
      </c>
      <c r="M12">
        <v>1228.57</v>
      </c>
      <c r="N12">
        <v>74.83</v>
      </c>
    </row>
    <row r="13" spans="1:14">
      <c r="A13">
        <v>8</v>
      </c>
      <c r="B13">
        <v>7538.1</v>
      </c>
      <c r="C13">
        <v>14391.44</v>
      </c>
      <c r="D13">
        <v>1414.28</v>
      </c>
      <c r="E13" s="120">
        <v>0.3</v>
      </c>
      <c r="G13">
        <v>1228.58</v>
      </c>
      <c r="H13">
        <v>1433.32</v>
      </c>
      <c r="I13">
        <v>67.83</v>
      </c>
      <c r="L13">
        <v>1228.58</v>
      </c>
      <c r="M13">
        <v>1433.32</v>
      </c>
      <c r="N13">
        <v>67.83</v>
      </c>
    </row>
    <row r="14" spans="1:14">
      <c r="A14">
        <v>9</v>
      </c>
      <c r="B14">
        <v>14391.45</v>
      </c>
      <c r="C14">
        <v>19188.61</v>
      </c>
      <c r="D14">
        <v>3470.25</v>
      </c>
      <c r="E14" s="120">
        <v>0.32</v>
      </c>
      <c r="G14">
        <v>1433.33</v>
      </c>
      <c r="H14">
        <v>1638.07</v>
      </c>
      <c r="I14">
        <v>58.38</v>
      </c>
      <c r="L14">
        <v>1433.33</v>
      </c>
      <c r="M14">
        <v>1638.07</v>
      </c>
      <c r="N14">
        <v>58.38</v>
      </c>
    </row>
    <row r="15" spans="1:14">
      <c r="A15">
        <v>10</v>
      </c>
      <c r="B15">
        <v>19188.62</v>
      </c>
      <c r="C15">
        <v>57565.760000000002</v>
      </c>
      <c r="D15">
        <v>5005.3500000000004</v>
      </c>
      <c r="E15" s="120">
        <v>0.34</v>
      </c>
      <c r="G15">
        <v>1638.08</v>
      </c>
      <c r="H15">
        <v>1699.88</v>
      </c>
      <c r="I15">
        <v>50.12</v>
      </c>
      <c r="L15">
        <v>1638.08</v>
      </c>
      <c r="M15">
        <v>1699.88</v>
      </c>
      <c r="N15">
        <v>50.12</v>
      </c>
    </row>
    <row r="16" spans="1:14">
      <c r="A16">
        <v>11</v>
      </c>
      <c r="B16">
        <v>57565.77</v>
      </c>
      <c r="C16" t="s">
        <v>200</v>
      </c>
      <c r="D16">
        <v>18053.63</v>
      </c>
      <c r="E16" s="120">
        <v>0.35</v>
      </c>
      <c r="G16">
        <v>1699.89</v>
      </c>
      <c r="H16" t="s">
        <v>201</v>
      </c>
      <c r="I16">
        <v>0</v>
      </c>
      <c r="L16">
        <v>1699.89</v>
      </c>
      <c r="M16" t="s">
        <v>200</v>
      </c>
      <c r="N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 BASE</vt:lpstr>
      <vt:lpstr>NOMINA COMISIONES</vt:lpstr>
      <vt:lpstr>TABLAS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ljimenez</cp:lastModifiedBy>
  <cp:lastPrinted>2016-02-12T20:59:22Z</cp:lastPrinted>
  <dcterms:created xsi:type="dcterms:W3CDTF">2015-07-23T15:19:36Z</dcterms:created>
  <dcterms:modified xsi:type="dcterms:W3CDTF">2016-08-03T23:38:38Z</dcterms:modified>
</cp:coreProperties>
</file>