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31.107.8.54\g\Grupo LMJS\QUERETARO MOTORS\NOMINA\NOMINA 2016\CONSULTORES\QUINCENAL\"/>
    </mc:Choice>
  </mc:AlternateContent>
  <bookViews>
    <workbookView xWindow="0" yWindow="0" windowWidth="28800" windowHeight="11445" activeTab="3"/>
  </bookViews>
  <sheets>
    <sheet name="FACTURACIÓN" sheetId="1" r:id="rId1"/>
    <sheet name="C&amp;A" sheetId="4" r:id="rId2"/>
    <sheet name="SINDICATO" sheetId="2" r:id="rId3"/>
    <sheet name="Hoja1" sheetId="5" r:id="rId4"/>
  </sheets>
  <definedNames>
    <definedName name="_xlnm._FilterDatabase" localSheetId="0" hidden="1">FACTURACIÓN!$A$8:$BX$71</definedName>
    <definedName name="_xlnm.Print_Area" localSheetId="3">Hoja1!$A$1:$H$25</definedName>
  </definedNames>
  <calcPr calcId="152511"/>
</workbook>
</file>

<file path=xl/calcChain.xml><?xml version="1.0" encoding="utf-8"?>
<calcChain xmlns="http://schemas.openxmlformats.org/spreadsheetml/2006/main">
  <c r="B13" i="5" l="1"/>
  <c r="B15" i="5" l="1"/>
  <c r="B16" i="5" s="1"/>
  <c r="B17" i="5" s="1"/>
  <c r="D65" i="1" l="1"/>
  <c r="T65" i="1"/>
  <c r="C65" i="1"/>
  <c r="H11" i="4"/>
  <c r="I11" i="4" s="1"/>
  <c r="H12" i="4"/>
  <c r="I12" i="4" s="1"/>
  <c r="H13" i="4"/>
  <c r="I13" i="4" s="1"/>
  <c r="H14" i="4"/>
  <c r="I14" i="4" s="1"/>
  <c r="H15" i="4"/>
  <c r="I15" i="4" s="1"/>
  <c r="H16" i="4"/>
  <c r="I16" i="4" s="1"/>
  <c r="H17" i="4"/>
  <c r="I17" i="4" s="1"/>
  <c r="H18" i="4"/>
  <c r="I18" i="4" s="1"/>
  <c r="H19" i="4"/>
  <c r="I19" i="4" s="1"/>
  <c r="H20" i="4"/>
  <c r="I20" i="4" s="1"/>
  <c r="H21" i="4"/>
  <c r="I21" i="4" s="1"/>
  <c r="H22" i="4"/>
  <c r="I22" i="4" s="1"/>
  <c r="H23" i="4"/>
  <c r="I23" i="4" s="1"/>
  <c r="H24" i="4"/>
  <c r="I24" i="4" s="1"/>
  <c r="H25" i="4"/>
  <c r="I25" i="4" s="1"/>
  <c r="H26" i="4"/>
  <c r="I26" i="4" s="1"/>
  <c r="H27" i="4"/>
  <c r="I27" i="4" s="1"/>
  <c r="H28" i="4"/>
  <c r="I28" i="4" s="1"/>
  <c r="H29" i="4"/>
  <c r="I29" i="4" s="1"/>
  <c r="H30" i="4"/>
  <c r="I30" i="4" s="1"/>
  <c r="H31" i="4"/>
  <c r="I31" i="4" s="1"/>
  <c r="H32" i="4"/>
  <c r="I32" i="4" s="1"/>
  <c r="H33" i="4"/>
  <c r="I33" i="4" s="1"/>
  <c r="H34" i="4"/>
  <c r="I34" i="4" s="1"/>
  <c r="H35" i="4"/>
  <c r="I35" i="4" s="1"/>
  <c r="H36" i="4"/>
  <c r="I36" i="4" s="1"/>
  <c r="H37" i="4"/>
  <c r="I37" i="4" s="1"/>
  <c r="H38" i="4"/>
  <c r="I38" i="4" s="1"/>
  <c r="H39" i="4"/>
  <c r="I39" i="4" s="1"/>
  <c r="H40" i="4"/>
  <c r="I40" i="4" s="1"/>
  <c r="H41" i="4"/>
  <c r="I41" i="4" s="1"/>
  <c r="H42" i="4"/>
  <c r="I42" i="4" s="1"/>
  <c r="H43" i="4"/>
  <c r="I43" i="4" s="1"/>
  <c r="H44" i="4"/>
  <c r="I44" i="4" s="1"/>
  <c r="H45" i="4"/>
  <c r="I45" i="4" s="1"/>
  <c r="H46" i="4"/>
  <c r="I46" i="4" s="1"/>
  <c r="H47" i="4"/>
  <c r="I47" i="4" s="1"/>
  <c r="H48" i="4"/>
  <c r="I48" i="4" s="1"/>
  <c r="H49" i="4"/>
  <c r="I49" i="4" s="1"/>
  <c r="H50" i="4"/>
  <c r="I50" i="4" s="1"/>
  <c r="H51" i="4"/>
  <c r="I51" i="4" s="1"/>
  <c r="H52" i="4"/>
  <c r="I52" i="4" s="1"/>
  <c r="H53" i="4"/>
  <c r="I53" i="4" s="1"/>
  <c r="H54" i="4"/>
  <c r="I54" i="4" s="1"/>
  <c r="H55" i="4"/>
  <c r="I55" i="4" s="1"/>
  <c r="H56" i="4"/>
  <c r="I56" i="4" s="1"/>
  <c r="H57" i="4"/>
  <c r="I57" i="4" s="1"/>
  <c r="H58" i="4"/>
  <c r="I58" i="4" s="1"/>
  <c r="H59" i="4"/>
  <c r="I59" i="4" s="1"/>
  <c r="H60" i="4"/>
  <c r="I60" i="4" s="1"/>
  <c r="H61" i="4"/>
  <c r="I61" i="4" s="1"/>
  <c r="H62" i="4"/>
  <c r="I62" i="4" s="1"/>
  <c r="H63" i="4"/>
  <c r="I63" i="4" s="1"/>
  <c r="H64" i="4"/>
  <c r="I64" i="4" s="1"/>
  <c r="H10" i="4"/>
  <c r="E10" i="4"/>
  <c r="E68" i="4" s="1"/>
  <c r="B4" i="2"/>
  <c r="B4" i="4"/>
  <c r="D68" i="4"/>
  <c r="F68" i="4"/>
  <c r="G68" i="4"/>
  <c r="C68" i="4"/>
  <c r="D68" i="2"/>
  <c r="M68" i="2"/>
  <c r="Y65" i="1"/>
  <c r="Z65" i="1"/>
  <c r="AA65" i="1"/>
  <c r="AB65" i="1"/>
  <c r="AC65" i="1"/>
  <c r="AD65" i="1"/>
  <c r="AG65" i="1"/>
  <c r="AH65" i="1"/>
  <c r="AI65" i="1"/>
  <c r="AJ65" i="1"/>
  <c r="AK65" i="1"/>
  <c r="AL65" i="1"/>
  <c r="AM65" i="1"/>
  <c r="AN65" i="1"/>
  <c r="AO65" i="1"/>
  <c r="AP65" i="1"/>
  <c r="AQ65" i="1"/>
  <c r="AR65" i="1"/>
  <c r="AS65" i="1"/>
  <c r="AT65" i="1"/>
  <c r="AU65" i="1"/>
  <c r="AV65" i="1"/>
  <c r="AW65" i="1"/>
  <c r="AX65" i="1"/>
  <c r="AY65" i="1"/>
  <c r="AZ65" i="1"/>
  <c r="BA65" i="1"/>
  <c r="BB65" i="1"/>
  <c r="BG65" i="1"/>
  <c r="BH65" i="1"/>
  <c r="BI65" i="1"/>
  <c r="BJ65" i="1"/>
  <c r="BK65" i="1"/>
  <c r="BL65" i="1"/>
  <c r="BM65" i="1"/>
  <c r="BN65" i="1"/>
  <c r="BO65" i="1"/>
  <c r="BP65" i="1"/>
  <c r="BQ65" i="1"/>
  <c r="BR65" i="1"/>
  <c r="BS65" i="1"/>
  <c r="BT65" i="1"/>
  <c r="BU65" i="1"/>
  <c r="BV65" i="1"/>
  <c r="F11" i="2"/>
  <c r="G11" i="2"/>
  <c r="K11" i="2"/>
  <c r="F12" i="2"/>
  <c r="G12" i="2"/>
  <c r="K12" i="2"/>
  <c r="F13" i="2"/>
  <c r="K13" i="2"/>
  <c r="F14" i="2"/>
  <c r="G14" i="2"/>
  <c r="K14" i="2"/>
  <c r="F15" i="2"/>
  <c r="G15" i="2"/>
  <c r="K15" i="2"/>
  <c r="F16" i="2"/>
  <c r="G16" i="2"/>
  <c r="K16" i="2"/>
  <c r="F17" i="2"/>
  <c r="G17" i="2"/>
  <c r="K17" i="2"/>
  <c r="F18" i="2"/>
  <c r="G18" i="2"/>
  <c r="K18" i="2"/>
  <c r="F19" i="2"/>
  <c r="G19" i="2"/>
  <c r="K19" i="2"/>
  <c r="F20" i="2"/>
  <c r="G20" i="2"/>
  <c r="K20" i="2"/>
  <c r="F21" i="2"/>
  <c r="G21" i="2"/>
  <c r="K21" i="2"/>
  <c r="F22" i="2"/>
  <c r="G22" i="2"/>
  <c r="K22" i="2"/>
  <c r="F23" i="2"/>
  <c r="G23" i="2"/>
  <c r="K23" i="2"/>
  <c r="F24" i="2"/>
  <c r="G24" i="2"/>
  <c r="K24" i="2"/>
  <c r="F25" i="2"/>
  <c r="G25" i="2"/>
  <c r="K25" i="2"/>
  <c r="G26" i="2"/>
  <c r="K26" i="2"/>
  <c r="F27" i="2"/>
  <c r="G27" i="2"/>
  <c r="K27" i="2"/>
  <c r="F28" i="2"/>
  <c r="G28" i="2"/>
  <c r="K28" i="2"/>
  <c r="F29" i="2"/>
  <c r="G29" i="2"/>
  <c r="K29" i="2"/>
  <c r="F30" i="2"/>
  <c r="G30" i="2"/>
  <c r="K30" i="2"/>
  <c r="F31" i="2"/>
  <c r="G31" i="2"/>
  <c r="K31" i="2"/>
  <c r="F32" i="2"/>
  <c r="G32" i="2"/>
  <c r="K32" i="2"/>
  <c r="F33" i="2"/>
  <c r="G33" i="2"/>
  <c r="K33" i="2"/>
  <c r="F34" i="2"/>
  <c r="G34" i="2"/>
  <c r="K34" i="2"/>
  <c r="F35" i="2"/>
  <c r="G35" i="2"/>
  <c r="K35" i="2"/>
  <c r="F36" i="2"/>
  <c r="G36" i="2"/>
  <c r="K36" i="2"/>
  <c r="F37" i="2"/>
  <c r="G37" i="2"/>
  <c r="K37" i="2"/>
  <c r="F38" i="2"/>
  <c r="G38" i="2"/>
  <c r="K38" i="2"/>
  <c r="F39" i="2"/>
  <c r="G39" i="2"/>
  <c r="K39" i="2"/>
  <c r="F40" i="2"/>
  <c r="G40" i="2"/>
  <c r="K40" i="2"/>
  <c r="F41" i="2"/>
  <c r="G41" i="2"/>
  <c r="K41" i="2"/>
  <c r="F42" i="2"/>
  <c r="G42" i="2"/>
  <c r="K42" i="2"/>
  <c r="G43" i="2"/>
  <c r="K43" i="2"/>
  <c r="F44" i="2"/>
  <c r="G44" i="2"/>
  <c r="K44" i="2"/>
  <c r="F45" i="2"/>
  <c r="G45" i="2"/>
  <c r="K45" i="2"/>
  <c r="F46" i="2"/>
  <c r="G46" i="2"/>
  <c r="K46" i="2"/>
  <c r="F47" i="2"/>
  <c r="G47" i="2"/>
  <c r="K47" i="2"/>
  <c r="F48" i="2"/>
  <c r="G48" i="2"/>
  <c r="K48" i="2"/>
  <c r="F49" i="2"/>
  <c r="G49" i="2"/>
  <c r="K49" i="2"/>
  <c r="F50" i="2"/>
  <c r="G50" i="2"/>
  <c r="K50" i="2"/>
  <c r="F51" i="2"/>
  <c r="G51" i="2"/>
  <c r="K51" i="2"/>
  <c r="F52" i="2"/>
  <c r="G52" i="2"/>
  <c r="K52" i="2"/>
  <c r="F53" i="2"/>
  <c r="G53" i="2"/>
  <c r="K53" i="2"/>
  <c r="F54" i="2"/>
  <c r="G54" i="2"/>
  <c r="K54" i="2"/>
  <c r="F55" i="2"/>
  <c r="G55" i="2"/>
  <c r="K55" i="2"/>
  <c r="F56" i="2"/>
  <c r="G56" i="2"/>
  <c r="K56" i="2"/>
  <c r="F57" i="2"/>
  <c r="G57" i="2"/>
  <c r="K57" i="2"/>
  <c r="F58" i="2"/>
  <c r="G58" i="2"/>
  <c r="K58" i="2"/>
  <c r="F59" i="2"/>
  <c r="G59" i="2"/>
  <c r="K59" i="2"/>
  <c r="F60" i="2"/>
  <c r="G60" i="2"/>
  <c r="F61" i="2"/>
  <c r="G61" i="2"/>
  <c r="K61" i="2"/>
  <c r="F62" i="2"/>
  <c r="G62" i="2"/>
  <c r="K62" i="2"/>
  <c r="F63" i="2"/>
  <c r="G63" i="2"/>
  <c r="K63" i="2"/>
  <c r="F64" i="2"/>
  <c r="G64" i="2"/>
  <c r="K64" i="2"/>
  <c r="G10" i="2"/>
  <c r="K10" i="2"/>
  <c r="F10" i="2"/>
  <c r="J25" i="1"/>
  <c r="F26" i="2" s="1"/>
  <c r="U9" i="1" l="1"/>
  <c r="I10" i="4"/>
  <c r="I68" i="4" s="1"/>
  <c r="H68" i="4"/>
  <c r="J42" i="1" l="1"/>
  <c r="J65" i="1" s="1"/>
  <c r="F60" i="1"/>
  <c r="H45" i="1"/>
  <c r="H65" i="1" s="1"/>
  <c r="I45" i="1"/>
  <c r="I65" i="1" s="1"/>
  <c r="G38" i="1"/>
  <c r="F38" i="1"/>
  <c r="K12" i="1"/>
  <c r="K65" i="1" s="1"/>
  <c r="G14" i="1"/>
  <c r="F10" i="1"/>
  <c r="N10" i="1"/>
  <c r="J11" i="2" s="1"/>
  <c r="N11" i="1"/>
  <c r="J12" i="2" s="1"/>
  <c r="N12" i="1"/>
  <c r="J13" i="2" s="1"/>
  <c r="N13" i="1"/>
  <c r="J14" i="2" s="1"/>
  <c r="N14" i="1"/>
  <c r="J15" i="2" s="1"/>
  <c r="N15" i="1"/>
  <c r="J16" i="2" s="1"/>
  <c r="N16" i="1"/>
  <c r="J17" i="2" s="1"/>
  <c r="N17" i="1"/>
  <c r="J18" i="2" s="1"/>
  <c r="N18" i="1"/>
  <c r="J19" i="2" s="1"/>
  <c r="N19" i="1"/>
  <c r="J20" i="2" s="1"/>
  <c r="N20" i="1"/>
  <c r="J21" i="2" s="1"/>
  <c r="N21" i="1"/>
  <c r="J22" i="2" s="1"/>
  <c r="N22" i="1"/>
  <c r="J23" i="2" s="1"/>
  <c r="N23" i="1"/>
  <c r="J24" i="2" s="1"/>
  <c r="N24" i="1"/>
  <c r="J25" i="2" s="1"/>
  <c r="N25" i="1"/>
  <c r="J26" i="2" s="1"/>
  <c r="N26" i="1"/>
  <c r="J27" i="2" s="1"/>
  <c r="N27" i="1"/>
  <c r="J28" i="2" s="1"/>
  <c r="N28" i="1"/>
  <c r="J29" i="2" s="1"/>
  <c r="N29" i="1"/>
  <c r="J30" i="2" s="1"/>
  <c r="N30" i="1"/>
  <c r="J31" i="2" s="1"/>
  <c r="N31" i="1"/>
  <c r="J32" i="2" s="1"/>
  <c r="N32" i="1"/>
  <c r="J33" i="2" s="1"/>
  <c r="N33" i="1"/>
  <c r="J34" i="2" s="1"/>
  <c r="N34" i="1"/>
  <c r="J35" i="2" s="1"/>
  <c r="N35" i="1"/>
  <c r="J36" i="2" s="1"/>
  <c r="N36" i="1"/>
  <c r="J37" i="2" s="1"/>
  <c r="N37" i="1"/>
  <c r="J38" i="2" s="1"/>
  <c r="N38" i="1"/>
  <c r="J39" i="2" s="1"/>
  <c r="N39" i="1"/>
  <c r="J40" i="2" s="1"/>
  <c r="N40" i="1"/>
  <c r="J41" i="2" s="1"/>
  <c r="N41" i="1"/>
  <c r="J42" i="2" s="1"/>
  <c r="N42" i="1"/>
  <c r="J43" i="2" s="1"/>
  <c r="N43" i="1"/>
  <c r="J44" i="2" s="1"/>
  <c r="N44" i="1"/>
  <c r="J45" i="2" s="1"/>
  <c r="N45" i="1"/>
  <c r="J46" i="2" s="1"/>
  <c r="N46" i="1"/>
  <c r="J47" i="2" s="1"/>
  <c r="N47" i="1"/>
  <c r="J48" i="2" s="1"/>
  <c r="N48" i="1"/>
  <c r="J49" i="2" s="1"/>
  <c r="N49" i="1"/>
  <c r="J50" i="2" s="1"/>
  <c r="N50" i="1"/>
  <c r="J51" i="2" s="1"/>
  <c r="N51" i="1"/>
  <c r="J52" i="2" s="1"/>
  <c r="N52" i="1"/>
  <c r="J53" i="2" s="1"/>
  <c r="N53" i="1"/>
  <c r="J54" i="2" s="1"/>
  <c r="N54" i="1"/>
  <c r="J55" i="2" s="1"/>
  <c r="N55" i="1"/>
  <c r="J56" i="2" s="1"/>
  <c r="N56" i="1"/>
  <c r="J57" i="2" s="1"/>
  <c r="N57" i="1"/>
  <c r="J58" i="2" s="1"/>
  <c r="N58" i="1"/>
  <c r="J59" i="2" s="1"/>
  <c r="N59" i="1"/>
  <c r="J60" i="2" s="1"/>
  <c r="N60" i="1"/>
  <c r="J61" i="2" s="1"/>
  <c r="N61" i="1"/>
  <c r="J62" i="2" s="1"/>
  <c r="N62" i="1"/>
  <c r="J63" i="2" s="1"/>
  <c r="N63" i="1"/>
  <c r="J64" i="2" s="1"/>
  <c r="N9" i="1"/>
  <c r="CM64" i="1"/>
  <c r="CL64" i="1"/>
  <c r="CK64" i="1"/>
  <c r="CJ64" i="1"/>
  <c r="M10" i="1"/>
  <c r="I11" i="2" s="1"/>
  <c r="M11" i="1"/>
  <c r="I12" i="2" s="1"/>
  <c r="M12" i="1"/>
  <c r="I13" i="2" s="1"/>
  <c r="M13" i="1"/>
  <c r="I14" i="2" s="1"/>
  <c r="M14" i="1"/>
  <c r="I15" i="2" s="1"/>
  <c r="M15" i="1"/>
  <c r="I16" i="2" s="1"/>
  <c r="M16" i="1"/>
  <c r="I17" i="2" s="1"/>
  <c r="M17" i="1"/>
  <c r="I18" i="2" s="1"/>
  <c r="M18" i="1"/>
  <c r="I19" i="2" s="1"/>
  <c r="M19" i="1"/>
  <c r="I20" i="2" s="1"/>
  <c r="M20" i="1"/>
  <c r="I21" i="2" s="1"/>
  <c r="M21" i="1"/>
  <c r="I22" i="2" s="1"/>
  <c r="M22" i="1"/>
  <c r="I23" i="2" s="1"/>
  <c r="M23" i="1"/>
  <c r="I24" i="2" s="1"/>
  <c r="M24" i="1"/>
  <c r="I25" i="2" s="1"/>
  <c r="M25" i="1"/>
  <c r="I26" i="2" s="1"/>
  <c r="M26" i="1"/>
  <c r="I27" i="2" s="1"/>
  <c r="M27" i="1"/>
  <c r="I28" i="2" s="1"/>
  <c r="M28" i="1"/>
  <c r="I29" i="2" s="1"/>
  <c r="M29" i="1"/>
  <c r="I30" i="2" s="1"/>
  <c r="M30" i="1"/>
  <c r="I31" i="2" s="1"/>
  <c r="M31" i="1"/>
  <c r="I32" i="2" s="1"/>
  <c r="M32" i="1"/>
  <c r="I33" i="2" s="1"/>
  <c r="M33" i="1"/>
  <c r="I34" i="2" s="1"/>
  <c r="M34" i="1"/>
  <c r="I35" i="2" s="1"/>
  <c r="M35" i="1"/>
  <c r="I36" i="2" s="1"/>
  <c r="M36" i="1"/>
  <c r="I37" i="2" s="1"/>
  <c r="M37" i="1"/>
  <c r="I38" i="2" s="1"/>
  <c r="M38" i="1"/>
  <c r="I39" i="2" s="1"/>
  <c r="M39" i="1"/>
  <c r="I40" i="2" s="1"/>
  <c r="M40" i="1"/>
  <c r="I41" i="2" s="1"/>
  <c r="M41" i="1"/>
  <c r="I42" i="2" s="1"/>
  <c r="M42" i="1"/>
  <c r="I43" i="2" s="1"/>
  <c r="M43" i="1"/>
  <c r="I44" i="2" s="1"/>
  <c r="M44" i="1"/>
  <c r="I45" i="2" s="1"/>
  <c r="M45" i="1"/>
  <c r="I46" i="2" s="1"/>
  <c r="M46" i="1"/>
  <c r="I47" i="2" s="1"/>
  <c r="M47" i="1"/>
  <c r="I48" i="2" s="1"/>
  <c r="M48" i="1"/>
  <c r="I49" i="2" s="1"/>
  <c r="M49" i="1"/>
  <c r="I50" i="2" s="1"/>
  <c r="M50" i="1"/>
  <c r="I51" i="2" s="1"/>
  <c r="M51" i="1"/>
  <c r="I52" i="2" s="1"/>
  <c r="M52" i="1"/>
  <c r="I53" i="2" s="1"/>
  <c r="M53" i="1"/>
  <c r="I54" i="2" s="1"/>
  <c r="M54" i="1"/>
  <c r="I55" i="2" s="1"/>
  <c r="M55" i="1"/>
  <c r="I56" i="2" s="1"/>
  <c r="M56" i="1"/>
  <c r="I57" i="2" s="1"/>
  <c r="M57" i="1"/>
  <c r="I58" i="2" s="1"/>
  <c r="M58" i="1"/>
  <c r="I59" i="2" s="1"/>
  <c r="M59" i="1"/>
  <c r="I60" i="2" s="1"/>
  <c r="M60" i="1"/>
  <c r="I61" i="2" s="1"/>
  <c r="M61" i="1"/>
  <c r="I62" i="2" s="1"/>
  <c r="M62" i="1"/>
  <c r="I63" i="2" s="1"/>
  <c r="M63" i="1"/>
  <c r="I64" i="2" s="1"/>
  <c r="M9" i="1"/>
  <c r="CO64" i="1"/>
  <c r="CP64" i="1"/>
  <c r="CQ64" i="1"/>
  <c r="CR64" i="1"/>
  <c r="CS64" i="1"/>
  <c r="O59" i="1"/>
  <c r="O65" i="1" s="1"/>
  <c r="E10" i="1"/>
  <c r="L10" i="1"/>
  <c r="H11" i="2" s="1"/>
  <c r="E11" i="1"/>
  <c r="L11" i="1"/>
  <c r="H12" i="2" s="1"/>
  <c r="E12" i="1"/>
  <c r="L12" i="1"/>
  <c r="H13" i="2" s="1"/>
  <c r="E13" i="1"/>
  <c r="L13" i="1"/>
  <c r="H14" i="2" s="1"/>
  <c r="E14" i="1"/>
  <c r="L14" i="1"/>
  <c r="H15" i="2" s="1"/>
  <c r="E15" i="1"/>
  <c r="L15" i="1"/>
  <c r="H16" i="2" s="1"/>
  <c r="E16" i="1"/>
  <c r="L16" i="1"/>
  <c r="H17" i="2" s="1"/>
  <c r="E17" i="1"/>
  <c r="L17" i="1"/>
  <c r="H18" i="2" s="1"/>
  <c r="E18" i="1"/>
  <c r="L18" i="1"/>
  <c r="H19" i="2" s="1"/>
  <c r="E19" i="1"/>
  <c r="L19" i="1"/>
  <c r="H20" i="2" s="1"/>
  <c r="E20" i="1"/>
  <c r="L20" i="1"/>
  <c r="H21" i="2" s="1"/>
  <c r="E21" i="1"/>
  <c r="L21" i="1"/>
  <c r="H22" i="2" s="1"/>
  <c r="E22" i="1"/>
  <c r="L22" i="1"/>
  <c r="H23" i="2" s="1"/>
  <c r="E23" i="1"/>
  <c r="L23" i="1"/>
  <c r="H24" i="2" s="1"/>
  <c r="E24" i="1"/>
  <c r="L24" i="1"/>
  <c r="H25" i="2" s="1"/>
  <c r="E25" i="1"/>
  <c r="L25" i="1"/>
  <c r="H26" i="2" s="1"/>
  <c r="E26" i="1"/>
  <c r="L26" i="1"/>
  <c r="H27" i="2" s="1"/>
  <c r="E27" i="1"/>
  <c r="L27" i="1"/>
  <c r="H28" i="2" s="1"/>
  <c r="E28" i="1"/>
  <c r="L28" i="1"/>
  <c r="H29" i="2" s="1"/>
  <c r="E29" i="1"/>
  <c r="L29" i="1"/>
  <c r="H30" i="2" s="1"/>
  <c r="E30" i="1"/>
  <c r="L30" i="1"/>
  <c r="H31" i="2" s="1"/>
  <c r="E31" i="1"/>
  <c r="L31" i="1"/>
  <c r="H32" i="2" s="1"/>
  <c r="E32" i="1"/>
  <c r="L32" i="1"/>
  <c r="H33" i="2" s="1"/>
  <c r="E33" i="1"/>
  <c r="L33" i="1"/>
  <c r="H34" i="2" s="1"/>
  <c r="E34" i="1"/>
  <c r="L34" i="1"/>
  <c r="H35" i="2" s="1"/>
  <c r="E35" i="1"/>
  <c r="L35" i="1"/>
  <c r="H36" i="2" s="1"/>
  <c r="E36" i="1"/>
  <c r="L36" i="1"/>
  <c r="H37" i="2" s="1"/>
  <c r="E37" i="1"/>
  <c r="L37" i="1"/>
  <c r="H38" i="2" s="1"/>
  <c r="E38" i="1"/>
  <c r="L38" i="1"/>
  <c r="H39" i="2" s="1"/>
  <c r="E39" i="1"/>
  <c r="L39" i="1"/>
  <c r="H40" i="2" s="1"/>
  <c r="E40" i="1"/>
  <c r="L40" i="1"/>
  <c r="H41" i="2" s="1"/>
  <c r="E41" i="1"/>
  <c r="L41" i="1"/>
  <c r="H42" i="2" s="1"/>
  <c r="E42" i="1"/>
  <c r="L42" i="1"/>
  <c r="H43" i="2" s="1"/>
  <c r="E43" i="1"/>
  <c r="L43" i="1"/>
  <c r="H44" i="2" s="1"/>
  <c r="E44" i="1"/>
  <c r="L44" i="1"/>
  <c r="H45" i="2" s="1"/>
  <c r="E45" i="1"/>
  <c r="L45" i="1"/>
  <c r="H46" i="2" s="1"/>
  <c r="E46" i="1"/>
  <c r="L46" i="1"/>
  <c r="H47" i="2" s="1"/>
  <c r="E47" i="1"/>
  <c r="L47" i="1"/>
  <c r="H48" i="2" s="1"/>
  <c r="E48" i="1"/>
  <c r="L48" i="1"/>
  <c r="H49" i="2" s="1"/>
  <c r="E49" i="1"/>
  <c r="L49" i="1"/>
  <c r="H50" i="2" s="1"/>
  <c r="E50" i="1"/>
  <c r="L50" i="1"/>
  <c r="H51" i="2" s="1"/>
  <c r="E51" i="1"/>
  <c r="L51" i="1"/>
  <c r="H52" i="2" s="1"/>
  <c r="E52" i="1"/>
  <c r="L52" i="1"/>
  <c r="H53" i="2" s="1"/>
  <c r="E53" i="1"/>
  <c r="L53" i="1"/>
  <c r="H54" i="2" s="1"/>
  <c r="E54" i="1"/>
  <c r="L54" i="1"/>
  <c r="H55" i="2" s="1"/>
  <c r="E55" i="1"/>
  <c r="L55" i="1"/>
  <c r="H56" i="2" s="1"/>
  <c r="E56" i="1"/>
  <c r="L56" i="1"/>
  <c r="H57" i="2" s="1"/>
  <c r="E57" i="1"/>
  <c r="L57" i="1"/>
  <c r="H58" i="2" s="1"/>
  <c r="E58" i="1"/>
  <c r="L58" i="1"/>
  <c r="H59" i="2" s="1"/>
  <c r="E59" i="1"/>
  <c r="L59" i="1"/>
  <c r="H60" i="2" s="1"/>
  <c r="E60" i="1"/>
  <c r="L60" i="1"/>
  <c r="H61" i="2" s="1"/>
  <c r="E61" i="1"/>
  <c r="L61" i="1"/>
  <c r="H62" i="2" s="1"/>
  <c r="E62" i="1"/>
  <c r="L62" i="1"/>
  <c r="H63" i="2" s="1"/>
  <c r="E63" i="1"/>
  <c r="L63" i="1"/>
  <c r="H64" i="2" s="1"/>
  <c r="P10" i="1"/>
  <c r="L11" i="2" s="1"/>
  <c r="P11" i="1"/>
  <c r="L12" i="2" s="1"/>
  <c r="P12" i="1"/>
  <c r="L13" i="2" s="1"/>
  <c r="P13" i="1"/>
  <c r="L14" i="2" s="1"/>
  <c r="P14" i="1"/>
  <c r="L15" i="2" s="1"/>
  <c r="P15" i="1"/>
  <c r="L16" i="2" s="1"/>
  <c r="P17" i="1"/>
  <c r="L18" i="2" s="1"/>
  <c r="P18" i="1"/>
  <c r="L19" i="2" s="1"/>
  <c r="P20" i="1"/>
  <c r="L21" i="2" s="1"/>
  <c r="P21" i="1"/>
  <c r="L22" i="2" s="1"/>
  <c r="P23" i="1"/>
  <c r="L24" i="2" s="1"/>
  <c r="P24" i="1"/>
  <c r="L25" i="2" s="1"/>
  <c r="P25" i="1"/>
  <c r="L26" i="2" s="1"/>
  <c r="P26" i="1"/>
  <c r="L27" i="2" s="1"/>
  <c r="P28" i="1"/>
  <c r="L29" i="2" s="1"/>
  <c r="P29" i="1"/>
  <c r="L30" i="2" s="1"/>
  <c r="P30" i="1"/>
  <c r="L31" i="2" s="1"/>
  <c r="P32" i="1"/>
  <c r="L33" i="2" s="1"/>
  <c r="P33" i="1"/>
  <c r="L34" i="2" s="1"/>
  <c r="P34" i="1"/>
  <c r="L35" i="2" s="1"/>
  <c r="P35" i="1"/>
  <c r="L36" i="2" s="1"/>
  <c r="P37" i="1"/>
  <c r="L38" i="2" s="1"/>
  <c r="P40" i="1"/>
  <c r="L41" i="2" s="1"/>
  <c r="P41" i="1"/>
  <c r="L42" i="2" s="1"/>
  <c r="P42" i="1"/>
  <c r="L43" i="2" s="1"/>
  <c r="P43" i="1"/>
  <c r="L44" i="2" s="1"/>
  <c r="P44" i="1"/>
  <c r="L45" i="2" s="1"/>
  <c r="P45" i="1"/>
  <c r="L46" i="2" s="1"/>
  <c r="P46" i="1"/>
  <c r="L47" i="2" s="1"/>
  <c r="P47" i="1"/>
  <c r="L48" i="2" s="1"/>
  <c r="P49" i="1"/>
  <c r="L50" i="2" s="1"/>
  <c r="P50" i="1"/>
  <c r="L51" i="2" s="1"/>
  <c r="P51" i="1"/>
  <c r="L52" i="2" s="1"/>
  <c r="P52" i="1"/>
  <c r="L53" i="2" s="1"/>
  <c r="P54" i="1"/>
  <c r="L55" i="2" s="1"/>
  <c r="P55" i="1"/>
  <c r="L56" i="2" s="1"/>
  <c r="P57" i="1"/>
  <c r="L58" i="2" s="1"/>
  <c r="P58" i="1"/>
  <c r="L59" i="2" s="1"/>
  <c r="P59" i="1"/>
  <c r="L60" i="2" s="1"/>
  <c r="P61" i="1"/>
  <c r="L62" i="2" s="1"/>
  <c r="L9" i="1"/>
  <c r="E9" i="1"/>
  <c r="CN68" i="1"/>
  <c r="CU68" i="1" s="1"/>
  <c r="CX68" i="1" s="1"/>
  <c r="CN66" i="1"/>
  <c r="DE64" i="1"/>
  <c r="DE63" i="1"/>
  <c r="CY63" i="1"/>
  <c r="CT63" i="1"/>
  <c r="P63" i="1" s="1"/>
  <c r="L64" i="2" s="1"/>
  <c r="CI63" i="1"/>
  <c r="CN63" i="1" s="1"/>
  <c r="DE62" i="1"/>
  <c r="CY62" i="1"/>
  <c r="CT62" i="1"/>
  <c r="P62" i="1" s="1"/>
  <c r="L63" i="2" s="1"/>
  <c r="CI62" i="1"/>
  <c r="CN62" i="1" s="1"/>
  <c r="DE61" i="1"/>
  <c r="CY61" i="1"/>
  <c r="CH61" i="1"/>
  <c r="CI61" i="1" s="1"/>
  <c r="CN61" i="1" s="1"/>
  <c r="DE60" i="1"/>
  <c r="CY60" i="1"/>
  <c r="CT60" i="1"/>
  <c r="CI60" i="1"/>
  <c r="CN60" i="1" s="1"/>
  <c r="DE59" i="1"/>
  <c r="CY59" i="1"/>
  <c r="CI59" i="1"/>
  <c r="CN59" i="1" s="1"/>
  <c r="CU59" i="1" s="1"/>
  <c r="DE58" i="1"/>
  <c r="CY58" i="1"/>
  <c r="CI58" i="1"/>
  <c r="CN58" i="1" s="1"/>
  <c r="CU58" i="1" s="1"/>
  <c r="DE57" i="1"/>
  <c r="CY57" i="1"/>
  <c r="CI57" i="1"/>
  <c r="CN57" i="1" s="1"/>
  <c r="CU57" i="1" s="1"/>
  <c r="DE56" i="1"/>
  <c r="CY56" i="1"/>
  <c r="CT56" i="1"/>
  <c r="P56" i="1" s="1"/>
  <c r="L57" i="2" s="1"/>
  <c r="CI56" i="1"/>
  <c r="CN56" i="1" s="1"/>
  <c r="DE55" i="1"/>
  <c r="CY55" i="1"/>
  <c r="CI55" i="1"/>
  <c r="CN55" i="1" s="1"/>
  <c r="DE54" i="1"/>
  <c r="CY54" i="1"/>
  <c r="CI54" i="1"/>
  <c r="CN54" i="1" s="1"/>
  <c r="DE53" i="1"/>
  <c r="CY53" i="1"/>
  <c r="CT53" i="1"/>
  <c r="P53" i="1" s="1"/>
  <c r="L54" i="2" s="1"/>
  <c r="CI53" i="1"/>
  <c r="CN53" i="1" s="1"/>
  <c r="DE52" i="1"/>
  <c r="CY52" i="1"/>
  <c r="CI52" i="1"/>
  <c r="CN52" i="1" s="1"/>
  <c r="CU52" i="1" s="1"/>
  <c r="DE51" i="1"/>
  <c r="CY51" i="1"/>
  <c r="CH51" i="1"/>
  <c r="CI51" i="1" s="1"/>
  <c r="CN51" i="1" s="1"/>
  <c r="DE50" i="1"/>
  <c r="CY50" i="1"/>
  <c r="CI50" i="1"/>
  <c r="CN50" i="1" s="1"/>
  <c r="DE49" i="1"/>
  <c r="CY49" i="1"/>
  <c r="CI49" i="1"/>
  <c r="CN49" i="1" s="1"/>
  <c r="DE47" i="1"/>
  <c r="CY47" i="1"/>
  <c r="CI47" i="1"/>
  <c r="CN47" i="1" s="1"/>
  <c r="DE48" i="1"/>
  <c r="CY48" i="1"/>
  <c r="CT48" i="1"/>
  <c r="P48" i="1" s="1"/>
  <c r="L49" i="2" s="1"/>
  <c r="CI48" i="1"/>
  <c r="CN48" i="1" s="1"/>
  <c r="DE46" i="1"/>
  <c r="CY46" i="1"/>
  <c r="CI46" i="1"/>
  <c r="CN46" i="1" s="1"/>
  <c r="CU46" i="1" s="1"/>
  <c r="DE45" i="1"/>
  <c r="CY45" i="1"/>
  <c r="CH45" i="1"/>
  <c r="CI45" i="1" s="1"/>
  <c r="CN45" i="1" s="1"/>
  <c r="DE44" i="1"/>
  <c r="CY44" i="1"/>
  <c r="CI44" i="1"/>
  <c r="CN44" i="1" s="1"/>
  <c r="DE43" i="1"/>
  <c r="CY43" i="1"/>
  <c r="CI43" i="1"/>
  <c r="CN43" i="1" s="1"/>
  <c r="DE42" i="1"/>
  <c r="CY42" i="1"/>
  <c r="CH42" i="1"/>
  <c r="CI42" i="1" s="1"/>
  <c r="CN42" i="1" s="1"/>
  <c r="DE41" i="1"/>
  <c r="CY41" i="1"/>
  <c r="CI41" i="1"/>
  <c r="CN41" i="1" s="1"/>
  <c r="CU41" i="1" s="1"/>
  <c r="DE40" i="1"/>
  <c r="CY40" i="1"/>
  <c r="CH40" i="1"/>
  <c r="CI40" i="1" s="1"/>
  <c r="CN40" i="1" s="1"/>
  <c r="DE39" i="1"/>
  <c r="CY39" i="1"/>
  <c r="CT39" i="1"/>
  <c r="P39" i="1" s="1"/>
  <c r="L40" i="2" s="1"/>
  <c r="CI39" i="1"/>
  <c r="CN39" i="1" s="1"/>
  <c r="DE38" i="1"/>
  <c r="CY38" i="1"/>
  <c r="CT38" i="1"/>
  <c r="P38" i="1" s="1"/>
  <c r="L39" i="2" s="1"/>
  <c r="CI38" i="1"/>
  <c r="CN38" i="1" s="1"/>
  <c r="DE37" i="1"/>
  <c r="CY37" i="1"/>
  <c r="CI37" i="1"/>
  <c r="CN37" i="1" s="1"/>
  <c r="DE36" i="1"/>
  <c r="CY36" i="1"/>
  <c r="CT36" i="1"/>
  <c r="P36" i="1" s="1"/>
  <c r="L37" i="2" s="1"/>
  <c r="CI36" i="1"/>
  <c r="CN36" i="1" s="1"/>
  <c r="DE35" i="1"/>
  <c r="CY35" i="1"/>
  <c r="CI35" i="1"/>
  <c r="CN35" i="1" s="1"/>
  <c r="CU35" i="1" s="1"/>
  <c r="DE32" i="1"/>
  <c r="CY32" i="1"/>
  <c r="CI32" i="1"/>
  <c r="CN32" i="1" s="1"/>
  <c r="CU32" i="1" s="1"/>
  <c r="DE34" i="1"/>
  <c r="CY34" i="1"/>
  <c r="CH34" i="1"/>
  <c r="CI34" i="1" s="1"/>
  <c r="CN34" i="1" s="1"/>
  <c r="DE33" i="1"/>
  <c r="CY33" i="1"/>
  <c r="CI33" i="1"/>
  <c r="CN33" i="1" s="1"/>
  <c r="DE31" i="1"/>
  <c r="CY31" i="1"/>
  <c r="CT31" i="1"/>
  <c r="P31" i="1" s="1"/>
  <c r="L32" i="2" s="1"/>
  <c r="CI31" i="1"/>
  <c r="CN31" i="1" s="1"/>
  <c r="DE30" i="1"/>
  <c r="CY30" i="1"/>
  <c r="CI30" i="1"/>
  <c r="CN30" i="1" s="1"/>
  <c r="CU30" i="1" s="1"/>
  <c r="DE29" i="1"/>
  <c r="CY29" i="1"/>
  <c r="CI29" i="1"/>
  <c r="CN29" i="1" s="1"/>
  <c r="CU29" i="1" s="1"/>
  <c r="DE28" i="1"/>
  <c r="CY28" i="1"/>
  <c r="CI28" i="1"/>
  <c r="CN28" i="1" s="1"/>
  <c r="CU28" i="1" s="1"/>
  <c r="DE27" i="1"/>
  <c r="CY27" i="1"/>
  <c r="CT27" i="1"/>
  <c r="P27" i="1" s="1"/>
  <c r="L28" i="2" s="1"/>
  <c r="CI27" i="1"/>
  <c r="CN27" i="1" s="1"/>
  <c r="DE26" i="1"/>
  <c r="CY26" i="1"/>
  <c r="CI26" i="1"/>
  <c r="CN26" i="1" s="1"/>
  <c r="DE25" i="1"/>
  <c r="CY25" i="1"/>
  <c r="CI25" i="1"/>
  <c r="CN25" i="1" s="1"/>
  <c r="DE24" i="1"/>
  <c r="CY24" i="1"/>
  <c r="CI24" i="1"/>
  <c r="CN24" i="1" s="1"/>
  <c r="DE23" i="1"/>
  <c r="CY23" i="1"/>
  <c r="CI23" i="1"/>
  <c r="CN23" i="1" s="1"/>
  <c r="DE22" i="1"/>
  <c r="CY22" i="1"/>
  <c r="CT22" i="1"/>
  <c r="P22" i="1" s="1"/>
  <c r="L23" i="2" s="1"/>
  <c r="CI22" i="1"/>
  <c r="CN22" i="1" s="1"/>
  <c r="DE21" i="1"/>
  <c r="CY21" i="1"/>
  <c r="CI21" i="1"/>
  <c r="CN21" i="1" s="1"/>
  <c r="CU21" i="1" s="1"/>
  <c r="DE20" i="1"/>
  <c r="CY20" i="1"/>
  <c r="CI20" i="1"/>
  <c r="CN20" i="1" s="1"/>
  <c r="CU20" i="1" s="1"/>
  <c r="DE19" i="1"/>
  <c r="CY19" i="1"/>
  <c r="CT19" i="1"/>
  <c r="P19" i="1" s="1"/>
  <c r="L20" i="2" s="1"/>
  <c r="CI19" i="1"/>
  <c r="CN19" i="1" s="1"/>
  <c r="DE18" i="1"/>
  <c r="CY18" i="1"/>
  <c r="CI18" i="1"/>
  <c r="CN18" i="1" s="1"/>
  <c r="DE17" i="1"/>
  <c r="CY17" i="1"/>
  <c r="CH17" i="1"/>
  <c r="CI17" i="1" s="1"/>
  <c r="CN17" i="1" s="1"/>
  <c r="DE16" i="1"/>
  <c r="CY16" i="1"/>
  <c r="CT16" i="1"/>
  <c r="P16" i="1" s="1"/>
  <c r="L17" i="2" s="1"/>
  <c r="CH16" i="1"/>
  <c r="CI16" i="1" s="1"/>
  <c r="CN16" i="1" s="1"/>
  <c r="DE15" i="1"/>
  <c r="CY15" i="1"/>
  <c r="CI15" i="1"/>
  <c r="CN15" i="1" s="1"/>
  <c r="CU15" i="1" s="1"/>
  <c r="DE14" i="1"/>
  <c r="CY14" i="1"/>
  <c r="CI14" i="1"/>
  <c r="CN14" i="1" s="1"/>
  <c r="CU14" i="1" s="1"/>
  <c r="DE13" i="1"/>
  <c r="CY13" i="1"/>
  <c r="CH13" i="1"/>
  <c r="CI13" i="1" s="1"/>
  <c r="CN13" i="1" s="1"/>
  <c r="DE12" i="1"/>
  <c r="CY12" i="1"/>
  <c r="CI12" i="1"/>
  <c r="CN12" i="1" s="1"/>
  <c r="DE11" i="1"/>
  <c r="CY11" i="1"/>
  <c r="CI11" i="1"/>
  <c r="CN11" i="1" s="1"/>
  <c r="DE10" i="1"/>
  <c r="CY10" i="1"/>
  <c r="CI10" i="1"/>
  <c r="CN10" i="1" s="1"/>
  <c r="DE9" i="1"/>
  <c r="CY9" i="1"/>
  <c r="CT9" i="1"/>
  <c r="CI9" i="1"/>
  <c r="CN9" i="1" s="1"/>
  <c r="F65" i="1" l="1"/>
  <c r="N65" i="1"/>
  <c r="G65" i="1"/>
  <c r="L65" i="1"/>
  <c r="P60" i="1"/>
  <c r="L61" i="2" s="1"/>
  <c r="N61" i="2" s="1"/>
  <c r="S63" i="1"/>
  <c r="E65" i="1"/>
  <c r="S9" i="1"/>
  <c r="M65" i="1"/>
  <c r="N31" i="2"/>
  <c r="N29" i="2"/>
  <c r="N21" i="2"/>
  <c r="N15" i="2"/>
  <c r="N62" i="2"/>
  <c r="N59" i="2"/>
  <c r="N53" i="2"/>
  <c r="N51" i="2"/>
  <c r="N35" i="2"/>
  <c r="N33" i="2"/>
  <c r="CT64" i="1"/>
  <c r="N55" i="2"/>
  <c r="N47" i="2"/>
  <c r="N45" i="2"/>
  <c r="N41" i="2"/>
  <c r="N27" i="2"/>
  <c r="N25" i="2"/>
  <c r="N19" i="2"/>
  <c r="N11" i="2"/>
  <c r="G13" i="2"/>
  <c r="P9" i="1"/>
  <c r="N64" i="2"/>
  <c r="N58" i="2"/>
  <c r="N57" i="2"/>
  <c r="N52" i="2"/>
  <c r="N50" i="2"/>
  <c r="N49" i="2"/>
  <c r="N46" i="2"/>
  <c r="N44" i="2"/>
  <c r="N42" i="2"/>
  <c r="N40" i="2"/>
  <c r="N39" i="2"/>
  <c r="N38" i="2"/>
  <c r="N37" i="2"/>
  <c r="N36" i="2"/>
  <c r="N34" i="2"/>
  <c r="N32" i="2"/>
  <c r="N30" i="2"/>
  <c r="N28" i="2"/>
  <c r="N26" i="2"/>
  <c r="N24" i="2"/>
  <c r="N23" i="2"/>
  <c r="N22" i="2"/>
  <c r="N20" i="2"/>
  <c r="N18" i="2"/>
  <c r="N17" i="2"/>
  <c r="N16" i="2"/>
  <c r="N14" i="2"/>
  <c r="N12" i="2"/>
  <c r="CI64" i="1"/>
  <c r="DM9" i="1"/>
  <c r="C10" i="2"/>
  <c r="DN9" i="1"/>
  <c r="H10" i="2"/>
  <c r="DM63" i="1"/>
  <c r="DN63" i="1"/>
  <c r="C64" i="2"/>
  <c r="DM62" i="1"/>
  <c r="DN62" i="1"/>
  <c r="C63" i="2"/>
  <c r="S62" i="1"/>
  <c r="S61" i="1"/>
  <c r="DM61" i="1"/>
  <c r="DN61" i="1"/>
  <c r="C62" i="2"/>
  <c r="DM59" i="1"/>
  <c r="DN59" i="1"/>
  <c r="C60" i="2"/>
  <c r="S59" i="1"/>
  <c r="S58" i="1"/>
  <c r="DM58" i="1"/>
  <c r="DN58" i="1"/>
  <c r="C59" i="2"/>
  <c r="DM57" i="1"/>
  <c r="DN57" i="1"/>
  <c r="C58" i="2"/>
  <c r="S57" i="1"/>
  <c r="S56" i="1"/>
  <c r="DM56" i="1"/>
  <c r="DN56" i="1"/>
  <c r="C57" i="2"/>
  <c r="DM55" i="1"/>
  <c r="DN55" i="1"/>
  <c r="C56" i="2"/>
  <c r="S55" i="1"/>
  <c r="S54" i="1"/>
  <c r="DM54" i="1"/>
  <c r="DN54" i="1"/>
  <c r="C55" i="2"/>
  <c r="DM53" i="1"/>
  <c r="DN53" i="1"/>
  <c r="C54" i="2"/>
  <c r="S53" i="1"/>
  <c r="S52" i="1"/>
  <c r="DM52" i="1"/>
  <c r="DN52" i="1"/>
  <c r="C53" i="2"/>
  <c r="DM51" i="1"/>
  <c r="DN51" i="1"/>
  <c r="C52" i="2"/>
  <c r="S51" i="1"/>
  <c r="S50" i="1"/>
  <c r="DM50" i="1"/>
  <c r="DN50" i="1"/>
  <c r="C51" i="2"/>
  <c r="DM49" i="1"/>
  <c r="DN49" i="1"/>
  <c r="C50" i="2"/>
  <c r="S49" i="1"/>
  <c r="S48" i="1"/>
  <c r="DM48" i="1"/>
  <c r="DN48" i="1"/>
  <c r="C49" i="2"/>
  <c r="DM47" i="1"/>
  <c r="DN47" i="1"/>
  <c r="C48" i="2"/>
  <c r="S47" i="1"/>
  <c r="S46" i="1"/>
  <c r="DM46" i="1"/>
  <c r="DN46" i="1"/>
  <c r="C47" i="2"/>
  <c r="DM45" i="1"/>
  <c r="DN45" i="1"/>
  <c r="C46" i="2"/>
  <c r="S45" i="1"/>
  <c r="S44" i="1"/>
  <c r="DM44" i="1"/>
  <c r="DN44" i="1"/>
  <c r="C45" i="2"/>
  <c r="DM43" i="1"/>
  <c r="DN43" i="1"/>
  <c r="C44" i="2"/>
  <c r="S43" i="1"/>
  <c r="S42" i="1"/>
  <c r="DM42" i="1"/>
  <c r="DN42" i="1"/>
  <c r="C43" i="2"/>
  <c r="DM41" i="1"/>
  <c r="DN41" i="1"/>
  <c r="C42" i="2"/>
  <c r="S41" i="1"/>
  <c r="S40" i="1"/>
  <c r="DM40" i="1"/>
  <c r="DN40" i="1"/>
  <c r="C41" i="2"/>
  <c r="DM39" i="1"/>
  <c r="DN39" i="1"/>
  <c r="C40" i="2"/>
  <c r="S39" i="1"/>
  <c r="S37" i="1"/>
  <c r="DM37" i="1"/>
  <c r="DN37" i="1"/>
  <c r="C38" i="2"/>
  <c r="DM36" i="1"/>
  <c r="DN36" i="1"/>
  <c r="C37" i="2"/>
  <c r="S36" i="1"/>
  <c r="S35" i="1"/>
  <c r="DM35" i="1"/>
  <c r="DN35" i="1"/>
  <c r="C36" i="2"/>
  <c r="DM34" i="1"/>
  <c r="DN34" i="1"/>
  <c r="C35" i="2"/>
  <c r="S34" i="1"/>
  <c r="S33" i="1"/>
  <c r="DM33" i="1"/>
  <c r="DN33" i="1"/>
  <c r="C34" i="2"/>
  <c r="DM32" i="1"/>
  <c r="DN32" i="1"/>
  <c r="C33" i="2"/>
  <c r="S32" i="1"/>
  <c r="S31" i="1"/>
  <c r="DM31" i="1"/>
  <c r="DN31" i="1"/>
  <c r="C32" i="2"/>
  <c r="DM30" i="1"/>
  <c r="DN30" i="1"/>
  <c r="C31" i="2"/>
  <c r="S30" i="1"/>
  <c r="S29" i="1"/>
  <c r="DM29" i="1"/>
  <c r="DN29" i="1"/>
  <c r="C30" i="2"/>
  <c r="DM28" i="1"/>
  <c r="DN28" i="1"/>
  <c r="C29" i="2"/>
  <c r="S28" i="1"/>
  <c r="S27" i="1"/>
  <c r="DM27" i="1"/>
  <c r="DN27" i="1"/>
  <c r="C28" i="2"/>
  <c r="DM26" i="1"/>
  <c r="DN26" i="1"/>
  <c r="C27" i="2"/>
  <c r="S26" i="1"/>
  <c r="S25" i="1"/>
  <c r="DM25" i="1"/>
  <c r="DN25" i="1"/>
  <c r="C26" i="2"/>
  <c r="DM24" i="1"/>
  <c r="DN24" i="1"/>
  <c r="C25" i="2"/>
  <c r="S24" i="1"/>
  <c r="S23" i="1"/>
  <c r="DM23" i="1"/>
  <c r="DN23" i="1"/>
  <c r="C24" i="2"/>
  <c r="DM22" i="1"/>
  <c r="DN22" i="1"/>
  <c r="C23" i="2"/>
  <c r="S22" i="1"/>
  <c r="S21" i="1"/>
  <c r="DM21" i="1"/>
  <c r="DN21" i="1"/>
  <c r="C22" i="2"/>
  <c r="DM20" i="1"/>
  <c r="DN20" i="1"/>
  <c r="C21" i="2"/>
  <c r="S20" i="1"/>
  <c r="S19" i="1"/>
  <c r="DM19" i="1"/>
  <c r="DN19" i="1"/>
  <c r="C20" i="2"/>
  <c r="DM18" i="1"/>
  <c r="DN18" i="1"/>
  <c r="C19" i="2"/>
  <c r="S18" i="1"/>
  <c r="S17" i="1"/>
  <c r="DM17" i="1"/>
  <c r="DN17" i="1"/>
  <c r="C18" i="2"/>
  <c r="DM16" i="1"/>
  <c r="DN16" i="1"/>
  <c r="C17" i="2"/>
  <c r="S16" i="1"/>
  <c r="S15" i="1"/>
  <c r="DM15" i="1"/>
  <c r="DN15" i="1"/>
  <c r="C16" i="2"/>
  <c r="DM14" i="1"/>
  <c r="DN14" i="1"/>
  <c r="C15" i="2"/>
  <c r="S14" i="1"/>
  <c r="S13" i="1"/>
  <c r="DM13" i="1"/>
  <c r="DN13" i="1"/>
  <c r="C14" i="2"/>
  <c r="DM12" i="1"/>
  <c r="DN12" i="1"/>
  <c r="C13" i="2"/>
  <c r="S12" i="1"/>
  <c r="S11" i="1"/>
  <c r="DM11" i="1"/>
  <c r="DN11" i="1"/>
  <c r="C12" i="2"/>
  <c r="DM10" i="1"/>
  <c r="DN10" i="1"/>
  <c r="C11" i="2"/>
  <c r="S10" i="1"/>
  <c r="I10" i="2"/>
  <c r="I68" i="2" s="1"/>
  <c r="J10" i="2"/>
  <c r="J68" i="2" s="1"/>
  <c r="F43" i="2"/>
  <c r="N63" i="2"/>
  <c r="N56" i="2"/>
  <c r="N54" i="2"/>
  <c r="N48" i="2"/>
  <c r="S38" i="1"/>
  <c r="S60" i="1"/>
  <c r="K60" i="2"/>
  <c r="DN38" i="1"/>
  <c r="C39" i="2"/>
  <c r="DM38" i="1"/>
  <c r="DN60" i="1"/>
  <c r="C61" i="2"/>
  <c r="DM60" i="1"/>
  <c r="CN64" i="1"/>
  <c r="CY64" i="1"/>
  <c r="CU9" i="1"/>
  <c r="CX11" i="1"/>
  <c r="CZ11" i="1" s="1"/>
  <c r="CV11" i="1"/>
  <c r="CU11" i="1"/>
  <c r="CU13" i="1"/>
  <c r="CX13" i="1"/>
  <c r="CZ13" i="1" s="1"/>
  <c r="CV13" i="1"/>
  <c r="CU16" i="1"/>
  <c r="CX16" i="1"/>
  <c r="CZ16" i="1" s="1"/>
  <c r="CV16" i="1"/>
  <c r="CX18" i="1"/>
  <c r="CZ18" i="1" s="1"/>
  <c r="CV18" i="1"/>
  <c r="CU18" i="1"/>
  <c r="CX23" i="1"/>
  <c r="CZ23" i="1" s="1"/>
  <c r="CV23" i="1"/>
  <c r="CU23" i="1"/>
  <c r="CX25" i="1"/>
  <c r="CZ25" i="1" s="1"/>
  <c r="CV25" i="1"/>
  <c r="CU25" i="1"/>
  <c r="CU27" i="1"/>
  <c r="CX27" i="1"/>
  <c r="CZ27" i="1" s="1"/>
  <c r="CV27" i="1"/>
  <c r="CU34" i="1"/>
  <c r="CX34" i="1"/>
  <c r="CZ34" i="1" s="1"/>
  <c r="CV34" i="1"/>
  <c r="CX37" i="1"/>
  <c r="CZ37" i="1" s="1"/>
  <c r="CV37" i="1"/>
  <c r="CU37" i="1"/>
  <c r="CU40" i="1"/>
  <c r="CX40" i="1"/>
  <c r="CZ40" i="1" s="1"/>
  <c r="CV40" i="1"/>
  <c r="CX42" i="1"/>
  <c r="CZ42" i="1" s="1"/>
  <c r="CV42" i="1"/>
  <c r="CU42" i="1"/>
  <c r="CX44" i="1"/>
  <c r="CZ44" i="1" s="1"/>
  <c r="CV44" i="1"/>
  <c r="CU44" i="1"/>
  <c r="CX49" i="1"/>
  <c r="CZ49" i="1" s="1"/>
  <c r="CV49" i="1"/>
  <c r="CU49" i="1"/>
  <c r="CU51" i="1"/>
  <c r="CX51" i="1"/>
  <c r="CZ51" i="1" s="1"/>
  <c r="CV51" i="1"/>
  <c r="CX54" i="1"/>
  <c r="CZ54" i="1" s="1"/>
  <c r="CV54" i="1"/>
  <c r="CU54" i="1"/>
  <c r="CU56" i="1"/>
  <c r="CX56" i="1"/>
  <c r="CZ56" i="1" s="1"/>
  <c r="CV56" i="1"/>
  <c r="CX10" i="1"/>
  <c r="CZ10" i="1" s="1"/>
  <c r="CV10" i="1"/>
  <c r="CU10" i="1"/>
  <c r="CX12" i="1"/>
  <c r="CZ12" i="1" s="1"/>
  <c r="CV12" i="1"/>
  <c r="CU12" i="1"/>
  <c r="CX17" i="1"/>
  <c r="CZ17" i="1" s="1"/>
  <c r="CV17" i="1"/>
  <c r="CU17" i="1"/>
  <c r="CU19" i="1"/>
  <c r="CX19" i="1"/>
  <c r="CZ19" i="1" s="1"/>
  <c r="CV19" i="1"/>
  <c r="CX24" i="1"/>
  <c r="CZ24" i="1" s="1"/>
  <c r="CV24" i="1"/>
  <c r="CU24" i="1"/>
  <c r="CX26" i="1"/>
  <c r="CZ26" i="1" s="1"/>
  <c r="CV26" i="1"/>
  <c r="CU26" i="1"/>
  <c r="CX33" i="1"/>
  <c r="CZ33" i="1" s="1"/>
  <c r="CV33" i="1"/>
  <c r="CU33" i="1"/>
  <c r="CU38" i="1"/>
  <c r="CX38" i="1"/>
  <c r="CZ38" i="1" s="1"/>
  <c r="CV38" i="1"/>
  <c r="CX43" i="1"/>
  <c r="CZ43" i="1" s="1"/>
  <c r="CV43" i="1"/>
  <c r="CU43" i="1"/>
  <c r="CU45" i="1"/>
  <c r="CX45" i="1"/>
  <c r="CZ45" i="1" s="1"/>
  <c r="CV45" i="1"/>
  <c r="CX47" i="1"/>
  <c r="CZ47" i="1" s="1"/>
  <c r="CV47" i="1"/>
  <c r="CU47" i="1"/>
  <c r="CX50" i="1"/>
  <c r="CZ50" i="1" s="1"/>
  <c r="CV50" i="1"/>
  <c r="CU50" i="1"/>
  <c r="CX55" i="1"/>
  <c r="CZ55" i="1" s="1"/>
  <c r="CV55" i="1"/>
  <c r="CU55" i="1"/>
  <c r="CU61" i="1"/>
  <c r="CX61" i="1"/>
  <c r="CZ61" i="1" s="1"/>
  <c r="CV61" i="1"/>
  <c r="CU63" i="1"/>
  <c r="CX63" i="1"/>
  <c r="CZ63" i="1" s="1"/>
  <c r="CV63" i="1"/>
  <c r="CV14" i="1"/>
  <c r="CW14" i="1" s="1"/>
  <c r="DB14" i="1" s="1"/>
  <c r="CX14" i="1"/>
  <c r="CZ14" i="1" s="1"/>
  <c r="CV15" i="1"/>
  <c r="CW15" i="1" s="1"/>
  <c r="DB15" i="1" s="1"/>
  <c r="CV20" i="1"/>
  <c r="CW20" i="1" s="1"/>
  <c r="DB20" i="1" s="1"/>
  <c r="CX20" i="1"/>
  <c r="CZ20" i="1" s="1"/>
  <c r="CV21" i="1"/>
  <c r="CW21" i="1" s="1"/>
  <c r="DB21" i="1" s="1"/>
  <c r="CX21" i="1"/>
  <c r="CZ21" i="1" s="1"/>
  <c r="CU22" i="1"/>
  <c r="CV28" i="1"/>
  <c r="CW28" i="1" s="1"/>
  <c r="DB28" i="1" s="1"/>
  <c r="CX28" i="1"/>
  <c r="CZ28" i="1" s="1"/>
  <c r="CV29" i="1"/>
  <c r="CW29" i="1" s="1"/>
  <c r="DB29" i="1" s="1"/>
  <c r="CX29" i="1"/>
  <c r="CZ29" i="1" s="1"/>
  <c r="CV30" i="1"/>
  <c r="CW30" i="1" s="1"/>
  <c r="DB30" i="1" s="1"/>
  <c r="CX30" i="1"/>
  <c r="CZ30" i="1" s="1"/>
  <c r="CU31" i="1"/>
  <c r="CV32" i="1"/>
  <c r="CW32" i="1" s="1"/>
  <c r="DB32" i="1" s="1"/>
  <c r="CX32" i="1"/>
  <c r="CZ32" i="1" s="1"/>
  <c r="CV35" i="1"/>
  <c r="CW35" i="1" s="1"/>
  <c r="DB35" i="1" s="1"/>
  <c r="CX35" i="1"/>
  <c r="CZ35" i="1" s="1"/>
  <c r="CU36" i="1"/>
  <c r="CU39" i="1"/>
  <c r="CV41" i="1"/>
  <c r="CW41" i="1" s="1"/>
  <c r="DB41" i="1" s="1"/>
  <c r="CX41" i="1"/>
  <c r="CZ41" i="1" s="1"/>
  <c r="CV46" i="1"/>
  <c r="CW46" i="1" s="1"/>
  <c r="DB46" i="1" s="1"/>
  <c r="CX46" i="1"/>
  <c r="CZ46" i="1" s="1"/>
  <c r="CU48" i="1"/>
  <c r="CV52" i="1"/>
  <c r="CW52" i="1" s="1"/>
  <c r="DB52" i="1" s="1"/>
  <c r="CX52" i="1"/>
  <c r="CZ52" i="1" s="1"/>
  <c r="CU53" i="1"/>
  <c r="CV57" i="1"/>
  <c r="CW57" i="1" s="1"/>
  <c r="DB57" i="1" s="1"/>
  <c r="CX57" i="1"/>
  <c r="CZ57" i="1" s="1"/>
  <c r="CV58" i="1"/>
  <c r="CW58" i="1" s="1"/>
  <c r="DB58" i="1" s="1"/>
  <c r="CX58" i="1"/>
  <c r="CZ58" i="1" s="1"/>
  <c r="CV59" i="1"/>
  <c r="CW59" i="1" s="1"/>
  <c r="DB59" i="1" s="1"/>
  <c r="CX59" i="1"/>
  <c r="CZ59" i="1" s="1"/>
  <c r="CU60" i="1"/>
  <c r="CU62" i="1"/>
  <c r="CV66" i="1"/>
  <c r="CX66" i="1"/>
  <c r="CZ66" i="1" s="1"/>
  <c r="CW68" i="1"/>
  <c r="CZ68" i="1"/>
  <c r="CX15" i="1"/>
  <c r="CZ15" i="1" s="1"/>
  <c r="CV9" i="1"/>
  <c r="CX9" i="1"/>
  <c r="CV22" i="1"/>
  <c r="CX22" i="1"/>
  <c r="CZ22" i="1" s="1"/>
  <c r="CV31" i="1"/>
  <c r="CX31" i="1"/>
  <c r="CZ31" i="1" s="1"/>
  <c r="CV36" i="1"/>
  <c r="CX36" i="1"/>
  <c r="CZ36" i="1" s="1"/>
  <c r="CV39" i="1"/>
  <c r="CX39" i="1"/>
  <c r="CZ39" i="1" s="1"/>
  <c r="CV48" i="1"/>
  <c r="CX48" i="1"/>
  <c r="CZ48" i="1" s="1"/>
  <c r="CV53" i="1"/>
  <c r="CX53" i="1"/>
  <c r="CZ53" i="1" s="1"/>
  <c r="CV60" i="1"/>
  <c r="CX60" i="1"/>
  <c r="CZ60" i="1" s="1"/>
  <c r="CV62" i="1"/>
  <c r="CX62" i="1"/>
  <c r="CZ62" i="1" s="1"/>
  <c r="CU66" i="1"/>
  <c r="CV68" i="1"/>
  <c r="U36" i="1"/>
  <c r="S68" i="1" l="1"/>
  <c r="V36" i="1"/>
  <c r="W36" i="1" s="1"/>
  <c r="X36" i="1" s="1"/>
  <c r="L10" i="2"/>
  <c r="L68" i="2" s="1"/>
  <c r="P65" i="1"/>
  <c r="C68" i="2"/>
  <c r="S65" i="1"/>
  <c r="V9" i="1"/>
  <c r="DP10" i="1"/>
  <c r="Q10" i="1" s="1"/>
  <c r="R10" i="1" s="1"/>
  <c r="DO10" i="1"/>
  <c r="DP11" i="1"/>
  <c r="Q11" i="1" s="1"/>
  <c r="R11" i="1" s="1"/>
  <c r="DO11" i="1"/>
  <c r="DP12" i="1"/>
  <c r="Q12" i="1" s="1"/>
  <c r="R12" i="1" s="1"/>
  <c r="DO12" i="1"/>
  <c r="DP13" i="1"/>
  <c r="Q13" i="1" s="1"/>
  <c r="R13" i="1" s="1"/>
  <c r="DO13" i="1"/>
  <c r="DP14" i="1"/>
  <c r="Q14" i="1" s="1"/>
  <c r="R14" i="1" s="1"/>
  <c r="DO14" i="1"/>
  <c r="DP15" i="1"/>
  <c r="Q15" i="1" s="1"/>
  <c r="R15" i="1" s="1"/>
  <c r="DO15" i="1"/>
  <c r="DP16" i="1"/>
  <c r="Q16" i="1" s="1"/>
  <c r="R16" i="1" s="1"/>
  <c r="DO16" i="1"/>
  <c r="DP17" i="1"/>
  <c r="Q17" i="1" s="1"/>
  <c r="R17" i="1" s="1"/>
  <c r="DO17" i="1"/>
  <c r="DP18" i="1"/>
  <c r="Q18" i="1" s="1"/>
  <c r="R18" i="1" s="1"/>
  <c r="DO18" i="1"/>
  <c r="DP19" i="1"/>
  <c r="Q19" i="1" s="1"/>
  <c r="R19" i="1" s="1"/>
  <c r="DO19" i="1"/>
  <c r="DP20" i="1"/>
  <c r="Q20" i="1" s="1"/>
  <c r="R20" i="1" s="1"/>
  <c r="DO20" i="1"/>
  <c r="DP21" i="1"/>
  <c r="Q21" i="1" s="1"/>
  <c r="R21" i="1" s="1"/>
  <c r="DO21" i="1"/>
  <c r="DP22" i="1"/>
  <c r="Q22" i="1" s="1"/>
  <c r="R22" i="1" s="1"/>
  <c r="DO22" i="1"/>
  <c r="DP23" i="1"/>
  <c r="Q23" i="1" s="1"/>
  <c r="R23" i="1" s="1"/>
  <c r="DO23" i="1"/>
  <c r="DP24" i="1"/>
  <c r="Q24" i="1" s="1"/>
  <c r="R24" i="1" s="1"/>
  <c r="DO24" i="1"/>
  <c r="DP25" i="1"/>
  <c r="Q25" i="1" s="1"/>
  <c r="R25" i="1" s="1"/>
  <c r="DO25" i="1"/>
  <c r="DP26" i="1"/>
  <c r="Q26" i="1" s="1"/>
  <c r="R26" i="1" s="1"/>
  <c r="DO26" i="1"/>
  <c r="DP27" i="1"/>
  <c r="Q27" i="1" s="1"/>
  <c r="R27" i="1" s="1"/>
  <c r="DO27" i="1"/>
  <c r="DP28" i="1"/>
  <c r="Q28" i="1" s="1"/>
  <c r="R28" i="1" s="1"/>
  <c r="DO28" i="1"/>
  <c r="DP29" i="1"/>
  <c r="Q29" i="1" s="1"/>
  <c r="R29" i="1" s="1"/>
  <c r="DO29" i="1"/>
  <c r="DP30" i="1"/>
  <c r="Q30" i="1" s="1"/>
  <c r="R30" i="1" s="1"/>
  <c r="DO30" i="1"/>
  <c r="DP31" i="1"/>
  <c r="Q31" i="1" s="1"/>
  <c r="R31" i="1" s="1"/>
  <c r="DO31" i="1"/>
  <c r="DP32" i="1"/>
  <c r="Q32" i="1" s="1"/>
  <c r="R32" i="1" s="1"/>
  <c r="DO32" i="1"/>
  <c r="DP33" i="1"/>
  <c r="Q33" i="1" s="1"/>
  <c r="R33" i="1" s="1"/>
  <c r="DO33" i="1"/>
  <c r="DP34" i="1"/>
  <c r="Q34" i="1" s="1"/>
  <c r="R34" i="1" s="1"/>
  <c r="DO34" i="1"/>
  <c r="DP35" i="1"/>
  <c r="Q35" i="1" s="1"/>
  <c r="R35" i="1" s="1"/>
  <c r="DO35" i="1"/>
  <c r="DP36" i="1"/>
  <c r="Q36" i="1" s="1"/>
  <c r="R36" i="1" s="1"/>
  <c r="DO36" i="1"/>
  <c r="DP37" i="1"/>
  <c r="Q37" i="1" s="1"/>
  <c r="R37" i="1" s="1"/>
  <c r="DO37" i="1"/>
  <c r="DP39" i="1"/>
  <c r="Q39" i="1" s="1"/>
  <c r="R39" i="1" s="1"/>
  <c r="DO39" i="1"/>
  <c r="DP40" i="1"/>
  <c r="Q40" i="1" s="1"/>
  <c r="R40" i="1" s="1"/>
  <c r="DO40" i="1"/>
  <c r="DP41" i="1"/>
  <c r="Q41" i="1" s="1"/>
  <c r="R41" i="1" s="1"/>
  <c r="DO41" i="1"/>
  <c r="DP42" i="1"/>
  <c r="Q42" i="1" s="1"/>
  <c r="R42" i="1" s="1"/>
  <c r="DO42" i="1"/>
  <c r="DP43" i="1"/>
  <c r="Q43" i="1" s="1"/>
  <c r="R43" i="1" s="1"/>
  <c r="DO43" i="1"/>
  <c r="DP44" i="1"/>
  <c r="Q44" i="1" s="1"/>
  <c r="R44" i="1" s="1"/>
  <c r="DO44" i="1"/>
  <c r="DP45" i="1"/>
  <c r="Q45" i="1" s="1"/>
  <c r="R45" i="1" s="1"/>
  <c r="DO45" i="1"/>
  <c r="DP46" i="1"/>
  <c r="Q46" i="1" s="1"/>
  <c r="R46" i="1" s="1"/>
  <c r="DO46" i="1"/>
  <c r="DP47" i="1"/>
  <c r="Q47" i="1" s="1"/>
  <c r="R47" i="1" s="1"/>
  <c r="DO47" i="1"/>
  <c r="DP48" i="1"/>
  <c r="Q48" i="1" s="1"/>
  <c r="R48" i="1" s="1"/>
  <c r="DO48" i="1"/>
  <c r="DP49" i="1"/>
  <c r="Q49" i="1" s="1"/>
  <c r="R49" i="1" s="1"/>
  <c r="DO49" i="1"/>
  <c r="DP50" i="1"/>
  <c r="Q50" i="1" s="1"/>
  <c r="R50" i="1" s="1"/>
  <c r="DO50" i="1"/>
  <c r="DP51" i="1"/>
  <c r="Q51" i="1" s="1"/>
  <c r="R51" i="1" s="1"/>
  <c r="DO51" i="1"/>
  <c r="DP52" i="1"/>
  <c r="Q52" i="1" s="1"/>
  <c r="R52" i="1" s="1"/>
  <c r="DO52" i="1"/>
  <c r="DP53" i="1"/>
  <c r="Q53" i="1" s="1"/>
  <c r="R53" i="1" s="1"/>
  <c r="DO53" i="1"/>
  <c r="DP54" i="1"/>
  <c r="Q54" i="1" s="1"/>
  <c r="R54" i="1" s="1"/>
  <c r="DO54" i="1"/>
  <c r="DP55" i="1"/>
  <c r="Q55" i="1" s="1"/>
  <c r="R55" i="1" s="1"/>
  <c r="DO55" i="1"/>
  <c r="DP56" i="1"/>
  <c r="Q56" i="1" s="1"/>
  <c r="R56" i="1" s="1"/>
  <c r="DO56" i="1"/>
  <c r="DP57" i="1"/>
  <c r="Q57" i="1" s="1"/>
  <c r="R57" i="1" s="1"/>
  <c r="DO57" i="1"/>
  <c r="DP58" i="1"/>
  <c r="Q58" i="1" s="1"/>
  <c r="R58" i="1" s="1"/>
  <c r="DO58" i="1"/>
  <c r="DP59" i="1"/>
  <c r="Q59" i="1" s="1"/>
  <c r="R59" i="1" s="1"/>
  <c r="DO59" i="1"/>
  <c r="DP62" i="1"/>
  <c r="Q62" i="1" s="1"/>
  <c r="R62" i="1" s="1"/>
  <c r="DO62" i="1"/>
  <c r="DO9" i="1"/>
  <c r="DP9" i="1"/>
  <c r="Q9" i="1" s="1"/>
  <c r="G68" i="2"/>
  <c r="N13" i="2"/>
  <c r="N43" i="2"/>
  <c r="F68" i="2"/>
  <c r="DP61" i="1"/>
  <c r="Q61" i="1" s="1"/>
  <c r="R61" i="1" s="1"/>
  <c r="DO61" i="1"/>
  <c r="DP63" i="1"/>
  <c r="Q63" i="1" s="1"/>
  <c r="R63" i="1" s="1"/>
  <c r="DO63" i="1"/>
  <c r="H68" i="2"/>
  <c r="N10" i="2"/>
  <c r="K68" i="2"/>
  <c r="N60" i="2"/>
  <c r="DO60" i="1"/>
  <c r="DP60" i="1"/>
  <c r="Q60" i="1" s="1"/>
  <c r="R60" i="1" s="1"/>
  <c r="DO38" i="1"/>
  <c r="DP38" i="1"/>
  <c r="Q38" i="1" s="1"/>
  <c r="CV64" i="1"/>
  <c r="CU64" i="1"/>
  <c r="CW9" i="1"/>
  <c r="CZ9" i="1"/>
  <c r="CZ64" i="1" s="1"/>
  <c r="CX64" i="1"/>
  <c r="CW44" i="1"/>
  <c r="DB44" i="1" s="1"/>
  <c r="CW37" i="1"/>
  <c r="DB37" i="1" s="1"/>
  <c r="CW23" i="1"/>
  <c r="DB23" i="1" s="1"/>
  <c r="CW11" i="1"/>
  <c r="DB11" i="1" s="1"/>
  <c r="CW33" i="1"/>
  <c r="DB33" i="1" s="1"/>
  <c r="CW24" i="1"/>
  <c r="DB24" i="1" s="1"/>
  <c r="CW66" i="1"/>
  <c r="CW55" i="1"/>
  <c r="DB55" i="1" s="1"/>
  <c r="CW47" i="1"/>
  <c r="DB47" i="1" s="1"/>
  <c r="CW12" i="1"/>
  <c r="DB12" i="1" s="1"/>
  <c r="CW54" i="1"/>
  <c r="DB54" i="1" s="1"/>
  <c r="CW62" i="1"/>
  <c r="DB62" i="1" s="1"/>
  <c r="CW39" i="1"/>
  <c r="DB39" i="1" s="1"/>
  <c r="CW50" i="1"/>
  <c r="DB50" i="1" s="1"/>
  <c r="CW43" i="1"/>
  <c r="DB43" i="1" s="1"/>
  <c r="CW26" i="1"/>
  <c r="DB26" i="1" s="1"/>
  <c r="CW17" i="1"/>
  <c r="DB17" i="1" s="1"/>
  <c r="CW10" i="1"/>
  <c r="DB10" i="1" s="1"/>
  <c r="CW49" i="1"/>
  <c r="DB49" i="1" s="1"/>
  <c r="CW42" i="1"/>
  <c r="DB42" i="1" s="1"/>
  <c r="CW25" i="1"/>
  <c r="DB25" i="1" s="1"/>
  <c r="CW18" i="1"/>
  <c r="DB18" i="1" s="1"/>
  <c r="CW31" i="1"/>
  <c r="DB31" i="1" s="1"/>
  <c r="CW22" i="1"/>
  <c r="DB22" i="1" s="1"/>
  <c r="CZ69" i="1"/>
  <c r="CW60" i="1"/>
  <c r="DB60" i="1" s="1"/>
  <c r="CW53" i="1"/>
  <c r="DB53" i="1" s="1"/>
  <c r="CW48" i="1"/>
  <c r="DB48" i="1" s="1"/>
  <c r="CW36" i="1"/>
  <c r="DB36" i="1" s="1"/>
  <c r="CW63" i="1"/>
  <c r="DB63" i="1" s="1"/>
  <c r="CW61" i="1"/>
  <c r="DB61" i="1" s="1"/>
  <c r="CW45" i="1"/>
  <c r="DB45" i="1" s="1"/>
  <c r="CW38" i="1"/>
  <c r="DB38" i="1" s="1"/>
  <c r="CW19" i="1"/>
  <c r="DB19" i="1" s="1"/>
  <c r="CW56" i="1"/>
  <c r="DB56" i="1" s="1"/>
  <c r="CW51" i="1"/>
  <c r="DB51" i="1" s="1"/>
  <c r="CW40" i="1"/>
  <c r="DB40" i="1" s="1"/>
  <c r="CW34" i="1"/>
  <c r="DB34" i="1" s="1"/>
  <c r="CW27" i="1"/>
  <c r="DB27" i="1" s="1"/>
  <c r="CW16" i="1"/>
  <c r="DB16" i="1" s="1"/>
  <c r="CW13" i="1"/>
  <c r="DB13" i="1" s="1"/>
  <c r="W9" i="1" l="1"/>
  <c r="X9" i="1" s="1"/>
  <c r="R9" i="1"/>
  <c r="Q65" i="1"/>
  <c r="N68" i="2"/>
  <c r="R38" i="1"/>
  <c r="CW64" i="1"/>
  <c r="DB64" i="1" s="1"/>
  <c r="DB9" i="1"/>
  <c r="CZ70" i="1"/>
  <c r="CZ71" i="1" s="1"/>
  <c r="R65" i="1" l="1"/>
  <c r="Y66" i="1"/>
  <c r="Z66" i="1"/>
  <c r="AA66" i="1"/>
  <c r="AB66" i="1"/>
  <c r="AC66" i="1"/>
  <c r="AD66" i="1"/>
  <c r="AG66" i="1"/>
  <c r="AH66" i="1"/>
  <c r="AI66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Y66" i="1"/>
  <c r="AZ66" i="1"/>
  <c r="BA66" i="1"/>
  <c r="BB66" i="1"/>
  <c r="BC9" i="1" l="1"/>
  <c r="BD9" i="1" s="1"/>
  <c r="BC11" i="1"/>
  <c r="BC12" i="1"/>
  <c r="BC13" i="1"/>
  <c r="BC15" i="1"/>
  <c r="BC16" i="1"/>
  <c r="BC18" i="1"/>
  <c r="BC19" i="1"/>
  <c r="BC20" i="1"/>
  <c r="BC21" i="1"/>
  <c r="BC22" i="1"/>
  <c r="BC24" i="1"/>
  <c r="BC25" i="1"/>
  <c r="BC27" i="1"/>
  <c r="BD27" i="1" s="1"/>
  <c r="BC28" i="1"/>
  <c r="BC29" i="1"/>
  <c r="BC30" i="1"/>
  <c r="BC31" i="1"/>
  <c r="BC32" i="1"/>
  <c r="BC33" i="1"/>
  <c r="BC34" i="1"/>
  <c r="BC35" i="1"/>
  <c r="BC69" i="1"/>
  <c r="BC38" i="1"/>
  <c r="BC41" i="1"/>
  <c r="BC42" i="1"/>
  <c r="BC43" i="1"/>
  <c r="BC44" i="1"/>
  <c r="BC45" i="1"/>
  <c r="BC46" i="1"/>
  <c r="BC47" i="1"/>
  <c r="BC48" i="1"/>
  <c r="BC49" i="1"/>
  <c r="BC50" i="1"/>
  <c r="BC51" i="1"/>
  <c r="BC52" i="1"/>
  <c r="BC53" i="1"/>
  <c r="BC54" i="1"/>
  <c r="BC55" i="1"/>
  <c r="BC56" i="1"/>
  <c r="BC57" i="1"/>
  <c r="BC58" i="1"/>
  <c r="BC59" i="1"/>
  <c r="BC60" i="1"/>
  <c r="BC61" i="1"/>
  <c r="BC62" i="1"/>
  <c r="BC63" i="1"/>
  <c r="BC64" i="1"/>
  <c r="U10" i="1"/>
  <c r="U11" i="1"/>
  <c r="V11" i="1" s="1"/>
  <c r="W11" i="1" s="1"/>
  <c r="X11" i="1" s="1"/>
  <c r="U12" i="1"/>
  <c r="V12" i="1" s="1"/>
  <c r="W12" i="1" s="1"/>
  <c r="X12" i="1" s="1"/>
  <c r="U13" i="1"/>
  <c r="V13" i="1" s="1"/>
  <c r="W13" i="1" s="1"/>
  <c r="X13" i="1" s="1"/>
  <c r="U14" i="1"/>
  <c r="V14" i="1" s="1"/>
  <c r="W14" i="1" s="1"/>
  <c r="X14" i="1" s="1"/>
  <c r="U15" i="1"/>
  <c r="V15" i="1" s="1"/>
  <c r="W15" i="1" s="1"/>
  <c r="X15" i="1" s="1"/>
  <c r="U16" i="1"/>
  <c r="V16" i="1" s="1"/>
  <c r="W16" i="1" s="1"/>
  <c r="X16" i="1" s="1"/>
  <c r="U17" i="1"/>
  <c r="V17" i="1" s="1"/>
  <c r="W17" i="1" s="1"/>
  <c r="X17" i="1" s="1"/>
  <c r="U18" i="1"/>
  <c r="V18" i="1" s="1"/>
  <c r="W18" i="1" s="1"/>
  <c r="X18" i="1" s="1"/>
  <c r="U19" i="1"/>
  <c r="V19" i="1" s="1"/>
  <c r="W19" i="1" s="1"/>
  <c r="X19" i="1" s="1"/>
  <c r="U20" i="1"/>
  <c r="V20" i="1" s="1"/>
  <c r="W20" i="1" s="1"/>
  <c r="X20" i="1" s="1"/>
  <c r="U21" i="1"/>
  <c r="V21" i="1" s="1"/>
  <c r="W21" i="1" s="1"/>
  <c r="X21" i="1" s="1"/>
  <c r="U22" i="1"/>
  <c r="V22" i="1" s="1"/>
  <c r="W22" i="1" s="1"/>
  <c r="X22" i="1" s="1"/>
  <c r="U23" i="1"/>
  <c r="V23" i="1" s="1"/>
  <c r="W23" i="1" s="1"/>
  <c r="X23" i="1" s="1"/>
  <c r="U24" i="1"/>
  <c r="V24" i="1" s="1"/>
  <c r="W24" i="1" s="1"/>
  <c r="X24" i="1" s="1"/>
  <c r="U25" i="1"/>
  <c r="V25" i="1" s="1"/>
  <c r="W25" i="1" s="1"/>
  <c r="X25" i="1" s="1"/>
  <c r="U26" i="1"/>
  <c r="V26" i="1" s="1"/>
  <c r="W26" i="1" s="1"/>
  <c r="X26" i="1" s="1"/>
  <c r="U27" i="1"/>
  <c r="V27" i="1" s="1"/>
  <c r="W27" i="1" s="1"/>
  <c r="X27" i="1" s="1"/>
  <c r="U28" i="1"/>
  <c r="V28" i="1" s="1"/>
  <c r="W28" i="1" s="1"/>
  <c r="X28" i="1" s="1"/>
  <c r="U29" i="1"/>
  <c r="V29" i="1" s="1"/>
  <c r="W29" i="1" s="1"/>
  <c r="X29" i="1" s="1"/>
  <c r="U30" i="1"/>
  <c r="V30" i="1" s="1"/>
  <c r="W30" i="1" s="1"/>
  <c r="X30" i="1" s="1"/>
  <c r="U31" i="1"/>
  <c r="V31" i="1" s="1"/>
  <c r="W31" i="1" s="1"/>
  <c r="X31" i="1" s="1"/>
  <c r="U32" i="1"/>
  <c r="V32" i="1" s="1"/>
  <c r="W32" i="1" s="1"/>
  <c r="X32" i="1" s="1"/>
  <c r="U33" i="1"/>
  <c r="V33" i="1" s="1"/>
  <c r="W33" i="1" s="1"/>
  <c r="X33" i="1" s="1"/>
  <c r="U34" i="1"/>
  <c r="V34" i="1" s="1"/>
  <c r="W34" i="1" s="1"/>
  <c r="X34" i="1" s="1"/>
  <c r="U35" i="1"/>
  <c r="V35" i="1" s="1"/>
  <c r="W35" i="1" s="1"/>
  <c r="X35" i="1" s="1"/>
  <c r="U37" i="1"/>
  <c r="V37" i="1" s="1"/>
  <c r="W37" i="1" s="1"/>
  <c r="X37" i="1" s="1"/>
  <c r="U38" i="1"/>
  <c r="V38" i="1" s="1"/>
  <c r="W38" i="1" s="1"/>
  <c r="X38" i="1" s="1"/>
  <c r="U39" i="1"/>
  <c r="V39" i="1" s="1"/>
  <c r="W39" i="1" s="1"/>
  <c r="X39" i="1" s="1"/>
  <c r="U40" i="1"/>
  <c r="V40" i="1" s="1"/>
  <c r="W40" i="1" s="1"/>
  <c r="X40" i="1" s="1"/>
  <c r="U41" i="1"/>
  <c r="V41" i="1" s="1"/>
  <c r="W41" i="1" s="1"/>
  <c r="X41" i="1" s="1"/>
  <c r="U42" i="1"/>
  <c r="V42" i="1" s="1"/>
  <c r="W42" i="1" s="1"/>
  <c r="X42" i="1" s="1"/>
  <c r="U43" i="1"/>
  <c r="V43" i="1" s="1"/>
  <c r="W43" i="1" s="1"/>
  <c r="X43" i="1" s="1"/>
  <c r="U44" i="1"/>
  <c r="V44" i="1" s="1"/>
  <c r="W44" i="1" s="1"/>
  <c r="X44" i="1" s="1"/>
  <c r="U45" i="1"/>
  <c r="V45" i="1" s="1"/>
  <c r="W45" i="1" s="1"/>
  <c r="X45" i="1" s="1"/>
  <c r="U46" i="1"/>
  <c r="V46" i="1" s="1"/>
  <c r="W46" i="1" s="1"/>
  <c r="X46" i="1" s="1"/>
  <c r="U47" i="1"/>
  <c r="V47" i="1" s="1"/>
  <c r="W47" i="1" s="1"/>
  <c r="X47" i="1" s="1"/>
  <c r="U48" i="1"/>
  <c r="V48" i="1" s="1"/>
  <c r="W48" i="1" s="1"/>
  <c r="X48" i="1" s="1"/>
  <c r="U49" i="1"/>
  <c r="V49" i="1" s="1"/>
  <c r="W49" i="1" s="1"/>
  <c r="X49" i="1" s="1"/>
  <c r="U50" i="1"/>
  <c r="V50" i="1" s="1"/>
  <c r="W50" i="1" s="1"/>
  <c r="X50" i="1" s="1"/>
  <c r="U51" i="1"/>
  <c r="V51" i="1" s="1"/>
  <c r="W51" i="1" s="1"/>
  <c r="X51" i="1" s="1"/>
  <c r="U52" i="1"/>
  <c r="V52" i="1" s="1"/>
  <c r="W52" i="1" s="1"/>
  <c r="X52" i="1" s="1"/>
  <c r="U53" i="1"/>
  <c r="V53" i="1" s="1"/>
  <c r="W53" i="1" s="1"/>
  <c r="X53" i="1" s="1"/>
  <c r="U54" i="1"/>
  <c r="V54" i="1" s="1"/>
  <c r="W54" i="1" s="1"/>
  <c r="X54" i="1" s="1"/>
  <c r="U55" i="1"/>
  <c r="V55" i="1" s="1"/>
  <c r="W55" i="1" s="1"/>
  <c r="X55" i="1" s="1"/>
  <c r="U56" i="1"/>
  <c r="V56" i="1" s="1"/>
  <c r="W56" i="1" s="1"/>
  <c r="X56" i="1" s="1"/>
  <c r="U57" i="1"/>
  <c r="V57" i="1" s="1"/>
  <c r="W57" i="1" s="1"/>
  <c r="X57" i="1" s="1"/>
  <c r="U58" i="1"/>
  <c r="V58" i="1" s="1"/>
  <c r="W58" i="1" s="1"/>
  <c r="X58" i="1" s="1"/>
  <c r="U59" i="1"/>
  <c r="V59" i="1" s="1"/>
  <c r="W59" i="1" s="1"/>
  <c r="X59" i="1" s="1"/>
  <c r="U60" i="1"/>
  <c r="V60" i="1" s="1"/>
  <c r="W60" i="1" s="1"/>
  <c r="X60" i="1" s="1"/>
  <c r="U61" i="1"/>
  <c r="V61" i="1" s="1"/>
  <c r="W61" i="1" s="1"/>
  <c r="X61" i="1" s="1"/>
  <c r="U62" i="1"/>
  <c r="V62" i="1" s="1"/>
  <c r="W62" i="1" s="1"/>
  <c r="X62" i="1" s="1"/>
  <c r="U63" i="1"/>
  <c r="V63" i="1" s="1"/>
  <c r="W63" i="1" s="1"/>
  <c r="X63" i="1" s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U65" i="1" l="1"/>
  <c r="V10" i="1"/>
  <c r="BC39" i="1"/>
  <c r="BC10" i="1"/>
  <c r="BE10" i="1" s="1"/>
  <c r="E40" i="2"/>
  <c r="O40" i="2" s="1"/>
  <c r="E15" i="2"/>
  <c r="O15" i="2" s="1"/>
  <c r="BE20" i="1"/>
  <c r="BD20" i="1"/>
  <c r="BE18" i="1"/>
  <c r="BD18" i="1"/>
  <c r="BE16" i="1"/>
  <c r="BD16" i="1"/>
  <c r="BE12" i="1"/>
  <c r="BD12" i="1"/>
  <c r="BE60" i="1"/>
  <c r="BD60" i="1"/>
  <c r="BE58" i="1"/>
  <c r="BD58" i="1"/>
  <c r="BE54" i="1"/>
  <c r="BD54" i="1"/>
  <c r="BE52" i="1"/>
  <c r="BD52" i="1"/>
  <c r="BE50" i="1"/>
  <c r="BD50" i="1"/>
  <c r="BE48" i="1"/>
  <c r="BD48" i="1"/>
  <c r="BE46" i="1"/>
  <c r="BD46" i="1"/>
  <c r="BE44" i="1"/>
  <c r="BD44" i="1"/>
  <c r="BE42" i="1"/>
  <c r="BD42" i="1"/>
  <c r="BE38" i="1"/>
  <c r="BD38" i="1"/>
  <c r="BE34" i="1"/>
  <c r="BD34" i="1"/>
  <c r="BE32" i="1"/>
  <c r="BD32" i="1"/>
  <c r="BE30" i="1"/>
  <c r="BD30" i="1"/>
  <c r="BE28" i="1"/>
  <c r="BD28" i="1"/>
  <c r="BE24" i="1"/>
  <c r="BD24" i="1"/>
  <c r="BE22" i="1"/>
  <c r="BD22" i="1"/>
  <c r="BE63" i="1"/>
  <c r="BD63" i="1"/>
  <c r="BE61" i="1"/>
  <c r="BD61" i="1"/>
  <c r="BE59" i="1"/>
  <c r="BD59" i="1"/>
  <c r="BE57" i="1"/>
  <c r="BD57" i="1"/>
  <c r="BE55" i="1"/>
  <c r="BD55" i="1"/>
  <c r="BE53" i="1"/>
  <c r="BD53" i="1"/>
  <c r="BE51" i="1"/>
  <c r="BD51" i="1"/>
  <c r="BE49" i="1"/>
  <c r="BD49" i="1"/>
  <c r="BE47" i="1"/>
  <c r="BD47" i="1"/>
  <c r="BE45" i="1"/>
  <c r="BD45" i="1"/>
  <c r="BE43" i="1"/>
  <c r="BD43" i="1"/>
  <c r="BE41" i="1"/>
  <c r="BD41" i="1"/>
  <c r="BE39" i="1"/>
  <c r="BE69" i="1"/>
  <c r="BD69" i="1"/>
  <c r="BE35" i="1"/>
  <c r="BD35" i="1"/>
  <c r="BE33" i="1"/>
  <c r="BD33" i="1"/>
  <c r="BE31" i="1"/>
  <c r="BD31" i="1"/>
  <c r="BE29" i="1"/>
  <c r="BD29" i="1"/>
  <c r="BE25" i="1"/>
  <c r="BD25" i="1"/>
  <c r="BE21" i="1"/>
  <c r="BD21" i="1"/>
  <c r="BE19" i="1"/>
  <c r="BD19" i="1"/>
  <c r="BE15" i="1"/>
  <c r="BD15" i="1"/>
  <c r="BE13" i="1"/>
  <c r="BD13" i="1"/>
  <c r="BE11" i="1"/>
  <c r="BD11" i="1"/>
  <c r="E64" i="2"/>
  <c r="O64" i="2" s="1"/>
  <c r="E63" i="2"/>
  <c r="O63" i="2" s="1"/>
  <c r="E61" i="2"/>
  <c r="O61" i="2" s="1"/>
  <c r="E60" i="2"/>
  <c r="O60" i="2" s="1"/>
  <c r="E59" i="2"/>
  <c r="O59" i="2" s="1"/>
  <c r="E58" i="2"/>
  <c r="O58" i="2" s="1"/>
  <c r="E57" i="2"/>
  <c r="O57" i="2" s="1"/>
  <c r="E55" i="2"/>
  <c r="O55" i="2" s="1"/>
  <c r="E54" i="2"/>
  <c r="O54" i="2" s="1"/>
  <c r="E53" i="2"/>
  <c r="O53" i="2" s="1"/>
  <c r="E52" i="2"/>
  <c r="O52" i="2" s="1"/>
  <c r="E51" i="2"/>
  <c r="O51" i="2" s="1"/>
  <c r="E50" i="2"/>
  <c r="O50" i="2" s="1"/>
  <c r="E49" i="2"/>
  <c r="O49" i="2" s="1"/>
  <c r="E48" i="2"/>
  <c r="O48" i="2" s="1"/>
  <c r="E47" i="2"/>
  <c r="O47" i="2" s="1"/>
  <c r="E46" i="2"/>
  <c r="O46" i="2" s="1"/>
  <c r="E45" i="2"/>
  <c r="O45" i="2" s="1"/>
  <c r="E44" i="2"/>
  <c r="O44" i="2" s="1"/>
  <c r="E43" i="2"/>
  <c r="O43" i="2" s="1"/>
  <c r="E42" i="2"/>
  <c r="O42" i="2" s="1"/>
  <c r="E41" i="2"/>
  <c r="O41" i="2" s="1"/>
  <c r="E39" i="2"/>
  <c r="O39" i="2" s="1"/>
  <c r="E38" i="2"/>
  <c r="O38" i="2" s="1"/>
  <c r="E37" i="2"/>
  <c r="O37" i="2" s="1"/>
  <c r="E36" i="2"/>
  <c r="O36" i="2" s="1"/>
  <c r="E35" i="2"/>
  <c r="O35" i="2" s="1"/>
  <c r="E34" i="2"/>
  <c r="O34" i="2" s="1"/>
  <c r="E33" i="2"/>
  <c r="O33" i="2" s="1"/>
  <c r="E32" i="2"/>
  <c r="O32" i="2" s="1"/>
  <c r="E31" i="2"/>
  <c r="O31" i="2" s="1"/>
  <c r="E30" i="2"/>
  <c r="O30" i="2" s="1"/>
  <c r="E29" i="2"/>
  <c r="O29" i="2" s="1"/>
  <c r="E23" i="2"/>
  <c r="O23" i="2" s="1"/>
  <c r="E22" i="2"/>
  <c r="O22" i="2" s="1"/>
  <c r="E21" i="2"/>
  <c r="O21" i="2" s="1"/>
  <c r="E20" i="2"/>
  <c r="O20" i="2" s="1"/>
  <c r="E19" i="2"/>
  <c r="O19" i="2" s="1"/>
  <c r="E17" i="2"/>
  <c r="O17" i="2" s="1"/>
  <c r="E16" i="2"/>
  <c r="O16" i="2" s="1"/>
  <c r="E14" i="2"/>
  <c r="O14" i="2" s="1"/>
  <c r="E13" i="2"/>
  <c r="O13" i="2" s="1"/>
  <c r="E12" i="2"/>
  <c r="O12" i="2" s="1"/>
  <c r="E11" i="2"/>
  <c r="O11" i="2" s="1"/>
  <c r="BC36" i="1"/>
  <c r="BC23" i="1"/>
  <c r="BE23" i="1" s="1"/>
  <c r="E28" i="2"/>
  <c r="O28" i="2" s="1"/>
  <c r="E26" i="2"/>
  <c r="O26" i="2" s="1"/>
  <c r="E25" i="2"/>
  <c r="O25" i="2" s="1"/>
  <c r="E27" i="2"/>
  <c r="O27" i="2" s="1"/>
  <c r="E24" i="2"/>
  <c r="O24" i="2" s="1"/>
  <c r="BE27" i="1"/>
  <c r="BD62" i="1"/>
  <c r="BE62" i="1"/>
  <c r="E62" i="2"/>
  <c r="O62" i="2" s="1"/>
  <c r="E10" i="2"/>
  <c r="E18" i="2"/>
  <c r="O18" i="2" s="1"/>
  <c r="BC17" i="1"/>
  <c r="E56" i="2"/>
  <c r="O56" i="2" s="1"/>
  <c r="BC40" i="1"/>
  <c r="BC26" i="1"/>
  <c r="BC14" i="1"/>
  <c r="BE14" i="1" s="1"/>
  <c r="BE64" i="1"/>
  <c r="BD64" i="1"/>
  <c r="BE9" i="1"/>
  <c r="BD56" i="1"/>
  <c r="BE56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69" i="1"/>
  <c r="AF38" i="1"/>
  <c r="AF39" i="1"/>
  <c r="AF40" i="1"/>
  <c r="AF41" i="1"/>
  <c r="AF42" i="1"/>
  <c r="AF43" i="1"/>
  <c r="AF9" i="1"/>
  <c r="W10" i="1" l="1"/>
  <c r="V65" i="1"/>
  <c r="AF65" i="1"/>
  <c r="DK9" i="1"/>
  <c r="DL9" i="1" s="1"/>
  <c r="E68" i="2"/>
  <c r="O10" i="2"/>
  <c r="DK55" i="1"/>
  <c r="DL55" i="1" s="1"/>
  <c r="DK17" i="1"/>
  <c r="DL17" i="1" s="1"/>
  <c r="DK26" i="1"/>
  <c r="DL26" i="1" s="1"/>
  <c r="AE25" i="1"/>
  <c r="DK25" i="1"/>
  <c r="DL25" i="1" s="1"/>
  <c r="DK10" i="1"/>
  <c r="DL10" i="1" s="1"/>
  <c r="DK12" i="1"/>
  <c r="DL12" i="1" s="1"/>
  <c r="DK15" i="1"/>
  <c r="DL15" i="1" s="1"/>
  <c r="DK18" i="1"/>
  <c r="DL18" i="1" s="1"/>
  <c r="DK20" i="1"/>
  <c r="DL20" i="1" s="1"/>
  <c r="DK22" i="1"/>
  <c r="DL22" i="1" s="1"/>
  <c r="DK29" i="1"/>
  <c r="DL29" i="1" s="1"/>
  <c r="DK31" i="1"/>
  <c r="DL31" i="1" s="1"/>
  <c r="DK33" i="1"/>
  <c r="DL33" i="1" s="1"/>
  <c r="DK35" i="1"/>
  <c r="DL35" i="1" s="1"/>
  <c r="DK37" i="1"/>
  <c r="DL37" i="1" s="1"/>
  <c r="DK40" i="1"/>
  <c r="DL40" i="1" s="1"/>
  <c r="DK42" i="1"/>
  <c r="DL42" i="1" s="1"/>
  <c r="DK44" i="1"/>
  <c r="DL44" i="1" s="1"/>
  <c r="DK46" i="1"/>
  <c r="DL46" i="1" s="1"/>
  <c r="DK48" i="1"/>
  <c r="DL48" i="1" s="1"/>
  <c r="DK50" i="1"/>
  <c r="DL50" i="1" s="1"/>
  <c r="DK52" i="1"/>
  <c r="DL52" i="1" s="1"/>
  <c r="DK54" i="1"/>
  <c r="DL54" i="1" s="1"/>
  <c r="DK57" i="1"/>
  <c r="DL57" i="1" s="1"/>
  <c r="DK59" i="1"/>
  <c r="DL59" i="1" s="1"/>
  <c r="DK62" i="1"/>
  <c r="DL62" i="1" s="1"/>
  <c r="DK39" i="1"/>
  <c r="DL39" i="1" s="1"/>
  <c r="BD39" i="1"/>
  <c r="BC65" i="1"/>
  <c r="DK61" i="1"/>
  <c r="DL61" i="1" s="1"/>
  <c r="DK23" i="1"/>
  <c r="DL23" i="1" s="1"/>
  <c r="DK24" i="1"/>
  <c r="DL24" i="1" s="1"/>
  <c r="DK27" i="1"/>
  <c r="DL27" i="1" s="1"/>
  <c r="AE11" i="1"/>
  <c r="DK11" i="1"/>
  <c r="DL11" i="1" s="1"/>
  <c r="DK13" i="1"/>
  <c r="DL13" i="1" s="1"/>
  <c r="DK16" i="1"/>
  <c r="DL16" i="1" s="1"/>
  <c r="DK19" i="1"/>
  <c r="DL19" i="1" s="1"/>
  <c r="DK21" i="1"/>
  <c r="DL21" i="1" s="1"/>
  <c r="DK28" i="1"/>
  <c r="DL28" i="1" s="1"/>
  <c r="DK30" i="1"/>
  <c r="DL30" i="1" s="1"/>
  <c r="DK32" i="1"/>
  <c r="DL32" i="1" s="1"/>
  <c r="DK34" i="1"/>
  <c r="DL34" i="1" s="1"/>
  <c r="DK36" i="1"/>
  <c r="DL36" i="1" s="1"/>
  <c r="DK38" i="1"/>
  <c r="DL38" i="1" s="1"/>
  <c r="AE42" i="1"/>
  <c r="DK41" i="1"/>
  <c r="DL41" i="1" s="1"/>
  <c r="DK43" i="1"/>
  <c r="DL43" i="1" s="1"/>
  <c r="DK45" i="1"/>
  <c r="DL45" i="1" s="1"/>
  <c r="AE48" i="1"/>
  <c r="DK47" i="1"/>
  <c r="DL47" i="1" s="1"/>
  <c r="DK49" i="1"/>
  <c r="DL49" i="1" s="1"/>
  <c r="DK51" i="1"/>
  <c r="DL51" i="1" s="1"/>
  <c r="DK53" i="1"/>
  <c r="DL53" i="1" s="1"/>
  <c r="DK56" i="1"/>
  <c r="DL56" i="1" s="1"/>
  <c r="DK58" i="1"/>
  <c r="DL58" i="1" s="1"/>
  <c r="DK60" i="1"/>
  <c r="DL60" i="1" s="1"/>
  <c r="DK63" i="1"/>
  <c r="DL63" i="1" s="1"/>
  <c r="DK14" i="1"/>
  <c r="DL14" i="1" s="1"/>
  <c r="BD23" i="1"/>
  <c r="BD10" i="1"/>
  <c r="AF66" i="1"/>
  <c r="BE36" i="1"/>
  <c r="BD36" i="1"/>
  <c r="BE17" i="1"/>
  <c r="BD17" i="1"/>
  <c r="BE40" i="1"/>
  <c r="BD40" i="1"/>
  <c r="BE26" i="1"/>
  <c r="BD26" i="1"/>
  <c r="BC66" i="1"/>
  <c r="BD14" i="1"/>
  <c r="AE26" i="1"/>
  <c r="AE30" i="1"/>
  <c r="AE34" i="1"/>
  <c r="AE49" i="1"/>
  <c r="AE24" i="1"/>
  <c r="S66" i="1" l="1"/>
  <c r="S67" i="1" s="1"/>
  <c r="S69" i="1" s="1"/>
  <c r="X10" i="1"/>
  <c r="X65" i="1" s="1"/>
  <c r="W65" i="1"/>
  <c r="BE65" i="1"/>
  <c r="BD65" i="1"/>
  <c r="O68" i="2"/>
  <c r="AE23" i="1"/>
  <c r="AE21" i="1"/>
  <c r="AE27" i="1"/>
  <c r="AE40" i="1"/>
  <c r="AE58" i="1"/>
  <c r="AE41" i="1"/>
  <c r="AE38" i="1"/>
  <c r="AE47" i="1"/>
  <c r="AE31" i="1"/>
  <c r="AE19" i="1"/>
  <c r="AE16" i="1"/>
  <c r="AE53" i="1"/>
  <c r="AE45" i="1"/>
  <c r="AE63" i="1"/>
  <c r="AE15" i="1"/>
  <c r="AE57" i="1"/>
  <c r="AE13" i="1"/>
  <c r="AE59" i="1"/>
  <c r="AE10" i="1"/>
  <c r="AE33" i="1"/>
  <c r="AE50" i="1"/>
  <c r="AE18" i="1"/>
  <c r="AE55" i="1"/>
  <c r="AE64" i="1"/>
  <c r="AE52" i="1"/>
  <c r="AE44" i="1"/>
  <c r="AE32" i="1"/>
  <c r="AE20" i="1"/>
  <c r="AE12" i="1"/>
  <c r="AE69" i="1"/>
  <c r="AE29" i="1"/>
  <c r="AE54" i="1"/>
  <c r="AE46" i="1"/>
  <c r="AE22" i="1"/>
  <c r="AE14" i="1"/>
  <c r="AE60" i="1"/>
  <c r="AE51" i="1"/>
  <c r="AE43" i="1"/>
  <c r="AE39" i="1"/>
  <c r="BD66" i="1"/>
  <c r="AE61" i="1"/>
  <c r="AE36" i="1"/>
  <c r="AE28" i="1"/>
  <c r="AE35" i="1"/>
  <c r="AE62" i="1"/>
  <c r="AE17" i="1"/>
  <c r="BF23" i="1"/>
  <c r="BF27" i="1"/>
  <c r="BW27" i="1" s="1"/>
  <c r="AE9" i="1"/>
  <c r="BE66" i="1"/>
  <c r="AE56" i="1"/>
  <c r="R66" i="1" l="1"/>
  <c r="R67" i="1" s="1"/>
  <c r="AE65" i="1"/>
  <c r="BW23" i="1"/>
  <c r="BW65" i="1" s="1"/>
  <c r="BF65" i="1"/>
  <c r="AE66" i="1"/>
</calcChain>
</file>

<file path=xl/comments1.xml><?xml version="1.0" encoding="utf-8"?>
<comments xmlns="http://schemas.openxmlformats.org/spreadsheetml/2006/main">
  <authors>
    <author>lily</author>
  </authors>
  <commentList>
    <comment ref="L23" authorId="0" shapeId="0">
      <text>
        <r>
          <rPr>
            <b/>
            <sz val="9"/>
            <color indexed="81"/>
            <rFont val="Tahoma"/>
            <family val="2"/>
          </rPr>
          <t>lily:</t>
        </r>
        <r>
          <rPr>
            <sz val="9"/>
            <color indexed="81"/>
            <rFont val="Tahoma"/>
            <family val="2"/>
          </rPr>
          <t xml:space="preserve">
NO ESTABA EN NEGATIVO NO SE RESTO
</t>
        </r>
      </text>
    </comment>
    <comment ref="P27" authorId="0" shapeId="0">
      <text>
        <r>
          <rPr>
            <b/>
            <sz val="9"/>
            <color indexed="81"/>
            <rFont val="Tahoma"/>
            <family val="2"/>
          </rPr>
          <t>lily:</t>
        </r>
        <r>
          <rPr>
            <sz val="9"/>
            <color indexed="81"/>
            <rFont val="Tahoma"/>
            <family val="2"/>
          </rPr>
          <t xml:space="preserve">
NO ESTABA EN NEGATIVO NO SE RESTO</t>
        </r>
      </text>
    </comment>
  </commentList>
</comments>
</file>

<file path=xl/sharedStrings.xml><?xml version="1.0" encoding="utf-8"?>
<sst xmlns="http://schemas.openxmlformats.org/spreadsheetml/2006/main" count="1134" uniqueCount="469">
  <si>
    <t>CONTPAQ i</t>
  </si>
  <si>
    <t xml:space="preserve">      NÓMINAS</t>
  </si>
  <si>
    <t>Lista de Raya (forma tabular)</t>
  </si>
  <si>
    <t xml:space="preserve">RFC: C&amp;A -050406-NL0 </t>
  </si>
  <si>
    <t>Código</t>
  </si>
  <si>
    <t>Empleado</t>
  </si>
  <si>
    <t>Sueldo</t>
  </si>
  <si>
    <t>*TOTAL* *PERCEPCIONES*</t>
  </si>
  <si>
    <t>Subsidio al Empleo (sp)</t>
  </si>
  <si>
    <t>I.S.R. (sp)</t>
  </si>
  <si>
    <t>I.M.S.S.</t>
  </si>
  <si>
    <t>Ajuste al neto</t>
  </si>
  <si>
    <t>*TOTAL* *DEDUCCIONES*</t>
  </si>
  <si>
    <t>*NETO*</t>
  </si>
  <si>
    <t>BS22</t>
  </si>
  <si>
    <t>GM21</t>
  </si>
  <si>
    <t>Vargas Cosme Susana</t>
  </si>
  <si>
    <t xml:space="preserve">  =============</t>
  </si>
  <si>
    <t>Total Gral.</t>
  </si>
  <si>
    <t xml:space="preserve"> </t>
  </si>
  <si>
    <t>JULIO CESAR</t>
  </si>
  <si>
    <t>TOTAL</t>
  </si>
  <si>
    <t>IVA</t>
  </si>
  <si>
    <t>TOTAL PERCEPCIONES</t>
  </si>
  <si>
    <t>SUELDO BASE</t>
  </si>
  <si>
    <t>COMISIONES</t>
  </si>
  <si>
    <t>Comision 10%</t>
  </si>
  <si>
    <t>2% S/N</t>
  </si>
  <si>
    <t>SUBTOTAL</t>
  </si>
  <si>
    <t>SUBSIDO ENTREGADO</t>
  </si>
  <si>
    <t>SGV</t>
  </si>
  <si>
    <t>JUAN CARLOS</t>
  </si>
  <si>
    <t>FERNANDO</t>
  </si>
  <si>
    <t>HOJALATERO</t>
  </si>
  <si>
    <t>00040</t>
  </si>
  <si>
    <t>Aguilar  Rosas Yolanda</t>
  </si>
  <si>
    <t>Bautista Sanchez Sandra Stephanie</t>
  </si>
  <si>
    <t>BH01</t>
  </si>
  <si>
    <t>Bezares Hernandez Zaire Yael</t>
  </si>
  <si>
    <t>BM11</t>
  </si>
  <si>
    <t>Bonilla Martinez Daniela Monserra</t>
  </si>
  <si>
    <t>CH02</t>
  </si>
  <si>
    <t>Camacho Hernandez Leopoldo</t>
  </si>
  <si>
    <t>0009</t>
  </si>
  <si>
    <t>Camacho Resendiz M Dolores</t>
  </si>
  <si>
    <t>0002</t>
  </si>
  <si>
    <t>Chavez Perez Beatriz</t>
  </si>
  <si>
    <t>CA07</t>
  </si>
  <si>
    <t>Colin Alvarez Othon</t>
  </si>
  <si>
    <t>CR01</t>
  </si>
  <si>
    <t>Covarrubias Rodriguez Sarahi Escar</t>
  </si>
  <si>
    <t>DM01</t>
  </si>
  <si>
    <t>Damian Melchor Magaly</t>
  </si>
  <si>
    <t>DD01</t>
  </si>
  <si>
    <t>De Santiago Dondiego J Jesus</t>
  </si>
  <si>
    <t>EZ08</t>
  </si>
  <si>
    <t>Espindola Zarazua Maria Guadalupe</t>
  </si>
  <si>
    <t>0043</t>
  </si>
  <si>
    <t>Espinoza Alvarez Armando</t>
  </si>
  <si>
    <t>FC026</t>
  </si>
  <si>
    <t>Flores  Catarino Josue</t>
  </si>
  <si>
    <t>GR002</t>
  </si>
  <si>
    <t>Gallegos Romero Cristian</t>
  </si>
  <si>
    <t>Garcia Montes Jesus Salvador</t>
  </si>
  <si>
    <t>GP00</t>
  </si>
  <si>
    <t>Garcia Perez Diana</t>
  </si>
  <si>
    <t>GT01</t>
  </si>
  <si>
    <t>Gomez Trujillo Juan Carlos</t>
  </si>
  <si>
    <t>GM01</t>
  </si>
  <si>
    <t>Gonzalez Molinero Angelica</t>
  </si>
  <si>
    <t>GO02</t>
  </si>
  <si>
    <t>Gonzalez Oregon Lizbeth</t>
  </si>
  <si>
    <t>GS02</t>
  </si>
  <si>
    <t>Gonzalez Sanchez Michelle Estefan</t>
  </si>
  <si>
    <t>GN006</t>
  </si>
  <si>
    <t>Guzman Navarro Eduardo</t>
  </si>
  <si>
    <t>HC018</t>
  </si>
  <si>
    <t>Hernandez Carpio Jesus</t>
  </si>
  <si>
    <t>HH07</t>
  </si>
  <si>
    <t>Hernandez Herrera J Hector</t>
  </si>
  <si>
    <t>HM06</t>
  </si>
  <si>
    <t>Hernandez  Martinez Alma Janet</t>
  </si>
  <si>
    <t>HP026</t>
  </si>
  <si>
    <t>Hurtado  Pajaro  Jose Eduardo</t>
  </si>
  <si>
    <t>JB01</t>
  </si>
  <si>
    <t>Juarez Bautista Juan Carlos</t>
  </si>
  <si>
    <t>JP20</t>
  </si>
  <si>
    <t>Juarez Pacheco Jessica Monserrat</t>
  </si>
  <si>
    <t>JT01</t>
  </si>
  <si>
    <t>Juarez Talavera Maria Fernanda</t>
  </si>
  <si>
    <t>LU18</t>
  </si>
  <si>
    <t>Lizardi Urzua Arizbet</t>
  </si>
  <si>
    <t>MZ28</t>
  </si>
  <si>
    <t>Mancilla Zuñiga Fermin</t>
  </si>
  <si>
    <t>MM00</t>
  </si>
  <si>
    <t>Mandujano Martinez Guadalupe</t>
  </si>
  <si>
    <t>MC13</t>
  </si>
  <si>
    <t>Martinez Cabrera Erick Ignacio</t>
  </si>
  <si>
    <t>MG29</t>
  </si>
  <si>
    <t>Martinez Gonzalez Maria Dolores</t>
  </si>
  <si>
    <t>MZ27</t>
  </si>
  <si>
    <t>Morales Flores Fernando</t>
  </si>
  <si>
    <t>MS00</t>
  </si>
  <si>
    <t>Morales Sanchez Angel</t>
  </si>
  <si>
    <t>NM01</t>
  </si>
  <si>
    <t>Nieto Medina Pedro Emmanuel</t>
  </si>
  <si>
    <t>OG214</t>
  </si>
  <si>
    <t>Olvera Gonzalez Carlos Alberto</t>
  </si>
  <si>
    <t>OL001</t>
  </si>
  <si>
    <t>Olvera  Landaverde Armando</t>
  </si>
  <si>
    <t>OP01</t>
  </si>
  <si>
    <t>Ontiveros Pliego  Luis Gerardo</t>
  </si>
  <si>
    <t>PL02</t>
  </si>
  <si>
    <t>Pacheco  Lopez Mayra</t>
  </si>
  <si>
    <t>PR11</t>
  </si>
  <si>
    <t>Padilla Ruiz Jose Antonio</t>
  </si>
  <si>
    <t>PL01</t>
  </si>
  <si>
    <t>Pascual  Lopez Mayra</t>
  </si>
  <si>
    <t>RS10</t>
  </si>
  <si>
    <t>Rosas Soria Tanya Guadalupe</t>
  </si>
  <si>
    <t>RF01</t>
  </si>
  <si>
    <t>Rubio Franco Gabriela</t>
  </si>
  <si>
    <t>SS025</t>
  </si>
  <si>
    <t>Saldaña Sanchez Julio Cesar</t>
  </si>
  <si>
    <t>SM19</t>
  </si>
  <si>
    <t>Sanchez Morales Idalid</t>
  </si>
  <si>
    <t>SP014</t>
  </si>
  <si>
    <t>Sierra Polinar Cesar Alan</t>
  </si>
  <si>
    <t>TS10</t>
  </si>
  <si>
    <t>Tinoco Suarez Margarita</t>
  </si>
  <si>
    <t>TH01</t>
  </si>
  <si>
    <t>Trejo Hernandez Maria Mericela</t>
  </si>
  <si>
    <t>TT02</t>
  </si>
  <si>
    <t>Trejo Torres Erika Rocio</t>
  </si>
  <si>
    <t>VB13</t>
  </si>
  <si>
    <t>Vega Barron Jose Angel</t>
  </si>
  <si>
    <t>VA00</t>
  </si>
  <si>
    <t>Villalba Acosta Fernando</t>
  </si>
  <si>
    <t>AGUILAR ROSAS</t>
  </si>
  <si>
    <t>YOLANDA</t>
  </si>
  <si>
    <t>BAUTISTA SANCHEZ</t>
  </si>
  <si>
    <t>SANDRA STEPHANIE</t>
  </si>
  <si>
    <t>BEZARES HERNANDEZ</t>
  </si>
  <si>
    <t>ZAIRE YAEL</t>
  </si>
  <si>
    <t>BONILLA MARTINEZ</t>
  </si>
  <si>
    <t>DANIELA MONSERRAT</t>
  </si>
  <si>
    <t>CAMACHO HERNANDEZ</t>
  </si>
  <si>
    <t>LEOPOLDO</t>
  </si>
  <si>
    <t>CAMACHO RESENDIZ</t>
  </si>
  <si>
    <t>M DOLORES</t>
  </si>
  <si>
    <t xml:space="preserve">CHAVEZ PEREZ </t>
  </si>
  <si>
    <t>BEATRIZ</t>
  </si>
  <si>
    <t>COLIN ALVAREZ</t>
  </si>
  <si>
    <t>OTHON</t>
  </si>
  <si>
    <t>COVARRUBIAS RODRIGUEZ</t>
  </si>
  <si>
    <t>SARAHI ESCARLET</t>
  </si>
  <si>
    <t>DAMIAN MELCHOR</t>
  </si>
  <si>
    <t>MAGALY</t>
  </si>
  <si>
    <t>DE SANTIAGO DONDIEGO</t>
  </si>
  <si>
    <t>J JESUS</t>
  </si>
  <si>
    <t>ARMANDO</t>
  </si>
  <si>
    <t xml:space="preserve">ESPINDOLA ZARAZUA </t>
  </si>
  <si>
    <t>MARIA GUADALUPE</t>
  </si>
  <si>
    <t xml:space="preserve">ESPINOZA ALVAREZ </t>
  </si>
  <si>
    <t>FLORES CATARINO</t>
  </si>
  <si>
    <t>JOSUE</t>
  </si>
  <si>
    <t>GALLEGOS ROMERO</t>
  </si>
  <si>
    <t>CRISTIAN</t>
  </si>
  <si>
    <t>GARCIA MONTES</t>
  </si>
  <si>
    <t>JESUS SALVADOR</t>
  </si>
  <si>
    <t xml:space="preserve">GARCIA PEREZ </t>
  </si>
  <si>
    <t>DIANA</t>
  </si>
  <si>
    <t>GOMEZ TRUJILLO</t>
  </si>
  <si>
    <t>GONZALEZ MOLINERO</t>
  </si>
  <si>
    <t>ANGELICA</t>
  </si>
  <si>
    <t>GONZALEZ OREGON</t>
  </si>
  <si>
    <t>LIZBETH</t>
  </si>
  <si>
    <t>GONZALEZ SANCHEZ</t>
  </si>
  <si>
    <t xml:space="preserve">GUZMAN NAVARRO </t>
  </si>
  <si>
    <t>EDUARDO</t>
  </si>
  <si>
    <t>HERNANDEZ CARPIO</t>
  </si>
  <si>
    <t>JESUS</t>
  </si>
  <si>
    <t>HERNANDEZ HERRERA</t>
  </si>
  <si>
    <t>J HECTOR</t>
  </si>
  <si>
    <t>HERNANDEZ MARTINEZ</t>
  </si>
  <si>
    <t>ALMA JANET</t>
  </si>
  <si>
    <t>HURTADO PAJARO</t>
  </si>
  <si>
    <t>JOSE EDUARDO</t>
  </si>
  <si>
    <t>JUAREZ BAUTISTA</t>
  </si>
  <si>
    <t>JUAREZ PACHECO</t>
  </si>
  <si>
    <t>JESSICA MONSERRAT</t>
  </si>
  <si>
    <t>JUAREZ TALAVERA</t>
  </si>
  <si>
    <t>MARIA FERNANDA</t>
  </si>
  <si>
    <t xml:space="preserve">LIZARDI URZUA </t>
  </si>
  <si>
    <t>ARIZBET</t>
  </si>
  <si>
    <t>MANCILLA ZUÑIGA</t>
  </si>
  <si>
    <t>FERMIN</t>
  </si>
  <si>
    <t>MANDUJANO MARTINEZ</t>
  </si>
  <si>
    <t>GUADALUPE</t>
  </si>
  <si>
    <t>MARTINEZ CABRERA</t>
  </si>
  <si>
    <t>ERICK IGNACIO</t>
  </si>
  <si>
    <t>MARTINEZ GONZALEZ</t>
  </si>
  <si>
    <t>MARIA DOLORES</t>
  </si>
  <si>
    <t>MORALES FLORES</t>
  </si>
  <si>
    <t xml:space="preserve">MORALES SANCHEZ </t>
  </si>
  <si>
    <t>ANGEL</t>
  </si>
  <si>
    <t>NIETO MEDINA</t>
  </si>
  <si>
    <t>PEDRO EMMANUEL</t>
  </si>
  <si>
    <t xml:space="preserve">OLVERA GONZALEZ </t>
  </si>
  <si>
    <t>CARLOS ALBERTO</t>
  </si>
  <si>
    <t>OLVERA LANDAVERDE</t>
  </si>
  <si>
    <t>ONTIVEROS PLIEGO</t>
  </si>
  <si>
    <t>LUIS GERARDO</t>
  </si>
  <si>
    <t>PACHECO LOPEZ</t>
  </si>
  <si>
    <t>MAYRA</t>
  </si>
  <si>
    <t>PADILLA RUIZ</t>
  </si>
  <si>
    <t>PASCUAL LOPEZ</t>
  </si>
  <si>
    <t>ROSAS SORIA</t>
  </si>
  <si>
    <t>TANYA GUADALUPE</t>
  </si>
  <si>
    <t>RUBIO FRANCO</t>
  </si>
  <si>
    <t>GABRIELA</t>
  </si>
  <si>
    <t>SALDAÑA SANCHEZ</t>
  </si>
  <si>
    <t>SANCHEZ MORALES</t>
  </si>
  <si>
    <t>IDALID</t>
  </si>
  <si>
    <t>SIERRA POLINAR</t>
  </si>
  <si>
    <t>CESAR ALAN</t>
  </si>
  <si>
    <t>TINOCO SUAREZ</t>
  </si>
  <si>
    <t>MARGARITA</t>
  </si>
  <si>
    <t>TREJO HERNANDEZ</t>
  </si>
  <si>
    <t>MARIA MARICELA</t>
  </si>
  <si>
    <t>TREJO TORRES</t>
  </si>
  <si>
    <t>ERIKA ROCIO</t>
  </si>
  <si>
    <t xml:space="preserve">VEGA BARRON </t>
  </si>
  <si>
    <t>JOSE ANGEL</t>
  </si>
  <si>
    <t>SUSANA</t>
  </si>
  <si>
    <t>VILLALBA ACOSTA</t>
  </si>
  <si>
    <t>AUXILIAR CONTABLE</t>
  </si>
  <si>
    <t>RECEPCIONISTA</t>
  </si>
  <si>
    <t>CAJERA</t>
  </si>
  <si>
    <t>AUXILIAR ADMINISTRATIVO</t>
  </si>
  <si>
    <t>SUB</t>
  </si>
  <si>
    <t>AUXILIAR DE CALIDAD</t>
  </si>
  <si>
    <t>VIGILANTE</t>
  </si>
  <si>
    <t>INTENDENCIA</t>
  </si>
  <si>
    <t>SUPERVISOR DE CONTAC</t>
  </si>
  <si>
    <t>JOSE ANTONIO</t>
  </si>
  <si>
    <t>CUENTAS X PAGAR</t>
  </si>
  <si>
    <t>GERENTE DE SERVICIO</t>
  </si>
  <si>
    <t>VARGAS COSME</t>
  </si>
  <si>
    <t>CH25</t>
  </si>
  <si>
    <t>CEDEÑO HERNANDEZ</t>
  </si>
  <si>
    <t>JUAN</t>
  </si>
  <si>
    <t>MOLINA RAMIREZ</t>
  </si>
  <si>
    <t>ASESOR DE SERVICIO</t>
  </si>
  <si>
    <t>NOMINA</t>
  </si>
  <si>
    <t>AUXILIAR DE REFACCIONES</t>
  </si>
  <si>
    <t>ENCARGADO MOSTRADOR</t>
  </si>
  <si>
    <t>JEFE DE SERVICIO</t>
  </si>
  <si>
    <t>HOSTESS</t>
  </si>
  <si>
    <t xml:space="preserve">EJECUTIVO CONTAC </t>
  </si>
  <si>
    <t>JEFE DE TALLER</t>
  </si>
  <si>
    <t>VALUADOR</t>
  </si>
  <si>
    <t>CONTROL Y TABULACION</t>
  </si>
  <si>
    <t>CHOFER MENSAJERO</t>
  </si>
  <si>
    <t>WEB MASTER</t>
  </si>
  <si>
    <t>ATENCION A CLIENTES</t>
  </si>
  <si>
    <t>AYUDANTE DE PREVIAS</t>
  </si>
  <si>
    <t>GRETEER</t>
  </si>
  <si>
    <t>AUXILIAR DE VENTAS</t>
  </si>
  <si>
    <t>INTERCAMBIOS</t>
  </si>
  <si>
    <t>TRASLADISTA</t>
  </si>
  <si>
    <t>ASISTENTE DE GTE</t>
  </si>
  <si>
    <t>MICHELLE ESTEFANIA</t>
  </si>
  <si>
    <t>INFONAVIT</t>
  </si>
  <si>
    <t xml:space="preserve">PAGAR 3 DIAS DE VACACIONES TRABAJADOS </t>
  </si>
  <si>
    <t>SE LE PAGA POR BANAMEX LA CTA LA TIENE NORMA</t>
  </si>
  <si>
    <t>Cedeño Hernandez Juana</t>
  </si>
  <si>
    <t>MR027</t>
  </si>
  <si>
    <t>Molina Ramirez  Jesus Octavio</t>
  </si>
  <si>
    <t>11 CONSULTORES &amp; ASESORES INTEGRALES SC</t>
  </si>
  <si>
    <t>Periodo 3 al 3 Quincenal del 01/02/2016 al 15/02/2016</t>
  </si>
  <si>
    <t>Reg Pat IMSS: E2375841103</t>
  </si>
  <si>
    <t>*Otras* *Percepciones*</t>
  </si>
  <si>
    <t>CV22</t>
  </si>
  <si>
    <t>Fecha: 12/Feb/2016</t>
  </si>
  <si>
    <t>Hora: 16:13:08:572</t>
  </si>
  <si>
    <t>Séptimo día</t>
  </si>
  <si>
    <t>Horas extras</t>
  </si>
  <si>
    <t>Destajos</t>
  </si>
  <si>
    <t>Premios eficiencia</t>
  </si>
  <si>
    <t>Ret. Inv. Y Vida</t>
  </si>
  <si>
    <t>Ret. Cesantia</t>
  </si>
  <si>
    <t>Ret. Enf. y Mat. obrero</t>
  </si>
  <si>
    <t>Subs al Empleo acreditado</t>
  </si>
  <si>
    <t>I.S.R. antes de Subs al Empleo</t>
  </si>
  <si>
    <t>Pension Alimenticia</t>
  </si>
  <si>
    <t>*Otras* *Deducciones*</t>
  </si>
  <si>
    <t>FACTURACIÓN</t>
  </si>
  <si>
    <t>11 CONSULTORES &amp; ASESORES INTEGRALES SC_</t>
  </si>
  <si>
    <t>Apoyo</t>
  </si>
  <si>
    <t>COMISIÓN EMPLEADO</t>
  </si>
  <si>
    <t>A DESCONTAR PROX NOM</t>
  </si>
  <si>
    <t>NOTA: SOLO SE PAGO DE MAS NO SE FACTURO</t>
  </si>
  <si>
    <t>Aguilar Rosas Yolanda</t>
  </si>
  <si>
    <t>Consultores &amp; Asesores Integrales S.C.</t>
  </si>
  <si>
    <t>Servicios Prestados a : QUERETARO MOTORS, SA</t>
  </si>
  <si>
    <t>Periodo QUINCENAL</t>
  </si>
  <si>
    <t>Area</t>
  </si>
  <si>
    <t>CODIGO</t>
  </si>
  <si>
    <t>Nombre</t>
  </si>
  <si>
    <t>Suc</t>
  </si>
  <si>
    <t>FECHA DE INGRESO</t>
  </si>
  <si>
    <t>Puesto</t>
  </si>
  <si>
    <t>FIJO / VARIABLE</t>
  </si>
  <si>
    <t>sub   S/N</t>
  </si>
  <si>
    <t>CONSULTORES</t>
  </si>
  <si>
    <t>SINDICATO</t>
  </si>
  <si>
    <t>Sueldo Quincenal</t>
  </si>
  <si>
    <t>Prima Vacacional</t>
  </si>
  <si>
    <t>Dias de Vacaciones</t>
  </si>
  <si>
    <t>SEGURO DE VIDA (-)</t>
  </si>
  <si>
    <t>Total Percepciones</t>
  </si>
  <si>
    <t>Descuentos Cta 254</t>
  </si>
  <si>
    <t>Fonacot</t>
  </si>
  <si>
    <t>Pension</t>
  </si>
  <si>
    <t>SEG GTS MED MAY</t>
  </si>
  <si>
    <t>Infonavit</t>
  </si>
  <si>
    <t>Total Deduciones</t>
  </si>
  <si>
    <t>Comision empleado</t>
  </si>
  <si>
    <t>Neto a Recibir</t>
  </si>
  <si>
    <t>Comision subsidiada</t>
  </si>
  <si>
    <t>Impto Nomina</t>
  </si>
  <si>
    <t>Factura</t>
  </si>
  <si>
    <t>PAGADO</t>
  </si>
  <si>
    <t>DIF</t>
  </si>
  <si>
    <t>DIFERENCIA</t>
  </si>
  <si>
    <t>No. Cuenta</t>
  </si>
  <si>
    <t>OBSERVACION</t>
  </si>
  <si>
    <t>REFACCIONES</t>
  </si>
  <si>
    <t>AGUILAR ROSAS YOLANDA</t>
  </si>
  <si>
    <t>AUXILIAR DE REFACCIO</t>
  </si>
  <si>
    <t>ADMINISTRACION</t>
  </si>
  <si>
    <t>BAUTISTA SANCHEZ SANDRA</t>
  </si>
  <si>
    <t>RECEPCION</t>
  </si>
  <si>
    <t>FIJO</t>
  </si>
  <si>
    <t>PAGO DE PRIMA VACACIONAL 2015</t>
  </si>
  <si>
    <t>COORPORATIVO</t>
  </si>
  <si>
    <t>BEZARES HERNANDEZ YAEL</t>
  </si>
  <si>
    <t>AUX CONTABLE</t>
  </si>
  <si>
    <t>ADMON VENTAS</t>
  </si>
  <si>
    <t>BONILLA MARTINEZ DANIELA</t>
  </si>
  <si>
    <t>1 FALTA</t>
  </si>
  <si>
    <t>CAMACHO HERNANDEZ LEOPOLDO</t>
  </si>
  <si>
    <t>CAMACHO RESENDIZ MARIA DOLORES</t>
  </si>
  <si>
    <t>PAGO DE 5 DIAS DE VAC TRABAJADAS, SALDO PROMEDIO $1100</t>
  </si>
  <si>
    <t>CEDEñO HERNANDEZ JUANA</t>
  </si>
  <si>
    <t>AUX ADMINISTRATIVO</t>
  </si>
  <si>
    <t>CHAVEZ PEREZ BEATRIZ</t>
  </si>
  <si>
    <t>COLIN ALVAREZ OTHON</t>
  </si>
  <si>
    <t>ADMON SERVICIO</t>
  </si>
  <si>
    <t>DAMIAN MELCHOR MAGALY</t>
  </si>
  <si>
    <t>DE SANTIAGO DONDIEGO J DE JESUS</t>
  </si>
  <si>
    <t>SERVICIO</t>
  </si>
  <si>
    <t>ESPINDOLA ZARAZUA MA GUADALUPE</t>
  </si>
  <si>
    <t>ESPINOZA ALVAREZ ARMANDO</t>
  </si>
  <si>
    <t>FC26</t>
  </si>
  <si>
    <t>FLORES CATARINO JOSUE</t>
  </si>
  <si>
    <t>AUX. DE REFACCIONES</t>
  </si>
  <si>
    <t>BNTE NO TJ 4915667391931104</t>
  </si>
  <si>
    <t>GALLEGOS ROMERO CRISTIAN</t>
  </si>
  <si>
    <t>VENTAS</t>
  </si>
  <si>
    <t>GARCIA MONTES JESUS</t>
  </si>
  <si>
    <t>HOSTESS SEMINUEVOS</t>
  </si>
  <si>
    <t>2 DIAS DE INCAPACIDAD</t>
  </si>
  <si>
    <t>GARCIA PEREZ DIANA</t>
  </si>
  <si>
    <t>GOMEZ TRUJILLO JUAN</t>
  </si>
  <si>
    <t>AUX DE REFACCIONES</t>
  </si>
  <si>
    <t>GONZALEZ MOLINERO ANGELICA</t>
  </si>
  <si>
    <t>AUX EN VENTAS</t>
  </si>
  <si>
    <t>GONZALEZ OREGON LIZBETH</t>
  </si>
  <si>
    <t>AUX. ADMON</t>
  </si>
  <si>
    <t>GONZALEZ SANCHEZ MICHEL</t>
  </si>
  <si>
    <t>GN06</t>
  </si>
  <si>
    <t>GUZMAN NAVARRO EDUAR</t>
  </si>
  <si>
    <t>HC18</t>
  </si>
  <si>
    <t>HERNANDEZ CARPIO JES</t>
  </si>
  <si>
    <t>HERNANDEZ HERRERA J HECTOR</t>
  </si>
  <si>
    <t>HERNANDEZ MARTINEZ ALMA</t>
  </si>
  <si>
    <t>HP16</t>
  </si>
  <si>
    <t>HURTADO PAJARO JOSE</t>
  </si>
  <si>
    <t>JUAREZ BAUTISTA JUAN</t>
  </si>
  <si>
    <t>JUAREZ TAVERA MARIA</t>
  </si>
  <si>
    <t>LIZARDI URZUA ARIZBETH</t>
  </si>
  <si>
    <t>PAGO DE PRIMA VACACIONAL 2015 Y PAGO DE 10 DIAS DE VACACIONES, SALDO PROMEDIO $554</t>
  </si>
  <si>
    <t>MANCILLA ZUñIGA FERMIN</t>
  </si>
  <si>
    <t>MANDUJANO MARTINEZ G</t>
  </si>
  <si>
    <t>ENC MOSTRADOR</t>
  </si>
  <si>
    <t>MARTINEZ CABRERA ERICK</t>
  </si>
  <si>
    <t>MARTINEZ GONZALEZ MARIA DOLORES</t>
  </si>
  <si>
    <t>6 DIAS DE INCAPACIDAD</t>
  </si>
  <si>
    <t>MR27</t>
  </si>
  <si>
    <t>MOLINA RAMIREZ JESUS</t>
  </si>
  <si>
    <t>MORALES FLORES FERNANDO</t>
  </si>
  <si>
    <t>MORALES SANCHEZ ANGEL</t>
  </si>
  <si>
    <t xml:space="preserve">FIJO     </t>
  </si>
  <si>
    <t>24 HRS EXTRA (SE PAGAN SOLO DOBLES) PAGAR 1 DIA FESTIVO (5 FEB)</t>
  </si>
  <si>
    <t xml:space="preserve">NIETO MEDINA PEDRO </t>
  </si>
  <si>
    <t>ASIST GTE MARTIN</t>
  </si>
  <si>
    <t>OG14</t>
  </si>
  <si>
    <t>OLVERA GONZALEZ CARLOS</t>
  </si>
  <si>
    <t>HOJALATERIA</t>
  </si>
  <si>
    <t>OL01</t>
  </si>
  <si>
    <t>OLVERA LANDAVERDE AR</t>
  </si>
  <si>
    <t>HOJALATEROA</t>
  </si>
  <si>
    <t>ONTIVEROS PLIEGO LUIS</t>
  </si>
  <si>
    <t>ASIST GTE ARTURO</t>
  </si>
  <si>
    <t>PACHECO LOPEZ MAYRA</t>
  </si>
  <si>
    <t>PADILLA RUIZ JOSE ANTONIO</t>
  </si>
  <si>
    <t>VIGILANTE COLON</t>
  </si>
  <si>
    <t xml:space="preserve">FIJO </t>
  </si>
  <si>
    <t>PASCUAL LOPEZ MAYRA</t>
  </si>
  <si>
    <t>ROSAS SORIA TANYA GUADALUPE</t>
  </si>
  <si>
    <t>RUBIO FRANCO GABRIELA</t>
  </si>
  <si>
    <t>SS25</t>
  </si>
  <si>
    <t>SALDAÑA SANCHEZ JULIO CESAR</t>
  </si>
  <si>
    <t>SANCHEZ MORALES IDAL</t>
  </si>
  <si>
    <t>SP14</t>
  </si>
  <si>
    <t>SIERRA POLINA CESAR</t>
  </si>
  <si>
    <t xml:space="preserve">ASISR GTE ANAEL </t>
  </si>
  <si>
    <t>TINOCO SUAREZ MARGARITA</t>
  </si>
  <si>
    <t>BNX CTA    002680902750119152</t>
  </si>
  <si>
    <t>TREJO HERNANDEZ MARICELA</t>
  </si>
  <si>
    <t>AUX ADMON</t>
  </si>
  <si>
    <t>TREJO TORRES ERIKA R</t>
  </si>
  <si>
    <t>CXP</t>
  </si>
  <si>
    <t>1,000 DE INFONAVIT QUE QUEDA A DEBER</t>
  </si>
  <si>
    <t>VC22</t>
  </si>
  <si>
    <t>VARGAS COSME SUSANA</t>
  </si>
  <si>
    <t>AUX. CONTABLE</t>
  </si>
  <si>
    <t>VEGA BARRON JOSE ANGEL</t>
  </si>
  <si>
    <t>VILLALBA ACOSTA FERN</t>
  </si>
  <si>
    <t>GERENTE GENERAL</t>
  </si>
  <si>
    <t>PASA A NOMINA SEMANAL</t>
  </si>
  <si>
    <t>FONACOT</t>
  </si>
  <si>
    <t>Uniformes</t>
  </si>
  <si>
    <t>NETO A RECIBIR EMPLEADOS</t>
  </si>
  <si>
    <t>VACACIONES PAGADAS</t>
  </si>
  <si>
    <t>FALTAS</t>
  </si>
  <si>
    <t>HORAS EXTRA</t>
  </si>
  <si>
    <t>DIA FESTIVO</t>
  </si>
  <si>
    <t>INCAPACIDAD DESCONTADA</t>
  </si>
  <si>
    <t>Periodo 4 al 4 Quincenal del 16/02/2016 al 29/02/2016</t>
  </si>
  <si>
    <t>Cedeño Hernandez JuanA</t>
  </si>
  <si>
    <t>baja</t>
  </si>
  <si>
    <t>CC</t>
  </si>
  <si>
    <t>704-070</t>
  </si>
  <si>
    <t>700-070</t>
  </si>
  <si>
    <t>703-070</t>
  </si>
  <si>
    <t>705-070</t>
  </si>
  <si>
    <t>702-070</t>
  </si>
  <si>
    <t>701-070</t>
  </si>
  <si>
    <t>QUERETARO MOTORS, SA</t>
  </si>
  <si>
    <t xml:space="preserve">REPORTE DE NOMINA SEMANA </t>
  </si>
  <si>
    <t xml:space="preserve">Periodo </t>
  </si>
  <si>
    <t>CUENTA</t>
  </si>
  <si>
    <t>IMPORTE</t>
  </si>
  <si>
    <t>683-001-001</t>
  </si>
  <si>
    <t>QIONCENA 02 FEBRERO 2016</t>
  </si>
  <si>
    <t>16/02/2016 AL 29/02/2016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</si>
</sst>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* #,##0.00_-;\-* #,##0.00_-;_-* \-??_-;_-@_-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sz val="11"/>
      <color theme="1"/>
      <name val="Calibri"/>
      <family val="2"/>
      <scheme val="minor"/>
    </font>
    <font>
      <sz val="11"/>
      <name val="Century Gothic"/>
      <family val="2"/>
    </font>
    <font>
      <b/>
      <sz val="11"/>
      <name val="Century Gothic"/>
      <family val="2"/>
    </font>
    <font>
      <sz val="10"/>
      <name val="Arial"/>
      <family val="2"/>
    </font>
    <font>
      <b/>
      <sz val="10"/>
      <name val="Calibri"/>
      <family val="2"/>
    </font>
    <font>
      <sz val="8"/>
      <name val="Arial"/>
      <family val="2"/>
    </font>
    <font>
      <sz val="11"/>
      <name val="Calibri"/>
      <family val="2"/>
      <scheme val="minor"/>
    </font>
    <font>
      <i/>
      <sz val="8"/>
      <name val="Calibri"/>
      <family val="2"/>
    </font>
    <font>
      <b/>
      <sz val="14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u val="singleAccounting"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1"/>
      <name val="Calibri"/>
      <family val="2"/>
      <scheme val="minor"/>
    </font>
    <font>
      <sz val="10"/>
      <name val="Verdana"/>
      <family val="2"/>
    </font>
    <font>
      <b/>
      <sz val="12"/>
      <color indexed="6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48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sz val="8"/>
      <color theme="0" tint="-0.249977111117893"/>
      <name val="Arial"/>
      <family val="2"/>
    </font>
    <font>
      <b/>
      <sz val="8"/>
      <color theme="0" tint="-0.249977111117893"/>
      <name val="Arial"/>
      <family val="2"/>
    </font>
    <font>
      <b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medium">
        <color indexed="64"/>
      </top>
      <bottom style="double">
        <color auto="1"/>
      </bottom>
      <diagonal/>
    </border>
  </borders>
  <cellStyleXfs count="6">
    <xf numFmtId="0" fontId="0" fillId="0" borderId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3" fillId="0" borderId="0"/>
    <xf numFmtId="0" fontId="13" fillId="0" borderId="0"/>
    <xf numFmtId="0" fontId="30" fillId="0" borderId="0"/>
  </cellStyleXfs>
  <cellXfs count="24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/>
    <xf numFmtId="0" fontId="14" fillId="0" borderId="2" xfId="0" applyFont="1" applyFill="1" applyBorder="1"/>
    <xf numFmtId="0" fontId="15" fillId="0" borderId="2" xfId="0" applyFont="1" applyFill="1" applyBorder="1"/>
    <xf numFmtId="165" fontId="14" fillId="0" borderId="2" xfId="1" applyNumberFormat="1" applyFont="1" applyFill="1" applyBorder="1" applyAlignment="1" applyProtection="1">
      <alignment horizontal="center"/>
    </xf>
    <xf numFmtId="165" fontId="14" fillId="0" borderId="3" xfId="1" applyNumberFormat="1" applyFont="1" applyFill="1" applyBorder="1" applyAlignment="1" applyProtection="1">
      <alignment horizontal="center"/>
    </xf>
    <xf numFmtId="165" fontId="14" fillId="0" borderId="5" xfId="1" applyNumberFormat="1" applyFont="1" applyFill="1" applyBorder="1" applyAlignment="1" applyProtection="1">
      <alignment horizontal="center"/>
    </xf>
    <xf numFmtId="165" fontId="14" fillId="0" borderId="2" xfId="1" applyNumberFormat="1" applyFont="1" applyFill="1" applyBorder="1" applyAlignment="1">
      <alignment horizontal="center"/>
    </xf>
    <xf numFmtId="0" fontId="14" fillId="0" borderId="5" xfId="0" applyFont="1" applyFill="1" applyBorder="1"/>
    <xf numFmtId="0" fontId="15" fillId="0" borderId="5" xfId="0" applyFont="1" applyFill="1" applyBorder="1"/>
    <xf numFmtId="165" fontId="14" fillId="0" borderId="5" xfId="1" applyNumberFormat="1" applyFont="1" applyFill="1" applyBorder="1" applyAlignment="1">
      <alignment horizontal="center"/>
    </xf>
    <xf numFmtId="165" fontId="14" fillId="0" borderId="3" xfId="1" applyNumberFormat="1" applyFont="1" applyFill="1" applyBorder="1" applyAlignment="1">
      <alignment horizontal="center"/>
    </xf>
    <xf numFmtId="165" fontId="14" fillId="0" borderId="0" xfId="1" applyNumberFormat="1" applyFont="1" applyFill="1" applyBorder="1" applyAlignment="1">
      <alignment horizontal="center"/>
    </xf>
    <xf numFmtId="165" fontId="14" fillId="0" borderId="0" xfId="1" applyNumberFormat="1" applyFont="1" applyFill="1" applyBorder="1" applyAlignment="1" applyProtection="1">
      <alignment horizontal="center"/>
    </xf>
    <xf numFmtId="165" fontId="14" fillId="0" borderId="7" xfId="1" applyNumberFormat="1" applyFont="1" applyFill="1" applyBorder="1" applyAlignment="1" applyProtection="1">
      <alignment horizontal="center"/>
    </xf>
    <xf numFmtId="165" fontId="14" fillId="0" borderId="0" xfId="1" applyNumberFormat="1" applyFont="1" applyFill="1" applyBorder="1" applyAlignment="1" applyProtection="1"/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17" fillId="0" borderId="0" xfId="0" applyNumberFormat="1" applyFont="1" applyAlignment="1">
      <alignment horizontal="centerContinuous"/>
    </xf>
    <xf numFmtId="0" fontId="19" fillId="0" borderId="0" xfId="0" applyFont="1" applyAlignment="1"/>
    <xf numFmtId="0" fontId="18" fillId="0" borderId="0" xfId="0" applyFont="1"/>
    <xf numFmtId="49" fontId="20" fillId="0" borderId="0" xfId="0" applyNumberFormat="1" applyFont="1" applyAlignment="1">
      <alignment horizontal="centerContinuous" vertical="top"/>
    </xf>
    <xf numFmtId="0" fontId="21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49" fontId="18" fillId="0" borderId="0" xfId="0" applyNumberFormat="1" applyFont="1"/>
    <xf numFmtId="0" fontId="18" fillId="0" borderId="0" xfId="0" applyFont="1" applyAlignment="1">
      <alignment horizontal="left"/>
    </xf>
    <xf numFmtId="0" fontId="23" fillId="2" borderId="1" xfId="0" applyFont="1" applyFill="1" applyBorder="1" applyAlignment="1">
      <alignment horizontal="center" vertical="center" wrapText="1"/>
    </xf>
    <xf numFmtId="164" fontId="18" fillId="0" borderId="0" xfId="0" applyNumberFormat="1" applyFont="1"/>
    <xf numFmtId="49" fontId="18" fillId="0" borderId="0" xfId="0" applyNumberFormat="1" applyFont="1" applyFill="1"/>
    <xf numFmtId="0" fontId="18" fillId="0" borderId="0" xfId="0" applyFont="1" applyFill="1"/>
    <xf numFmtId="44" fontId="18" fillId="0" borderId="0" xfId="2" applyFont="1" applyFill="1"/>
    <xf numFmtId="0" fontId="18" fillId="0" borderId="0" xfId="0" applyFont="1" applyFill="1" applyAlignment="1">
      <alignment horizontal="right"/>
    </xf>
    <xf numFmtId="0" fontId="24" fillId="0" borderId="0" xfId="0" applyFont="1" applyFill="1"/>
    <xf numFmtId="49" fontId="25" fillId="0" borderId="0" xfId="0" applyNumberFormat="1" applyFont="1" applyFill="1" applyAlignment="1">
      <alignment horizontal="left"/>
    </xf>
    <xf numFmtId="164" fontId="25" fillId="0" borderId="8" xfId="0" applyNumberFormat="1" applyFont="1" applyFill="1" applyBorder="1"/>
    <xf numFmtId="0" fontId="23" fillId="0" borderId="0" xfId="0" applyFont="1" applyFill="1"/>
    <xf numFmtId="49" fontId="23" fillId="2" borderId="1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9" fillId="0" borderId="0" xfId="0" applyFont="1" applyAlignment="1"/>
    <xf numFmtId="0" fontId="23" fillId="0" borderId="0" xfId="0" applyFont="1"/>
    <xf numFmtId="0" fontId="23" fillId="0" borderId="0" xfId="0" applyFont="1" applyAlignment="1">
      <alignment horizontal="center" vertical="center"/>
    </xf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0" fillId="0" borderId="0" xfId="0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2" borderId="1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164" fontId="2" fillId="0" borderId="0" xfId="0" applyNumberFormat="1" applyFont="1"/>
    <xf numFmtId="164" fontId="12" fillId="0" borderId="0" xfId="0" applyNumberFormat="1" applyFont="1"/>
    <xf numFmtId="49" fontId="2" fillId="0" borderId="0" xfId="0" applyNumberFormat="1" applyFont="1" applyAlignment="1">
      <alignment horizontal="right"/>
    </xf>
    <xf numFmtId="0" fontId="9" fillId="0" borderId="0" xfId="0" applyFont="1"/>
    <xf numFmtId="164" fontId="9" fillId="0" borderId="0" xfId="0" applyNumberFormat="1" applyFont="1"/>
    <xf numFmtId="49" fontId="9" fillId="0" borderId="0" xfId="0" applyNumberFormat="1" applyFont="1" applyAlignment="1">
      <alignment horizontal="left"/>
    </xf>
    <xf numFmtId="49" fontId="9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3" fillId="2" borderId="9" xfId="0" applyFont="1" applyFill="1" applyBorder="1" applyAlignment="1">
      <alignment horizontal="center" vertical="center" wrapText="1"/>
    </xf>
    <xf numFmtId="44" fontId="18" fillId="0" borderId="0" xfId="0" applyNumberFormat="1" applyFont="1" applyFill="1"/>
    <xf numFmtId="49" fontId="2" fillId="0" borderId="0" xfId="0" applyNumberFormat="1" applyFont="1" applyFill="1"/>
    <xf numFmtId="0" fontId="2" fillId="0" borderId="0" xfId="0" applyFont="1" applyFill="1"/>
    <xf numFmtId="164" fontId="2" fillId="0" borderId="0" xfId="0" applyNumberFormat="1" applyFont="1" applyFill="1"/>
    <xf numFmtId="164" fontId="12" fillId="0" borderId="0" xfId="0" applyNumberFormat="1" applyFont="1" applyFill="1"/>
    <xf numFmtId="49" fontId="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right"/>
    </xf>
    <xf numFmtId="164" fontId="18" fillId="0" borderId="0" xfId="0" applyNumberFormat="1" applyFont="1" applyFill="1"/>
    <xf numFmtId="0" fontId="7" fillId="0" borderId="0" xfId="0" applyFont="1" applyAlignment="1"/>
    <xf numFmtId="49" fontId="2" fillId="5" borderId="0" xfId="0" applyNumberFormat="1" applyFont="1" applyFill="1"/>
    <xf numFmtId="0" fontId="0" fillId="0" borderId="0" xfId="0"/>
    <xf numFmtId="0" fontId="2" fillId="5" borderId="0" xfId="0" applyFont="1" applyFill="1"/>
    <xf numFmtId="164" fontId="2" fillId="5" borderId="0" xfId="0" applyNumberFormat="1" applyFont="1" applyFill="1"/>
    <xf numFmtId="44" fontId="18" fillId="5" borderId="0" xfId="2" applyFont="1" applyFill="1"/>
    <xf numFmtId="43" fontId="18" fillId="0" borderId="0" xfId="1" applyFont="1" applyFill="1"/>
    <xf numFmtId="0" fontId="18" fillId="5" borderId="0" xfId="0" applyFont="1" applyFill="1"/>
    <xf numFmtId="0" fontId="23" fillId="5" borderId="0" xfId="0" applyFont="1" applyFill="1"/>
    <xf numFmtId="0" fontId="14" fillId="5" borderId="2" xfId="0" applyFont="1" applyFill="1" applyBorder="1"/>
    <xf numFmtId="0" fontId="15" fillId="5" borderId="2" xfId="0" applyFont="1" applyFill="1" applyBorder="1"/>
    <xf numFmtId="165" fontId="14" fillId="5" borderId="2" xfId="1" applyNumberFormat="1" applyFont="1" applyFill="1" applyBorder="1" applyAlignment="1" applyProtection="1">
      <alignment horizontal="center"/>
    </xf>
    <xf numFmtId="165" fontId="14" fillId="5" borderId="0" xfId="1" applyNumberFormat="1" applyFont="1" applyFill="1" applyBorder="1" applyAlignment="1" applyProtection="1">
      <alignment horizontal="center"/>
    </xf>
    <xf numFmtId="165" fontId="14" fillId="5" borderId="0" xfId="1" applyNumberFormat="1" applyFont="1" applyFill="1" applyBorder="1" applyAlignment="1">
      <alignment horizontal="center"/>
    </xf>
    <xf numFmtId="164" fontId="12" fillId="5" borderId="0" xfId="0" applyNumberFormat="1" applyFont="1" applyFill="1"/>
    <xf numFmtId="44" fontId="18" fillId="5" borderId="0" xfId="0" applyNumberFormat="1" applyFont="1" applyFill="1"/>
    <xf numFmtId="43" fontId="18" fillId="5" borderId="0" xfId="1" applyFont="1" applyFill="1"/>
    <xf numFmtId="0" fontId="15" fillId="5" borderId="4" xfId="0" applyFont="1" applyFill="1" applyBorder="1"/>
    <xf numFmtId="165" fontId="14" fillId="5" borderId="5" xfId="1" applyNumberFormat="1" applyFont="1" applyFill="1" applyBorder="1" applyAlignment="1" applyProtection="1">
      <alignment horizontal="center"/>
    </xf>
    <xf numFmtId="49" fontId="2" fillId="3" borderId="0" xfId="0" applyNumberFormat="1" applyFont="1" applyFill="1"/>
    <xf numFmtId="0" fontId="2" fillId="3" borderId="0" xfId="0" applyFont="1" applyFill="1"/>
    <xf numFmtId="164" fontId="2" fillId="3" borderId="0" xfId="0" applyNumberFormat="1" applyFont="1" applyFill="1"/>
    <xf numFmtId="44" fontId="18" fillId="3" borderId="0" xfId="2" applyFont="1" applyFill="1"/>
    <xf numFmtId="40" fontId="18" fillId="0" borderId="0" xfId="0" applyNumberFormat="1" applyFont="1"/>
    <xf numFmtId="40" fontId="18" fillId="0" borderId="0" xfId="0" applyNumberFormat="1" applyFont="1" applyAlignment="1">
      <alignment horizontal="center" vertical="center"/>
    </xf>
    <xf numFmtId="40" fontId="18" fillId="0" borderId="0" xfId="0" applyNumberFormat="1" applyFont="1" applyFill="1"/>
    <xf numFmtId="40" fontId="24" fillId="0" borderId="0" xfId="0" applyNumberFormat="1" applyFont="1" applyFill="1"/>
    <xf numFmtId="0" fontId="18" fillId="6" borderId="0" xfId="0" applyFont="1" applyFill="1"/>
    <xf numFmtId="40" fontId="18" fillId="6" borderId="0" xfId="0" applyNumberFormat="1" applyFont="1" applyFill="1"/>
    <xf numFmtId="164" fontId="25" fillId="0" borderId="0" xfId="0" applyNumberFormat="1" applyFont="1" applyFill="1" applyBorder="1"/>
    <xf numFmtId="0" fontId="2" fillId="0" borderId="0" xfId="0" applyFont="1"/>
    <xf numFmtId="164" fontId="2" fillId="0" borderId="0" xfId="0" applyNumberFormat="1" applyFont="1"/>
    <xf numFmtId="44" fontId="29" fillId="0" borderId="0" xfId="0" applyNumberFormat="1" applyFont="1"/>
    <xf numFmtId="0" fontId="19" fillId="0" borderId="0" xfId="0" applyFont="1" applyAlignment="1"/>
    <xf numFmtId="44" fontId="18" fillId="0" borderId="0" xfId="0" applyNumberFormat="1" applyFont="1"/>
    <xf numFmtId="0" fontId="31" fillId="0" borderId="0" xfId="5" applyFont="1" applyFill="1" applyAlignment="1" applyProtection="1">
      <alignment horizontal="left"/>
    </xf>
    <xf numFmtId="0" fontId="31" fillId="0" borderId="0" xfId="5" applyFont="1" applyFill="1" applyAlignment="1" applyProtection="1">
      <alignment horizontal="center"/>
    </xf>
    <xf numFmtId="43" fontId="32" fillId="0" borderId="0" xfId="1" applyFont="1" applyFill="1" applyAlignment="1" applyProtection="1">
      <alignment horizontal="center"/>
    </xf>
    <xf numFmtId="43" fontId="33" fillId="0" borderId="0" xfId="1" applyFont="1" applyFill="1" applyAlignment="1" applyProtection="1">
      <alignment horizontal="center"/>
    </xf>
    <xf numFmtId="0" fontId="32" fillId="0" borderId="0" xfId="0" applyFont="1" applyFill="1" applyProtection="1"/>
    <xf numFmtId="0" fontId="32" fillId="0" borderId="0" xfId="0" applyFont="1" applyProtection="1"/>
    <xf numFmtId="43" fontId="16" fillId="0" borderId="0" xfId="1" applyFont="1" applyProtection="1"/>
    <xf numFmtId="0" fontId="34" fillId="0" borderId="0" xfId="5" applyFont="1" applyFill="1" applyAlignment="1" applyProtection="1">
      <alignment horizontal="left"/>
    </xf>
    <xf numFmtId="0" fontId="34" fillId="0" borderId="0" xfId="5" applyFont="1" applyFill="1" applyAlignment="1" applyProtection="1">
      <alignment horizontal="center"/>
    </xf>
    <xf numFmtId="15" fontId="31" fillId="0" borderId="0" xfId="5" applyNumberFormat="1" applyFont="1" applyFill="1" applyAlignment="1" applyProtection="1">
      <alignment horizontal="left"/>
    </xf>
    <xf numFmtId="15" fontId="31" fillId="0" borderId="0" xfId="5" applyNumberFormat="1" applyFont="1" applyFill="1" applyAlignment="1" applyProtection="1">
      <alignment horizontal="center"/>
    </xf>
    <xf numFmtId="0" fontId="33" fillId="0" borderId="0" xfId="0" applyFont="1"/>
    <xf numFmtId="43" fontId="32" fillId="0" borderId="0" xfId="1" applyFont="1"/>
    <xf numFmtId="43" fontId="33" fillId="0" borderId="0" xfId="1" applyFont="1"/>
    <xf numFmtId="43" fontId="16" fillId="0" borderId="0" xfId="1" applyFont="1"/>
    <xf numFmtId="43" fontId="33" fillId="7" borderId="10" xfId="1" applyFont="1" applyFill="1" applyBorder="1" applyAlignment="1">
      <alignment horizontal="center" wrapText="1"/>
    </xf>
    <xf numFmtId="0" fontId="33" fillId="0" borderId="0" xfId="0" applyFont="1" applyFill="1"/>
    <xf numFmtId="0" fontId="0" fillId="0" borderId="10" xfId="0" applyBorder="1"/>
    <xf numFmtId="0" fontId="32" fillId="0" borderId="10" xfId="0" applyFont="1" applyBorder="1" applyAlignment="1">
      <alignment horizontal="right"/>
    </xf>
    <xf numFmtId="0" fontId="32" fillId="8" borderId="10" xfId="0" applyFont="1" applyFill="1" applyBorder="1"/>
    <xf numFmtId="43" fontId="32" fillId="0" borderId="10" xfId="1" applyFont="1" applyBorder="1"/>
    <xf numFmtId="43" fontId="32" fillId="8" borderId="10" xfId="1" applyFont="1" applyFill="1" applyBorder="1"/>
    <xf numFmtId="43" fontId="35" fillId="8" borderId="10" xfId="1" applyFont="1" applyFill="1" applyBorder="1"/>
    <xf numFmtId="43" fontId="33" fillId="9" borderId="10" xfId="1" applyFont="1" applyFill="1" applyBorder="1"/>
    <xf numFmtId="43" fontId="32" fillId="10" borderId="10" xfId="1" applyFont="1" applyFill="1" applyBorder="1"/>
    <xf numFmtId="43" fontId="32" fillId="11" borderId="10" xfId="1" applyFont="1" applyFill="1" applyBorder="1" applyAlignment="1">
      <alignment horizontal="center"/>
    </xf>
    <xf numFmtId="43" fontId="0" fillId="0" borderId="10" xfId="1" applyFont="1" applyBorder="1"/>
    <xf numFmtId="43" fontId="32" fillId="0" borderId="10" xfId="1" applyFont="1" applyFill="1" applyBorder="1" applyAlignment="1">
      <alignment horizontal="center"/>
    </xf>
    <xf numFmtId="43" fontId="32" fillId="6" borderId="10" xfId="1" applyFont="1" applyFill="1" applyBorder="1" applyAlignment="1">
      <alignment horizontal="center"/>
    </xf>
    <xf numFmtId="43" fontId="16" fillId="0" borderId="0" xfId="1" applyFont="1" applyFill="1"/>
    <xf numFmtId="43" fontId="32" fillId="0" borderId="0" xfId="0" applyNumberFormat="1" applyFont="1" applyFill="1"/>
    <xf numFmtId="0" fontId="32" fillId="0" borderId="0" xfId="0" applyFont="1" applyFill="1"/>
    <xf numFmtId="0" fontId="32" fillId="0" borderId="10" xfId="0" applyFont="1" applyBorder="1"/>
    <xf numFmtId="0" fontId="33" fillId="3" borderId="0" xfId="0" applyFont="1" applyFill="1"/>
    <xf numFmtId="0" fontId="32" fillId="3" borderId="0" xfId="0" applyFont="1" applyFill="1"/>
    <xf numFmtId="4" fontId="0" fillId="0" borderId="10" xfId="0" applyNumberFormat="1" applyBorder="1"/>
    <xf numFmtId="12" fontId="32" fillId="8" borderId="10" xfId="1" applyNumberFormat="1" applyFont="1" applyFill="1" applyBorder="1"/>
    <xf numFmtId="0" fontId="33" fillId="0" borderId="10" xfId="0" applyFont="1" applyFill="1" applyBorder="1"/>
    <xf numFmtId="0" fontId="33" fillId="0" borderId="11" xfId="0" applyFont="1" applyFill="1" applyBorder="1"/>
    <xf numFmtId="0" fontId="32" fillId="0" borderId="11" xfId="0" applyFont="1" applyFill="1" applyBorder="1"/>
    <xf numFmtId="43" fontId="32" fillId="0" borderId="11" xfId="1" applyFont="1" applyFill="1" applyBorder="1"/>
    <xf numFmtId="43" fontId="33" fillId="0" borderId="10" xfId="1" applyFont="1" applyFill="1" applyBorder="1"/>
    <xf numFmtId="43" fontId="33" fillId="0" borderId="11" xfId="1" applyFont="1" applyFill="1" applyBorder="1"/>
    <xf numFmtId="0" fontId="32" fillId="0" borderId="0" xfId="0" applyFont="1"/>
    <xf numFmtId="0" fontId="36" fillId="0" borderId="0" xfId="0" applyFont="1"/>
    <xf numFmtId="0" fontId="18" fillId="3" borderId="0" xfId="0" applyFont="1" applyFill="1"/>
    <xf numFmtId="0" fontId="23" fillId="3" borderId="0" xfId="0" applyFont="1" applyFill="1"/>
    <xf numFmtId="0" fontId="14" fillId="3" borderId="3" xfId="0" applyFont="1" applyFill="1" applyBorder="1"/>
    <xf numFmtId="0" fontId="15" fillId="3" borderId="3" xfId="0" applyFont="1" applyFill="1" applyBorder="1"/>
    <xf numFmtId="165" fontId="14" fillId="3" borderId="3" xfId="1" applyNumberFormat="1" applyFont="1" applyFill="1" applyBorder="1" applyAlignment="1" applyProtection="1">
      <alignment horizontal="center"/>
    </xf>
    <xf numFmtId="165" fontId="14" fillId="3" borderId="0" xfId="1" applyNumberFormat="1" applyFont="1" applyFill="1" applyBorder="1" applyAlignment="1">
      <alignment horizontal="center"/>
    </xf>
    <xf numFmtId="164" fontId="12" fillId="3" borderId="0" xfId="0" applyNumberFormat="1" applyFont="1" applyFill="1"/>
    <xf numFmtId="44" fontId="18" fillId="3" borderId="0" xfId="0" applyNumberFormat="1" applyFont="1" applyFill="1"/>
    <xf numFmtId="43" fontId="18" fillId="3" borderId="0" xfId="1" applyFont="1" applyFill="1"/>
    <xf numFmtId="40" fontId="18" fillId="3" borderId="0" xfId="0" applyNumberFormat="1" applyFont="1" applyFill="1"/>
    <xf numFmtId="0" fontId="0" fillId="3" borderId="10" xfId="0" applyFill="1" applyBorder="1"/>
    <xf numFmtId="0" fontId="32" fillId="3" borderId="10" xfId="0" applyFont="1" applyFill="1" applyBorder="1"/>
    <xf numFmtId="43" fontId="32" fillId="3" borderId="10" xfId="1" applyFont="1" applyFill="1" applyBorder="1"/>
    <xf numFmtId="43" fontId="35" fillId="3" borderId="10" xfId="1" applyFont="1" applyFill="1" applyBorder="1"/>
    <xf numFmtId="43" fontId="33" fillId="3" borderId="10" xfId="1" applyFont="1" applyFill="1" applyBorder="1"/>
    <xf numFmtId="43" fontId="32" fillId="3" borderId="10" xfId="1" applyFont="1" applyFill="1" applyBorder="1" applyAlignment="1">
      <alignment horizontal="center"/>
    </xf>
    <xf numFmtId="43" fontId="0" fillId="3" borderId="10" xfId="1" applyFont="1" applyFill="1" applyBorder="1"/>
    <xf numFmtId="43" fontId="16" fillId="3" borderId="0" xfId="1" applyFont="1" applyFill="1"/>
    <xf numFmtId="43" fontId="32" fillId="3" borderId="0" xfId="0" applyNumberFormat="1" applyFont="1" applyFill="1"/>
    <xf numFmtId="0" fontId="32" fillId="3" borderId="10" xfId="0" applyFont="1" applyFill="1" applyBorder="1" applyAlignment="1">
      <alignment horizontal="right"/>
    </xf>
    <xf numFmtId="0" fontId="14" fillId="3" borderId="2" xfId="0" applyFont="1" applyFill="1" applyBorder="1"/>
    <xf numFmtId="0" fontId="15" fillId="3" borderId="2" xfId="0" applyFont="1" applyFill="1" applyBorder="1"/>
    <xf numFmtId="165" fontId="14" fillId="3" borderId="2" xfId="1" applyNumberFormat="1" applyFont="1" applyFill="1" applyBorder="1" applyAlignment="1" applyProtection="1">
      <alignment horizontal="center"/>
    </xf>
    <xf numFmtId="165" fontId="14" fillId="3" borderId="0" xfId="1" applyNumberFormat="1" applyFont="1" applyFill="1" applyBorder="1" applyAlignment="1" applyProtection="1">
      <alignment horizontal="center"/>
    </xf>
    <xf numFmtId="165" fontId="14" fillId="3" borderId="3" xfId="1" applyNumberFormat="1" applyFont="1" applyFill="1" applyBorder="1" applyAlignment="1">
      <alignment horizontal="center"/>
    </xf>
    <xf numFmtId="4" fontId="0" fillId="3" borderId="10" xfId="0" applyNumberFormat="1" applyFill="1" applyBorder="1"/>
    <xf numFmtId="0" fontId="14" fillId="3" borderId="5" xfId="0" applyFont="1" applyFill="1" applyBorder="1"/>
    <xf numFmtId="0" fontId="15" fillId="3" borderId="5" xfId="0" applyFont="1" applyFill="1" applyBorder="1"/>
    <xf numFmtId="165" fontId="14" fillId="3" borderId="5" xfId="1" applyNumberFormat="1" applyFont="1" applyFill="1" applyBorder="1" applyAlignment="1" applyProtection="1">
      <alignment horizontal="center" vertical="center"/>
    </xf>
    <xf numFmtId="165" fontId="14" fillId="3" borderId="5" xfId="1" applyNumberFormat="1" applyFont="1" applyFill="1" applyBorder="1" applyAlignment="1" applyProtection="1">
      <alignment horizontal="center"/>
    </xf>
    <xf numFmtId="0" fontId="14" fillId="3" borderId="6" xfId="0" applyFont="1" applyFill="1" applyBorder="1"/>
    <xf numFmtId="0" fontId="15" fillId="3" borderId="6" xfId="0" applyFont="1" applyFill="1" applyBorder="1"/>
    <xf numFmtId="165" fontId="14" fillId="3" borderId="6" xfId="1" applyNumberFormat="1" applyFont="1" applyFill="1" applyBorder="1" applyAlignment="1" applyProtection="1">
      <alignment horizontal="center"/>
    </xf>
    <xf numFmtId="165" fontId="14" fillId="3" borderId="2" xfId="1" applyNumberFormat="1" applyFont="1" applyFill="1" applyBorder="1" applyAlignment="1">
      <alignment horizontal="center"/>
    </xf>
    <xf numFmtId="165" fontId="14" fillId="3" borderId="0" xfId="1" applyNumberFormat="1" applyFont="1" applyFill="1" applyBorder="1" applyAlignment="1" applyProtection="1"/>
    <xf numFmtId="165" fontId="14" fillId="3" borderId="5" xfId="1" applyNumberFormat="1" applyFont="1" applyFill="1" applyBorder="1" applyAlignment="1">
      <alignment horizontal="center"/>
    </xf>
    <xf numFmtId="0" fontId="18" fillId="3" borderId="0" xfId="0" applyFont="1" applyFill="1" applyAlignment="1">
      <alignment horizontal="right"/>
    </xf>
    <xf numFmtId="0" fontId="24" fillId="3" borderId="0" xfId="0" applyFont="1" applyFill="1"/>
    <xf numFmtId="44" fontId="32" fillId="0" borderId="0" xfId="0" applyNumberFormat="1" applyFont="1" applyFill="1"/>
    <xf numFmtId="0" fontId="23" fillId="12" borderId="1" xfId="0" applyFont="1" applyFill="1" applyBorder="1" applyAlignment="1">
      <alignment horizontal="center" vertical="center" wrapText="1"/>
    </xf>
    <xf numFmtId="44" fontId="18" fillId="12" borderId="0" xfId="2" applyFont="1" applyFill="1"/>
    <xf numFmtId="164" fontId="25" fillId="12" borderId="8" xfId="0" applyNumberFormat="1" applyFont="1" applyFill="1" applyBorder="1"/>
    <xf numFmtId="164" fontId="23" fillId="0" borderId="0" xfId="0" applyNumberFormat="1" applyFont="1" applyFill="1"/>
    <xf numFmtId="43" fontId="32" fillId="0" borderId="0" xfId="1" applyFont="1" applyProtection="1"/>
    <xf numFmtId="43" fontId="33" fillId="0" borderId="0" xfId="1" applyFont="1" applyFill="1"/>
    <xf numFmtId="43" fontId="32" fillId="0" borderId="0" xfId="1" applyFont="1" applyFill="1"/>
    <xf numFmtId="43" fontId="37" fillId="0" borderId="0" xfId="1" applyFont="1" applyFill="1"/>
    <xf numFmtId="43" fontId="38" fillId="0" borderId="0" xfId="1" applyFont="1" applyFill="1"/>
    <xf numFmtId="0" fontId="0" fillId="0" borderId="10" xfId="0" applyFill="1" applyBorder="1"/>
    <xf numFmtId="0" fontId="32" fillId="0" borderId="10" xfId="0" applyFont="1" applyFill="1" applyBorder="1"/>
    <xf numFmtId="43" fontId="32" fillId="0" borderId="10" xfId="1" applyFont="1" applyFill="1" applyBorder="1"/>
    <xf numFmtId="43" fontId="35" fillId="0" borderId="10" xfId="1" applyFont="1" applyFill="1" applyBorder="1"/>
    <xf numFmtId="43" fontId="0" fillId="0" borderId="10" xfId="1" applyFont="1" applyFill="1" applyBorder="1"/>
    <xf numFmtId="0" fontId="32" fillId="0" borderId="10" xfId="0" applyFont="1" applyFill="1" applyBorder="1" applyAlignment="1">
      <alignment horizontal="right"/>
    </xf>
    <xf numFmtId="0" fontId="0" fillId="0" borderId="10" xfId="0" applyFont="1" applyFill="1" applyBorder="1"/>
    <xf numFmtId="0" fontId="2" fillId="0" borderId="0" xfId="0" applyFont="1"/>
    <xf numFmtId="49" fontId="2" fillId="0" borderId="0" xfId="0" applyNumberFormat="1" applyFont="1"/>
    <xf numFmtId="0" fontId="0" fillId="0" borderId="0" xfId="0" applyAlignment="1"/>
    <xf numFmtId="164" fontId="2" fillId="0" borderId="0" xfId="0" applyNumberFormat="1" applyFont="1"/>
    <xf numFmtId="164" fontId="12" fillId="0" borderId="0" xfId="0" applyNumberFormat="1" applyFont="1"/>
    <xf numFmtId="44" fontId="26" fillId="0" borderId="0" xfId="2" applyFont="1" applyFill="1"/>
    <xf numFmtId="164" fontId="37" fillId="0" borderId="0" xfId="1" applyNumberFormat="1" applyFont="1" applyFill="1"/>
    <xf numFmtId="164" fontId="18" fillId="0" borderId="0" xfId="2" applyNumberFormat="1" applyFont="1" applyFill="1"/>
    <xf numFmtId="3" fontId="33" fillId="7" borderId="10" xfId="0" applyNumberFormat="1" applyFont="1" applyFill="1" applyBorder="1"/>
    <xf numFmtId="3" fontId="33" fillId="7" borderId="11" xfId="0" applyNumberFormat="1" applyFont="1" applyFill="1" applyBorder="1" applyAlignment="1">
      <alignment horizontal="center"/>
    </xf>
    <xf numFmtId="43" fontId="33" fillId="7" borderId="10" xfId="1" applyFont="1" applyFill="1" applyBorder="1" applyAlignment="1">
      <alignment horizontal="center" wrapText="1"/>
    </xf>
    <xf numFmtId="43" fontId="33" fillId="7" borderId="11" xfId="1" applyFont="1" applyFill="1" applyBorder="1" applyAlignment="1">
      <alignment horizontal="center" wrapText="1"/>
    </xf>
    <xf numFmtId="43" fontId="16" fillId="7" borderId="12" xfId="1" applyFont="1" applyFill="1" applyBorder="1" applyAlignment="1">
      <alignment horizontal="center" wrapText="1"/>
    </xf>
    <xf numFmtId="43" fontId="16" fillId="7" borderId="13" xfId="1" applyFont="1" applyFill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0" fillId="0" borderId="0" xfId="0" applyAlignment="1"/>
    <xf numFmtId="0" fontId="23" fillId="4" borderId="0" xfId="0" applyFont="1" applyFill="1" applyBorder="1" applyAlignment="1">
      <alignment horizontal="center"/>
    </xf>
    <xf numFmtId="0" fontId="23" fillId="4" borderId="14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/>
    <xf numFmtId="0" fontId="2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/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15" xfId="0" applyBorder="1"/>
    <xf numFmtId="14" fontId="0" fillId="0" borderId="15" xfId="0" applyNumberFormat="1" applyBorder="1"/>
    <xf numFmtId="0" fontId="39" fillId="0" borderId="15" xfId="0" applyFont="1" applyBorder="1" applyAlignment="1">
      <alignment horizontal="center"/>
    </xf>
    <xf numFmtId="43" fontId="0" fillId="0" borderId="15" xfId="1" applyFont="1" applyBorder="1"/>
    <xf numFmtId="43" fontId="0" fillId="0" borderId="16" xfId="1" applyFont="1" applyBorder="1"/>
    <xf numFmtId="43" fontId="0" fillId="0" borderId="17" xfId="1" applyFont="1" applyBorder="1"/>
    <xf numFmtId="43" fontId="39" fillId="0" borderId="18" xfId="1" applyFont="1" applyBorder="1"/>
  </cellXfs>
  <cellStyles count="6">
    <cellStyle name="Millares" xfId="1" builtinId="3"/>
    <cellStyle name="Moneda" xfId="2" builtinId="4"/>
    <cellStyle name="Normal" xfId="0" builtinId="0"/>
    <cellStyle name="Normal 2" xfId="4"/>
    <cellStyle name="Normal 4" xfId="3"/>
    <cellStyle name="Normal_Hoja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R71"/>
  <sheetViews>
    <sheetView workbookViewId="0">
      <pane xSplit="2" ySplit="8" topLeftCell="I63" activePane="bottomRight" state="frozen"/>
      <selection pane="topRight" activeCell="C1" sqref="C1"/>
      <selection pane="bottomLeft" activeCell="A13" sqref="A13"/>
      <selection pane="bottomRight" activeCell="W24" sqref="W24"/>
    </sheetView>
  </sheetViews>
  <sheetFormatPr baseColWidth="10" defaultRowHeight="15.75" x14ac:dyDescent="0.25"/>
  <cols>
    <col min="1" max="1" width="12.28515625" style="29" customWidth="1"/>
    <col min="2" max="2" width="30.7109375" style="25" customWidth="1"/>
    <col min="3" max="3" width="13" style="25" bestFit="1" customWidth="1"/>
    <col min="4" max="4" width="13" style="25" customWidth="1"/>
    <col min="5" max="5" width="11.28515625" style="25" bestFit="1" customWidth="1"/>
    <col min="6" max="6" width="10.140625" style="25" bestFit="1" customWidth="1"/>
    <col min="7" max="7" width="11.28515625" style="25" bestFit="1" customWidth="1"/>
    <col min="8" max="8" width="10.140625" style="25" customWidth="1"/>
    <col min="9" max="9" width="10.42578125" style="25" bestFit="1" customWidth="1"/>
    <col min="10" max="10" width="11.5703125" style="34" bestFit="1" customWidth="1"/>
    <col min="11" max="11" width="8.42578125" style="25" bestFit="1" customWidth="1"/>
    <col min="12" max="12" width="6.85546875" style="25" bestFit="1" customWidth="1"/>
    <col min="13" max="13" width="11.28515625" style="25" bestFit="1" customWidth="1"/>
    <col min="14" max="14" width="10.140625" style="25" bestFit="1" customWidth="1"/>
    <col min="15" max="15" width="8.42578125" style="25" bestFit="1" customWidth="1"/>
    <col min="16" max="16" width="11.28515625" style="25" bestFit="1" customWidth="1"/>
    <col min="17" max="17" width="11.28515625" style="25" customWidth="1"/>
    <col min="18" max="18" width="12.85546875" style="25" bestFit="1" customWidth="1"/>
    <col min="19" max="19" width="13.5703125" style="25" bestFit="1" customWidth="1"/>
    <col min="20" max="23" width="13" style="25" bestFit="1" customWidth="1"/>
    <col min="24" max="24" width="12.28515625" style="25" customWidth="1"/>
    <col min="25" max="25" width="45.85546875" style="45" hidden="1" customWidth="1"/>
    <col min="26" max="26" width="29" style="25" hidden="1" customWidth="1"/>
    <col min="27" max="27" width="24.85546875" style="25" hidden="1" customWidth="1"/>
    <col min="28" max="28" width="34.28515625" style="25" hidden="1" customWidth="1"/>
    <col min="29" max="29" width="12.5703125" style="25" hidden="1" customWidth="1"/>
    <col min="30" max="30" width="11.5703125" style="34" hidden="1" customWidth="1"/>
    <col min="31" max="31" width="11.5703125" style="25" hidden="1" customWidth="1"/>
    <col min="32" max="33" width="11.42578125" style="25" hidden="1" customWidth="1"/>
    <col min="34" max="34" width="26.5703125" style="25" hidden="1" customWidth="1"/>
    <col min="35" max="56" width="11.42578125" style="25" hidden="1" customWidth="1"/>
    <col min="57" max="57" width="11.28515625" style="25" hidden="1" customWidth="1"/>
    <col min="58" max="61" width="11.42578125" style="25" hidden="1" customWidth="1"/>
    <col min="62" max="65" width="0" style="25" hidden="1" customWidth="1"/>
    <col min="66" max="68" width="11.42578125" style="25" hidden="1" customWidth="1"/>
    <col min="69" max="69" width="11.42578125" style="100" hidden="1" customWidth="1"/>
    <col min="70" max="75" width="11.42578125" style="25" hidden="1" customWidth="1"/>
    <col min="76" max="76" width="11.42578125" style="25" customWidth="1"/>
    <col min="77" max="86" width="0.140625" style="155" hidden="1" customWidth="1"/>
    <col min="87" max="91" width="0.140625" style="124" hidden="1" customWidth="1"/>
    <col min="92" max="92" width="0.140625" style="125" hidden="1" customWidth="1"/>
    <col min="93" max="98" width="0.140625" style="124" hidden="1" customWidth="1"/>
    <col min="99" max="99" width="0.140625" style="125" hidden="1" customWidth="1"/>
    <col min="100" max="100" width="0.140625" style="124" hidden="1" customWidth="1"/>
    <col min="101" max="101" width="0.140625" style="125" hidden="1" customWidth="1"/>
    <col min="102" max="103" width="0.140625" style="124" hidden="1" customWidth="1"/>
    <col min="104" max="104" width="0.140625" style="125" hidden="1" customWidth="1"/>
    <col min="105" max="106" width="0.140625" style="155" hidden="1" customWidth="1"/>
    <col min="107" max="108" width="0.140625" style="126" hidden="1" customWidth="1"/>
    <col min="109" max="114" width="0.140625" style="155" hidden="1" customWidth="1"/>
    <col min="115" max="115" width="0.140625" style="124" hidden="1" customWidth="1"/>
    <col min="116" max="119" width="0.140625" style="155" hidden="1" customWidth="1"/>
    <col min="120" max="122" width="0.140625" style="25" hidden="1" customWidth="1"/>
    <col min="123" max="16384" width="11.42578125" style="34"/>
  </cols>
  <sheetData>
    <row r="1" spans="1:122" ht="18" customHeight="1" x14ac:dyDescent="0.25">
      <c r="A1" s="23" t="s">
        <v>0</v>
      </c>
      <c r="B1" s="230" t="s">
        <v>19</v>
      </c>
      <c r="C1" s="231"/>
      <c r="D1" s="24"/>
      <c r="E1" s="24"/>
      <c r="F1" s="110"/>
      <c r="G1" s="110"/>
      <c r="H1" s="110"/>
      <c r="I1" s="110"/>
      <c r="J1" s="110"/>
      <c r="K1" s="110"/>
      <c r="L1" s="24"/>
      <c r="M1" s="110"/>
      <c r="N1" s="110"/>
      <c r="O1" s="110"/>
      <c r="P1" s="44"/>
      <c r="Q1" s="110"/>
      <c r="R1" s="110"/>
      <c r="AG1" s="50" t="s">
        <v>0</v>
      </c>
      <c r="AH1" s="233" t="s">
        <v>19</v>
      </c>
      <c r="AI1" s="234"/>
      <c r="AJ1" s="234"/>
      <c r="AK1" s="234"/>
      <c r="AL1" s="234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DO1" s="117"/>
    </row>
    <row r="2" spans="1:122" ht="24.95" customHeight="1" x14ac:dyDescent="0.25">
      <c r="A2" s="26" t="s">
        <v>1</v>
      </c>
      <c r="B2" s="27" t="s">
        <v>298</v>
      </c>
      <c r="C2" s="28"/>
      <c r="D2" s="28"/>
      <c r="E2" s="28"/>
      <c r="F2" s="28"/>
      <c r="G2" s="28"/>
      <c r="H2" s="28"/>
      <c r="I2" s="28"/>
      <c r="J2" s="110"/>
      <c r="K2" s="28"/>
      <c r="L2" s="28"/>
      <c r="M2" s="28"/>
      <c r="N2" s="28"/>
      <c r="O2" s="28"/>
      <c r="P2" s="28"/>
      <c r="Q2" s="28"/>
      <c r="R2" s="28"/>
      <c r="AG2" s="51" t="s">
        <v>1</v>
      </c>
      <c r="AH2" s="235" t="s">
        <v>279</v>
      </c>
      <c r="AI2" s="236"/>
      <c r="AJ2" s="236"/>
      <c r="AK2" s="236"/>
      <c r="AL2" s="236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DO2" s="117"/>
    </row>
    <row r="3" spans="1:122" x14ac:dyDescent="0.25">
      <c r="B3" s="232" t="s">
        <v>2</v>
      </c>
      <c r="C3" s="231"/>
      <c r="D3" s="24"/>
      <c r="E3" s="24"/>
      <c r="F3" s="110"/>
      <c r="G3" s="110"/>
      <c r="H3" s="110"/>
      <c r="I3" s="110"/>
      <c r="J3" s="110"/>
      <c r="K3" s="110"/>
      <c r="L3" s="24"/>
      <c r="M3" s="110"/>
      <c r="N3" s="110"/>
      <c r="O3" s="110"/>
      <c r="P3" s="44"/>
      <c r="Q3" s="110"/>
      <c r="R3" s="110"/>
      <c r="AG3" s="47"/>
      <c r="AH3" s="237" t="s">
        <v>2</v>
      </c>
      <c r="AI3" s="227"/>
      <c r="AJ3" s="227"/>
      <c r="AK3" s="227"/>
      <c r="AL3" s="227"/>
      <c r="AM3" s="54" t="s">
        <v>284</v>
      </c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DO3" s="117"/>
    </row>
    <row r="4" spans="1:122" x14ac:dyDescent="0.25">
      <c r="B4" s="6" t="s">
        <v>451</v>
      </c>
      <c r="C4" s="214"/>
      <c r="D4" s="24"/>
      <c r="E4" s="24"/>
      <c r="F4" s="110"/>
      <c r="G4" s="110"/>
      <c r="H4" s="110"/>
      <c r="I4" s="110"/>
      <c r="J4" s="110"/>
      <c r="K4" s="110"/>
      <c r="L4" s="24"/>
      <c r="M4" s="110"/>
      <c r="N4" s="110"/>
      <c r="O4" s="110"/>
      <c r="P4" s="44"/>
      <c r="Q4" s="110"/>
      <c r="R4" s="110"/>
      <c r="AG4" s="47"/>
      <c r="AH4" s="226" t="s">
        <v>280</v>
      </c>
      <c r="AI4" s="227"/>
      <c r="AJ4" s="227"/>
      <c r="AK4" s="227"/>
      <c r="AL4" s="227"/>
      <c r="AM4" s="54" t="s">
        <v>285</v>
      </c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Y4" s="112" t="s">
        <v>304</v>
      </c>
      <c r="BZ4" s="112"/>
      <c r="CA4" s="112"/>
      <c r="CB4" s="112"/>
      <c r="CC4" s="112"/>
      <c r="CD4" s="113"/>
      <c r="CE4" s="113"/>
      <c r="CF4" s="113"/>
      <c r="CG4" s="113"/>
      <c r="CH4" s="113"/>
      <c r="CI4" s="114"/>
      <c r="CJ4" s="114"/>
      <c r="CK4" s="114"/>
      <c r="CL4" s="114"/>
      <c r="CM4" s="114"/>
      <c r="CN4" s="115"/>
      <c r="CO4" s="114"/>
      <c r="CP4" s="114"/>
      <c r="CQ4" s="114"/>
      <c r="CR4" s="114"/>
      <c r="CS4" s="114"/>
      <c r="CT4" s="114"/>
      <c r="CU4" s="115"/>
      <c r="CV4" s="114"/>
      <c r="CW4" s="115"/>
      <c r="CX4" s="114"/>
      <c r="CY4" s="114"/>
      <c r="CZ4" s="115"/>
      <c r="DA4" s="116"/>
      <c r="DB4" s="117"/>
      <c r="DC4" s="118"/>
      <c r="DD4" s="118"/>
      <c r="DE4" s="117"/>
      <c r="DF4" s="117"/>
      <c r="DG4" s="117"/>
      <c r="DH4" s="117"/>
      <c r="DI4" s="117"/>
      <c r="DJ4" s="117"/>
      <c r="DK4" s="200"/>
      <c r="DL4" s="117"/>
      <c r="DM4" s="117"/>
      <c r="DN4" s="117"/>
      <c r="DO4" s="123"/>
    </row>
    <row r="5" spans="1:122" x14ac:dyDescent="0.25">
      <c r="B5" s="30"/>
      <c r="J5" s="110"/>
      <c r="L5" s="111"/>
      <c r="M5" s="111"/>
      <c r="N5" s="111"/>
      <c r="O5" s="111"/>
      <c r="AG5" s="47"/>
      <c r="AH5" s="53" t="s">
        <v>281</v>
      </c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Y5" s="119" t="s">
        <v>305</v>
      </c>
      <c r="BZ5" s="119"/>
      <c r="CA5" s="119"/>
      <c r="CB5" s="119"/>
      <c r="CC5" s="119"/>
      <c r="CD5" s="120"/>
      <c r="CE5" s="120"/>
      <c r="CF5" s="120"/>
      <c r="CG5" s="120"/>
      <c r="CH5" s="120"/>
      <c r="CI5" s="114"/>
      <c r="CJ5" s="114"/>
      <c r="CK5" s="114"/>
      <c r="CL5" s="114"/>
      <c r="CM5" s="114"/>
      <c r="CN5" s="115"/>
      <c r="CO5" s="114"/>
      <c r="CP5" s="114"/>
      <c r="CQ5" s="114"/>
      <c r="CR5" s="114"/>
      <c r="CS5" s="114"/>
      <c r="CT5" s="114"/>
      <c r="CU5" s="115"/>
      <c r="CV5" s="114"/>
      <c r="CW5" s="115"/>
      <c r="CX5" s="114"/>
      <c r="CY5" s="114"/>
      <c r="CZ5" s="115"/>
      <c r="DA5" s="116"/>
      <c r="DB5" s="117"/>
      <c r="DC5" s="118"/>
      <c r="DD5" s="118"/>
      <c r="DE5" s="117"/>
      <c r="DF5" s="117"/>
      <c r="DG5" s="117"/>
      <c r="DH5" s="117"/>
      <c r="DI5" s="117"/>
      <c r="DJ5" s="117"/>
      <c r="DK5" s="200"/>
      <c r="DL5" s="117"/>
      <c r="DM5" s="117"/>
      <c r="DN5" s="117"/>
      <c r="DO5" s="128"/>
    </row>
    <row r="6" spans="1:122" x14ac:dyDescent="0.25">
      <c r="B6" s="30"/>
      <c r="J6" s="110"/>
      <c r="AG6" s="47"/>
      <c r="AH6" s="53" t="s">
        <v>3</v>
      </c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Y6" s="121" t="s">
        <v>306</v>
      </c>
      <c r="BZ6" s="121"/>
      <c r="CA6" s="121"/>
      <c r="CB6" s="121"/>
      <c r="CC6" s="121"/>
      <c r="CD6" s="122"/>
      <c r="CE6" s="122"/>
      <c r="CF6" s="122"/>
      <c r="CG6" s="122"/>
      <c r="CH6" s="122"/>
      <c r="CI6" s="114"/>
      <c r="CJ6" s="114"/>
      <c r="CK6" s="114"/>
      <c r="CL6" s="114"/>
      <c r="CM6" s="114"/>
      <c r="CN6" s="115"/>
      <c r="CO6" s="114"/>
      <c r="CP6" s="114"/>
      <c r="CQ6" s="114"/>
      <c r="CR6" s="114"/>
      <c r="CS6" s="114"/>
      <c r="CT6" s="114"/>
      <c r="CU6" s="115"/>
      <c r="CV6" s="114"/>
      <c r="CW6" s="115"/>
      <c r="CX6" s="114"/>
      <c r="CY6" s="114"/>
      <c r="CZ6" s="115"/>
      <c r="DA6" s="116"/>
      <c r="DB6" s="117"/>
      <c r="DC6" s="118"/>
      <c r="DD6" s="118"/>
      <c r="DE6" s="117"/>
      <c r="DF6" s="117"/>
      <c r="DG6" s="117"/>
      <c r="DH6" s="117"/>
      <c r="DI6" s="117"/>
      <c r="DJ6" s="117"/>
      <c r="DK6" s="200"/>
      <c r="DL6" s="117"/>
      <c r="DM6" s="117"/>
      <c r="DN6" s="117"/>
      <c r="DO6" s="128"/>
    </row>
    <row r="7" spans="1:122" x14ac:dyDescent="0.25">
      <c r="C7" s="25" t="s">
        <v>24</v>
      </c>
      <c r="J7" s="110"/>
      <c r="S7" s="228" t="s">
        <v>297</v>
      </c>
      <c r="T7" s="228"/>
      <c r="U7" s="228"/>
      <c r="V7" s="228"/>
      <c r="W7" s="228"/>
      <c r="X7" s="229"/>
      <c r="BY7" s="123"/>
      <c r="BZ7" s="123"/>
      <c r="CA7" s="123"/>
      <c r="CB7" s="123"/>
      <c r="CC7" s="123"/>
      <c r="CD7" s="123"/>
      <c r="CE7" s="123"/>
      <c r="CF7" s="123"/>
      <c r="CG7" s="123"/>
      <c r="CH7" s="123"/>
      <c r="DA7" s="123"/>
      <c r="DB7" s="123"/>
      <c r="DE7" s="123"/>
      <c r="DF7" s="123"/>
      <c r="DG7" s="123"/>
      <c r="DH7" s="123"/>
      <c r="DI7" s="123"/>
      <c r="DJ7" s="123"/>
      <c r="DK7" s="125"/>
      <c r="DL7" s="123"/>
      <c r="DM7" s="123"/>
      <c r="DN7" s="123"/>
      <c r="DO7" s="143"/>
    </row>
    <row r="8" spans="1:122" s="43" customFormat="1" ht="35.25" customHeight="1" thickBot="1" x14ac:dyDescent="0.3">
      <c r="A8" s="41" t="s">
        <v>4</v>
      </c>
      <c r="B8" s="31" t="s">
        <v>5</v>
      </c>
      <c r="C8" s="31" t="s">
        <v>23</v>
      </c>
      <c r="D8" s="31" t="s">
        <v>29</v>
      </c>
      <c r="E8" s="31" t="s">
        <v>25</v>
      </c>
      <c r="F8" s="31" t="s">
        <v>318</v>
      </c>
      <c r="G8" s="31" t="s">
        <v>446</v>
      </c>
      <c r="H8" s="31" t="s">
        <v>448</v>
      </c>
      <c r="I8" s="31" t="s">
        <v>449</v>
      </c>
      <c r="J8" s="196" t="s">
        <v>450</v>
      </c>
      <c r="K8" s="31" t="s">
        <v>447</v>
      </c>
      <c r="L8" s="31" t="s">
        <v>30</v>
      </c>
      <c r="M8" s="31" t="s">
        <v>325</v>
      </c>
      <c r="N8" s="31" t="s">
        <v>444</v>
      </c>
      <c r="O8" s="31" t="s">
        <v>443</v>
      </c>
      <c r="P8" s="31" t="s">
        <v>273</v>
      </c>
      <c r="Q8" s="31" t="s">
        <v>300</v>
      </c>
      <c r="R8" s="31" t="s">
        <v>445</v>
      </c>
      <c r="S8" s="31" t="s">
        <v>7</v>
      </c>
      <c r="T8" s="31" t="s">
        <v>26</v>
      </c>
      <c r="U8" s="31" t="s">
        <v>27</v>
      </c>
      <c r="V8" s="68" t="s">
        <v>28</v>
      </c>
      <c r="W8" s="68" t="s">
        <v>22</v>
      </c>
      <c r="X8" s="68" t="s">
        <v>21</v>
      </c>
      <c r="Y8" s="46"/>
      <c r="Z8" s="42"/>
      <c r="AA8" s="42"/>
      <c r="AB8" s="42"/>
      <c r="AC8" s="42"/>
      <c r="AD8" s="43" t="s">
        <v>240</v>
      </c>
      <c r="AE8" s="42"/>
      <c r="AF8" s="42"/>
      <c r="AG8" s="55" t="s">
        <v>4</v>
      </c>
      <c r="AH8" s="56" t="s">
        <v>5</v>
      </c>
      <c r="AI8" s="56" t="s">
        <v>6</v>
      </c>
      <c r="AJ8" s="56" t="s">
        <v>286</v>
      </c>
      <c r="AK8" s="56" t="s">
        <v>287</v>
      </c>
      <c r="AL8" s="56" t="s">
        <v>288</v>
      </c>
      <c r="AM8" s="56" t="s">
        <v>289</v>
      </c>
      <c r="AN8" s="57" t="s">
        <v>282</v>
      </c>
      <c r="AO8" s="57" t="s">
        <v>7</v>
      </c>
      <c r="AP8" s="56" t="s">
        <v>290</v>
      </c>
      <c r="AQ8" s="56" t="s">
        <v>291</v>
      </c>
      <c r="AR8" s="56" t="s">
        <v>292</v>
      </c>
      <c r="AS8" s="56" t="s">
        <v>293</v>
      </c>
      <c r="AT8" s="56" t="s">
        <v>8</v>
      </c>
      <c r="AU8" s="56" t="s">
        <v>294</v>
      </c>
      <c r="AV8" s="56" t="s">
        <v>9</v>
      </c>
      <c r="AW8" s="56" t="s">
        <v>10</v>
      </c>
      <c r="AX8" s="56" t="s">
        <v>11</v>
      </c>
      <c r="AY8" s="56" t="s">
        <v>295</v>
      </c>
      <c r="AZ8" s="57" t="s">
        <v>296</v>
      </c>
      <c r="BA8" s="57" t="s">
        <v>12</v>
      </c>
      <c r="BB8" s="58" t="s">
        <v>13</v>
      </c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101"/>
      <c r="BR8" s="42"/>
      <c r="BS8" s="42"/>
      <c r="BT8" s="42"/>
      <c r="BU8" s="42"/>
      <c r="BV8" s="42"/>
      <c r="BW8" s="42"/>
      <c r="BX8" s="68" t="s">
        <v>454</v>
      </c>
      <c r="BY8" s="220" t="s">
        <v>307</v>
      </c>
      <c r="BZ8" s="221" t="s">
        <v>308</v>
      </c>
      <c r="CA8" s="220" t="s">
        <v>309</v>
      </c>
      <c r="CB8" s="220" t="s">
        <v>310</v>
      </c>
      <c r="CC8" s="221" t="s">
        <v>311</v>
      </c>
      <c r="CD8" s="220" t="s">
        <v>312</v>
      </c>
      <c r="CE8" s="222" t="s">
        <v>313</v>
      </c>
      <c r="CF8" s="222" t="s">
        <v>314</v>
      </c>
      <c r="CG8" s="223" t="s">
        <v>315</v>
      </c>
      <c r="CH8" s="223" t="s">
        <v>316</v>
      </c>
      <c r="CI8" s="222" t="s">
        <v>317</v>
      </c>
      <c r="CJ8" s="223" t="s">
        <v>25</v>
      </c>
      <c r="CK8" s="222" t="s">
        <v>318</v>
      </c>
      <c r="CL8" s="222" t="s">
        <v>319</v>
      </c>
      <c r="CM8" s="222" t="s">
        <v>320</v>
      </c>
      <c r="CN8" s="222" t="s">
        <v>321</v>
      </c>
      <c r="CO8" s="222" t="s">
        <v>322</v>
      </c>
      <c r="CP8" s="127"/>
      <c r="CQ8" s="222" t="s">
        <v>323</v>
      </c>
      <c r="CR8" s="222" t="s">
        <v>324</v>
      </c>
      <c r="CS8" s="222" t="s">
        <v>325</v>
      </c>
      <c r="CT8" s="222" t="s">
        <v>326</v>
      </c>
      <c r="CU8" s="222" t="s">
        <v>327</v>
      </c>
      <c r="CV8" s="222" t="s">
        <v>328</v>
      </c>
      <c r="CW8" s="222" t="s">
        <v>329</v>
      </c>
      <c r="CX8" s="222" t="s">
        <v>330</v>
      </c>
      <c r="CY8" s="222" t="s">
        <v>331</v>
      </c>
      <c r="CZ8" s="222" t="s">
        <v>332</v>
      </c>
      <c r="DA8" s="222" t="s">
        <v>333</v>
      </c>
      <c r="DB8" s="222" t="s">
        <v>334</v>
      </c>
      <c r="DC8" s="224" t="s">
        <v>335</v>
      </c>
      <c r="DD8" s="225"/>
      <c r="DE8" s="222" t="s">
        <v>334</v>
      </c>
      <c r="DF8" s="222" t="s">
        <v>336</v>
      </c>
      <c r="DG8" s="222" t="s">
        <v>337</v>
      </c>
      <c r="DH8" s="128"/>
      <c r="DI8" s="128"/>
      <c r="DJ8" s="128"/>
      <c r="DK8" s="201"/>
      <c r="DL8" s="128"/>
      <c r="DM8" s="128"/>
      <c r="DN8" s="128"/>
      <c r="DO8" s="143"/>
      <c r="DP8" s="42"/>
      <c r="DQ8" s="42"/>
      <c r="DR8" s="42"/>
    </row>
    <row r="9" spans="1:122" ht="17.25" thickTop="1" x14ac:dyDescent="0.3">
      <c r="A9" s="33" t="s">
        <v>34</v>
      </c>
      <c r="B9" s="34" t="s">
        <v>35</v>
      </c>
      <c r="C9" s="35">
        <v>3750</v>
      </c>
      <c r="D9" s="35">
        <v>0</v>
      </c>
      <c r="E9" s="35">
        <f>+CJ9</f>
        <v>0</v>
      </c>
      <c r="F9" s="35">
        <v>0</v>
      </c>
      <c r="G9" s="35">
        <v>0</v>
      </c>
      <c r="H9" s="35">
        <v>0</v>
      </c>
      <c r="I9" s="35">
        <v>0</v>
      </c>
      <c r="J9" s="197">
        <v>0</v>
      </c>
      <c r="K9" s="35">
        <v>0</v>
      </c>
      <c r="L9" s="35">
        <f>+CM9</f>
        <v>0</v>
      </c>
      <c r="M9" s="35">
        <f>+CS9</f>
        <v>0</v>
      </c>
      <c r="N9" s="35">
        <f>+CP9</f>
        <v>0</v>
      </c>
      <c r="O9" s="35"/>
      <c r="P9" s="35">
        <f>+CT9</f>
        <v>1043.27</v>
      </c>
      <c r="Q9" s="35">
        <f>+DP9</f>
        <v>0</v>
      </c>
      <c r="R9" s="35">
        <f>+C9+D9+E9+F9+G9+H9+I9-J9-K9-L9-M9-N9-O9-P9-Q9</f>
        <v>2706.73</v>
      </c>
      <c r="S9" s="35">
        <f>+C9+D9+E9+F9+G9+H9+I9-J9-K9-L9-M9-N9</f>
        <v>3750</v>
      </c>
      <c r="T9" s="35">
        <v>375</v>
      </c>
      <c r="U9" s="35">
        <f>+'C&amp;A'!E10*0.02</f>
        <v>21.911999999999999</v>
      </c>
      <c r="V9" s="35">
        <f>SUM(S9:U9)</f>
        <v>4146.9120000000003</v>
      </c>
      <c r="W9" s="35">
        <f>+V9*0.16</f>
        <v>663.50592000000006</v>
      </c>
      <c r="X9" s="35">
        <f>+V9+W9</f>
        <v>4810.4179199999999</v>
      </c>
      <c r="Y9" s="40"/>
      <c r="Z9" s="7" t="s">
        <v>138</v>
      </c>
      <c r="AA9" s="7" t="s">
        <v>139</v>
      </c>
      <c r="AB9" s="8" t="s">
        <v>255</v>
      </c>
      <c r="AC9" s="9">
        <v>3750</v>
      </c>
      <c r="AD9" s="17"/>
      <c r="AE9" s="17">
        <f>+S9-'C&amp;A'!I10-SINDICATO!O10</f>
        <v>1043.27</v>
      </c>
      <c r="AF9" s="34" t="str">
        <f>IF(A9=AG9,"SI","NO")</f>
        <v>SI</v>
      </c>
      <c r="AG9" s="70" t="s">
        <v>34</v>
      </c>
      <c r="AH9" s="71" t="s">
        <v>35</v>
      </c>
      <c r="AI9" s="72">
        <v>1095.5999999999999</v>
      </c>
      <c r="AJ9" s="72">
        <v>0</v>
      </c>
      <c r="AK9" s="72">
        <v>0</v>
      </c>
      <c r="AL9" s="72">
        <v>0</v>
      </c>
      <c r="AM9" s="72">
        <v>0</v>
      </c>
      <c r="AN9" s="72">
        <v>0</v>
      </c>
      <c r="AO9" s="72">
        <v>1095.5999999999999</v>
      </c>
      <c r="AP9" s="72">
        <v>0</v>
      </c>
      <c r="AQ9" s="72">
        <v>0</v>
      </c>
      <c r="AR9" s="72">
        <v>0</v>
      </c>
      <c r="AS9" s="73">
        <v>-200.74</v>
      </c>
      <c r="AT9" s="73">
        <v>-141.59</v>
      </c>
      <c r="AU9" s="72">
        <v>59.15</v>
      </c>
      <c r="AV9" s="72">
        <v>0</v>
      </c>
      <c r="AW9" s="72">
        <v>0</v>
      </c>
      <c r="AX9" s="73">
        <v>-0.01</v>
      </c>
      <c r="AY9" s="72">
        <v>0</v>
      </c>
      <c r="AZ9" s="72">
        <v>0</v>
      </c>
      <c r="BA9" s="72">
        <v>-141.6</v>
      </c>
      <c r="BB9" s="72">
        <v>1237.2</v>
      </c>
      <c r="BC9" s="69">
        <f>+S9-P9</f>
        <v>2706.73</v>
      </c>
      <c r="BD9" s="35">
        <f>IF(BC9&lt;=5000,BC9*0.1,0)</f>
        <v>270.673</v>
      </c>
      <c r="BE9" s="35">
        <f>IF(BC9&gt;=5000,BC9*0.1,0)</f>
        <v>0</v>
      </c>
      <c r="BF9" s="35"/>
      <c r="BG9" s="69">
        <v>5621.1120000000001</v>
      </c>
      <c r="BH9" s="69">
        <v>1582.3879999999999</v>
      </c>
      <c r="BI9" s="83">
        <v>5621.1120000000001</v>
      </c>
      <c r="BJ9" s="34"/>
      <c r="BK9" s="34"/>
      <c r="BL9" s="34"/>
      <c r="BM9" s="34"/>
      <c r="BN9" s="69">
        <v>0</v>
      </c>
      <c r="BO9" s="34"/>
      <c r="BP9" s="69">
        <v>5621.1120000000001</v>
      </c>
      <c r="BQ9" s="102">
        <v>0</v>
      </c>
      <c r="BR9" s="34"/>
      <c r="BS9" s="34"/>
      <c r="BT9" s="34"/>
      <c r="BU9" s="34"/>
      <c r="BV9" s="34"/>
      <c r="BW9" s="34"/>
      <c r="BX9" s="69" t="s">
        <v>455</v>
      </c>
      <c r="BY9" s="129" t="s">
        <v>338</v>
      </c>
      <c r="BZ9" s="129">
        <v>40</v>
      </c>
      <c r="CA9" s="129" t="s">
        <v>339</v>
      </c>
      <c r="CB9" s="130"/>
      <c r="CC9" s="130"/>
      <c r="CD9" s="129" t="s">
        <v>340</v>
      </c>
      <c r="CE9" s="131"/>
      <c r="CF9" s="131"/>
      <c r="CG9" s="132">
        <v>1237.2399999999998</v>
      </c>
      <c r="CH9" s="131">
        <v>2512.7600000000002</v>
      </c>
      <c r="CI9" s="132">
        <f t="shared" ref="CI9:CI63" si="0">+CG9+CH9</f>
        <v>3750</v>
      </c>
      <c r="CJ9" s="132"/>
      <c r="CK9" s="133"/>
      <c r="CL9" s="133"/>
      <c r="CM9" s="134"/>
      <c r="CN9" s="135">
        <f t="shared" ref="CN9:CN63" si="1">SUM(CI9:CL9)-CM9</f>
        <v>3750</v>
      </c>
      <c r="CO9" s="136"/>
      <c r="CP9" s="137"/>
      <c r="CQ9" s="137"/>
      <c r="CR9" s="137"/>
      <c r="CS9" s="138"/>
      <c r="CT9" s="129">
        <f>957.82+85.45</f>
        <v>1043.27</v>
      </c>
      <c r="CU9" s="135">
        <f>+CN9-SUM(CO9:CT9)</f>
        <v>2706.73</v>
      </c>
      <c r="CV9" s="139">
        <f t="shared" ref="CV9:CV63" si="2">IF(CN9&gt;4500,CN9*0.1,0)</f>
        <v>0</v>
      </c>
      <c r="CW9" s="135">
        <f>+CU9-CV9</f>
        <v>2706.73</v>
      </c>
      <c r="CX9" s="140">
        <f t="shared" ref="CX9:CX63" si="3">IF(CN9&lt;4500,CN9*0.1,0)</f>
        <v>375</v>
      </c>
      <c r="CY9" s="139">
        <f t="shared" ref="CY9:CY63" si="4">CG9*0.02</f>
        <v>24.744799999999998</v>
      </c>
      <c r="CZ9" s="135">
        <f t="shared" ref="CZ9:CZ63" si="5">+CN9+CX9+CY9</f>
        <v>4149.7448000000004</v>
      </c>
      <c r="DA9" s="141"/>
      <c r="DB9" s="142">
        <f>+DA9-CW9</f>
        <v>-2706.73</v>
      </c>
      <c r="DC9" s="141"/>
      <c r="DD9" s="141"/>
      <c r="DE9" s="142">
        <f>+DC9+DD9-DA9</f>
        <v>0</v>
      </c>
      <c r="DF9" s="143">
        <v>1183378845</v>
      </c>
      <c r="DG9" s="143"/>
      <c r="DH9" s="143"/>
      <c r="DI9" s="143"/>
      <c r="DJ9" s="143"/>
      <c r="DK9" s="202">
        <f>+'C&amp;A'!I10+SINDICATO!E10</f>
        <v>3750</v>
      </c>
      <c r="DL9" s="142">
        <f>+DK9-DM9</f>
        <v>0</v>
      </c>
      <c r="DM9" s="195">
        <f>+C9+D9+E9+F9+G9+H9+I9</f>
        <v>3750</v>
      </c>
      <c r="DN9" s="195">
        <f>+C9+E9+F9+G9+H9+I9+D9</f>
        <v>3750</v>
      </c>
      <c r="DO9" s="140">
        <f>IF(DN9&lt;4500,DN9*0.1,0)</f>
        <v>375</v>
      </c>
      <c r="DP9" s="140">
        <f>IF(DN9&gt;4500,DN9*0.1,0)</f>
        <v>0</v>
      </c>
      <c r="DQ9" s="34"/>
      <c r="DR9" s="34"/>
    </row>
    <row r="10" spans="1:122" ht="16.5" x14ac:dyDescent="0.3">
      <c r="A10" s="33" t="s">
        <v>14</v>
      </c>
      <c r="B10" s="34" t="s">
        <v>36</v>
      </c>
      <c r="C10" s="35">
        <v>2750</v>
      </c>
      <c r="D10" s="35">
        <v>145.37389713135775</v>
      </c>
      <c r="E10" s="35">
        <f t="shared" ref="E10:E63" si="6">+CJ10</f>
        <v>0</v>
      </c>
      <c r="F10" s="35">
        <f>+(C10/15)*0.25*6</f>
        <v>275</v>
      </c>
      <c r="G10" s="35">
        <v>0</v>
      </c>
      <c r="H10" s="35">
        <v>0</v>
      </c>
      <c r="I10" s="35">
        <v>0</v>
      </c>
      <c r="J10" s="197">
        <v>0</v>
      </c>
      <c r="K10" s="35">
        <v>0</v>
      </c>
      <c r="L10" s="35">
        <f t="shared" ref="L10:L63" si="7">+CM10</f>
        <v>0</v>
      </c>
      <c r="M10" s="35">
        <f t="shared" ref="M10:M63" si="8">+CS10</f>
        <v>0</v>
      </c>
      <c r="N10" s="35">
        <f t="shared" ref="N10:N63" si="9">+CP10</f>
        <v>117.81</v>
      </c>
      <c r="O10" s="35"/>
      <c r="P10" s="35">
        <f t="shared" ref="P10:P63" si="10">+CT10</f>
        <v>0</v>
      </c>
      <c r="Q10" s="35">
        <f t="shared" ref="Q10:Q63" si="11">+DP10</f>
        <v>0</v>
      </c>
      <c r="R10" s="35">
        <f t="shared" ref="R10:R63" si="12">+C10+D10+E10+F10+G10+H10+I10-J10-K10-L10-M10-N10-O10-P10-Q10</f>
        <v>3052.5638971313579</v>
      </c>
      <c r="S10" s="35">
        <f t="shared" ref="S10:S62" si="13">+C10+D10+E10+F10+G10+H10+I10-J10-K10-L10-M10-N10</f>
        <v>3052.5638971313579</v>
      </c>
      <c r="T10" s="35">
        <v>302.5</v>
      </c>
      <c r="U10" s="35">
        <f>+'C&amp;A'!E11*0.02</f>
        <v>21.911999999999999</v>
      </c>
      <c r="V10" s="35">
        <f t="shared" ref="V10:V63" si="14">SUM(S10:U10)</f>
        <v>3376.9758971313577</v>
      </c>
      <c r="W10" s="35">
        <f t="shared" ref="W10:W63" si="15">+V10*0.16</f>
        <v>540.31614354101725</v>
      </c>
      <c r="X10" s="35">
        <f t="shared" ref="X10:X63" si="16">+V10+W10</f>
        <v>3917.2920406723752</v>
      </c>
      <c r="Y10" s="40"/>
      <c r="Z10" s="7" t="s">
        <v>140</v>
      </c>
      <c r="AA10" s="7" t="s">
        <v>141</v>
      </c>
      <c r="AB10" s="8" t="s">
        <v>237</v>
      </c>
      <c r="AC10" s="9">
        <v>2750</v>
      </c>
      <c r="AD10" s="18">
        <v>145.38</v>
      </c>
      <c r="AE10" s="17">
        <f>+S10-'C&amp;A'!I11-SINDICATO!O11</f>
        <v>0</v>
      </c>
      <c r="AF10" s="34" t="str">
        <f t="shared" ref="AF10:AF36" si="17">IF(A10=AG10,"SI","NO")</f>
        <v>SI</v>
      </c>
      <c r="AG10" s="70" t="s">
        <v>14</v>
      </c>
      <c r="AH10" s="71" t="s">
        <v>36</v>
      </c>
      <c r="AI10" s="72">
        <v>1095.5999999999999</v>
      </c>
      <c r="AJ10" s="72">
        <v>0</v>
      </c>
      <c r="AK10" s="72">
        <v>0</v>
      </c>
      <c r="AL10" s="72">
        <v>0</v>
      </c>
      <c r="AM10" s="72">
        <v>0</v>
      </c>
      <c r="AN10" s="72">
        <v>0</v>
      </c>
      <c r="AO10" s="72">
        <v>1095.5999999999999</v>
      </c>
      <c r="AP10" s="72">
        <v>0</v>
      </c>
      <c r="AQ10" s="72">
        <v>0</v>
      </c>
      <c r="AR10" s="72">
        <v>0</v>
      </c>
      <c r="AS10" s="73">
        <v>-200.74</v>
      </c>
      <c r="AT10" s="73">
        <v>-141.59</v>
      </c>
      <c r="AU10" s="72">
        <v>59.15</v>
      </c>
      <c r="AV10" s="72">
        <v>0</v>
      </c>
      <c r="AW10" s="72">
        <v>0</v>
      </c>
      <c r="AX10" s="73">
        <v>-0.01</v>
      </c>
      <c r="AY10" s="72">
        <v>0</v>
      </c>
      <c r="AZ10" s="72">
        <v>0</v>
      </c>
      <c r="BA10" s="72">
        <v>-141.6</v>
      </c>
      <c r="BB10" s="72">
        <v>1237.2</v>
      </c>
      <c r="BC10" s="69">
        <f t="shared" ref="BC10:BC36" si="18">+S10-P10</f>
        <v>3052.5638971313579</v>
      </c>
      <c r="BD10" s="35">
        <f t="shared" ref="BD10:BD64" si="19">IF(BC10&lt;=5000,BC10*0.1,0)</f>
        <v>305.25638971313577</v>
      </c>
      <c r="BE10" s="35">
        <f t="shared" ref="BE10:BE63" si="20">IF(BC10&gt;=5000,BC10*0.1,0)</f>
        <v>0</v>
      </c>
      <c r="BF10" s="35"/>
      <c r="BG10" s="69">
        <v>2850.25</v>
      </c>
      <c r="BH10" s="69">
        <v>0</v>
      </c>
      <c r="BI10" s="83">
        <v>2850.25</v>
      </c>
      <c r="BJ10" s="34"/>
      <c r="BK10" s="34"/>
      <c r="BL10" s="34"/>
      <c r="BM10" s="34"/>
      <c r="BN10" s="69">
        <v>0</v>
      </c>
      <c r="BO10" s="34"/>
      <c r="BP10" s="69">
        <v>2850.25</v>
      </c>
      <c r="BQ10" s="102">
        <v>0</v>
      </c>
      <c r="BR10" s="34"/>
      <c r="BS10" s="34"/>
      <c r="BT10" s="34"/>
      <c r="BU10" s="34"/>
      <c r="BV10" s="34"/>
      <c r="BW10" s="34"/>
      <c r="BX10" s="69" t="s">
        <v>456</v>
      </c>
      <c r="BY10" s="129" t="s">
        <v>341</v>
      </c>
      <c r="BZ10" s="129" t="s">
        <v>14</v>
      </c>
      <c r="CA10" s="129" t="s">
        <v>342</v>
      </c>
      <c r="CB10" s="130"/>
      <c r="CC10" s="130"/>
      <c r="CD10" s="129" t="s">
        <v>343</v>
      </c>
      <c r="CE10" s="144" t="s">
        <v>344</v>
      </c>
      <c r="CF10" s="144"/>
      <c r="CG10" s="132">
        <v>1237.2399999999998</v>
      </c>
      <c r="CH10" s="144">
        <v>1512.7600000000002</v>
      </c>
      <c r="CI10" s="132">
        <f t="shared" si="0"/>
        <v>2750</v>
      </c>
      <c r="CJ10" s="132"/>
      <c r="CK10" s="132"/>
      <c r="CL10" s="132"/>
      <c r="CM10" s="134"/>
      <c r="CN10" s="135">
        <f t="shared" si="1"/>
        <v>2750</v>
      </c>
      <c r="CO10" s="136"/>
      <c r="CP10" s="137">
        <v>117.81</v>
      </c>
      <c r="CQ10" s="137"/>
      <c r="CR10" s="137"/>
      <c r="CS10" s="138"/>
      <c r="CT10" s="129">
        <v>0</v>
      </c>
      <c r="CU10" s="135">
        <f t="shared" ref="CU10:CU63" si="21">+CN10-SUM(CO10:CT10)</f>
        <v>2632.19</v>
      </c>
      <c r="CV10" s="139">
        <f t="shared" si="2"/>
        <v>0</v>
      </c>
      <c r="CW10" s="135">
        <f t="shared" ref="CW10:CW63" si="22">+CU10-CV10</f>
        <v>2632.19</v>
      </c>
      <c r="CX10" s="140">
        <f t="shared" si="3"/>
        <v>275</v>
      </c>
      <c r="CY10" s="139">
        <f t="shared" si="4"/>
        <v>24.744799999999998</v>
      </c>
      <c r="CZ10" s="135">
        <f t="shared" si="5"/>
        <v>3049.7447999999999</v>
      </c>
      <c r="DA10" s="141"/>
      <c r="DB10" s="142">
        <f t="shared" ref="DB10:DB64" si="23">+DA10-CW10</f>
        <v>-2632.19</v>
      </c>
      <c r="DC10" s="141"/>
      <c r="DD10" s="141"/>
      <c r="DE10" s="142">
        <f t="shared" ref="DE10:DE64" si="24">+DC10+DD10-DA10</f>
        <v>0</v>
      </c>
      <c r="DF10" s="143">
        <v>2886516505</v>
      </c>
      <c r="DG10" s="145" t="s">
        <v>345</v>
      </c>
      <c r="DH10" s="143"/>
      <c r="DI10" s="143"/>
      <c r="DJ10" s="143"/>
      <c r="DK10" s="202">
        <f>+'C&amp;A'!I11+SINDICATO!E11</f>
        <v>3170.3738971313578</v>
      </c>
      <c r="DL10" s="142">
        <f t="shared" ref="DL10:DL63" si="25">+DK10-DM10</f>
        <v>0</v>
      </c>
      <c r="DM10" s="195">
        <f t="shared" ref="DM10:DM63" si="26">+C10+D10+E10+F10+G10+H10+I10</f>
        <v>3170.3738971313578</v>
      </c>
      <c r="DN10" s="195">
        <f t="shared" ref="DN10:DN63" si="27">+C10+E10+F10+G10+H10+I10+D10</f>
        <v>3170.3738971313578</v>
      </c>
      <c r="DO10" s="140">
        <f t="shared" ref="DO10:DO63" si="28">IF(DN10&lt;4500,DN10*0.1,0)</f>
        <v>317.03738971313578</v>
      </c>
      <c r="DP10" s="140">
        <f t="shared" ref="DP10:DP63" si="29">IF(DN10&gt;4500,DN10*0.1,0)</f>
        <v>0</v>
      </c>
      <c r="DQ10" s="34"/>
      <c r="DR10" s="34"/>
    </row>
    <row r="11" spans="1:122" ht="16.5" x14ac:dyDescent="0.3">
      <c r="A11" s="33" t="s">
        <v>37</v>
      </c>
      <c r="B11" s="34" t="s">
        <v>38</v>
      </c>
      <c r="C11" s="35">
        <v>4000</v>
      </c>
      <c r="D11" s="35">
        <v>0</v>
      </c>
      <c r="E11" s="35">
        <f t="shared" si="6"/>
        <v>0</v>
      </c>
      <c r="F11" s="35">
        <v>0</v>
      </c>
      <c r="G11" s="35">
        <v>0</v>
      </c>
      <c r="H11" s="35">
        <v>0</v>
      </c>
      <c r="I11" s="35">
        <v>0</v>
      </c>
      <c r="J11" s="197">
        <v>0</v>
      </c>
      <c r="K11" s="35">
        <v>0</v>
      </c>
      <c r="L11" s="35">
        <f t="shared" si="7"/>
        <v>0</v>
      </c>
      <c r="M11" s="35">
        <f t="shared" si="8"/>
        <v>0</v>
      </c>
      <c r="N11" s="35">
        <f t="shared" si="9"/>
        <v>0</v>
      </c>
      <c r="O11" s="35"/>
      <c r="P11" s="35">
        <f t="shared" si="10"/>
        <v>0</v>
      </c>
      <c r="Q11" s="35">
        <f t="shared" si="11"/>
        <v>0</v>
      </c>
      <c r="R11" s="35">
        <f t="shared" si="12"/>
        <v>4000</v>
      </c>
      <c r="S11" s="35">
        <f t="shared" si="13"/>
        <v>4000</v>
      </c>
      <c r="T11" s="35">
        <v>400</v>
      </c>
      <c r="U11" s="35">
        <f>+'C&amp;A'!E12*0.02</f>
        <v>21.911999999999999</v>
      </c>
      <c r="V11" s="35">
        <f t="shared" si="14"/>
        <v>4421.9120000000003</v>
      </c>
      <c r="W11" s="35">
        <f t="shared" si="15"/>
        <v>707.50592000000006</v>
      </c>
      <c r="X11" s="35">
        <f t="shared" si="16"/>
        <v>5129.4179199999999</v>
      </c>
      <c r="Y11" s="40"/>
      <c r="Z11" s="7" t="s">
        <v>142</v>
      </c>
      <c r="AA11" s="7" t="s">
        <v>143</v>
      </c>
      <c r="AB11" s="8" t="s">
        <v>236</v>
      </c>
      <c r="AC11" s="9">
        <v>4000</v>
      </c>
      <c r="AD11" s="18"/>
      <c r="AE11" s="17">
        <f>+S11-'C&amp;A'!I12-SINDICATO!O12</f>
        <v>0</v>
      </c>
      <c r="AF11" s="34" t="str">
        <f t="shared" si="17"/>
        <v>SI</v>
      </c>
      <c r="AG11" s="70" t="s">
        <v>37</v>
      </c>
      <c r="AH11" s="71" t="s">
        <v>38</v>
      </c>
      <c r="AI11" s="72">
        <v>1095.5999999999999</v>
      </c>
      <c r="AJ11" s="72">
        <v>0</v>
      </c>
      <c r="AK11" s="72">
        <v>0</v>
      </c>
      <c r="AL11" s="72">
        <v>0</v>
      </c>
      <c r="AM11" s="72">
        <v>0</v>
      </c>
      <c r="AN11" s="72">
        <v>0</v>
      </c>
      <c r="AO11" s="72">
        <v>1095.5999999999999</v>
      </c>
      <c r="AP11" s="72">
        <v>0</v>
      </c>
      <c r="AQ11" s="72">
        <v>0</v>
      </c>
      <c r="AR11" s="72">
        <v>0</v>
      </c>
      <c r="AS11" s="73">
        <v>-200.74</v>
      </c>
      <c r="AT11" s="73">
        <v>-141.59</v>
      </c>
      <c r="AU11" s="72">
        <v>59.15</v>
      </c>
      <c r="AV11" s="72">
        <v>0</v>
      </c>
      <c r="AW11" s="72">
        <v>0</v>
      </c>
      <c r="AX11" s="73">
        <v>-0.01</v>
      </c>
      <c r="AY11" s="72">
        <v>0</v>
      </c>
      <c r="AZ11" s="72">
        <v>0</v>
      </c>
      <c r="BA11" s="72">
        <v>-141.6</v>
      </c>
      <c r="BB11" s="72">
        <v>1237.2</v>
      </c>
      <c r="BC11" s="69">
        <f t="shared" si="18"/>
        <v>4000</v>
      </c>
      <c r="BD11" s="35">
        <f t="shared" si="19"/>
        <v>400</v>
      </c>
      <c r="BE11" s="35">
        <f t="shared" si="20"/>
        <v>0</v>
      </c>
      <c r="BF11" s="35"/>
      <c r="BG11" s="69">
        <v>3954.87</v>
      </c>
      <c r="BH11" s="69">
        <v>0</v>
      </c>
      <c r="BI11" s="83">
        <v>3954.87</v>
      </c>
      <c r="BJ11" s="34"/>
      <c r="BK11" s="34"/>
      <c r="BL11" s="34"/>
      <c r="BM11" s="34"/>
      <c r="BN11" s="69">
        <v>0</v>
      </c>
      <c r="BO11" s="34"/>
      <c r="BP11" s="69">
        <v>3954.87</v>
      </c>
      <c r="BQ11" s="102">
        <v>0</v>
      </c>
      <c r="BR11" s="34"/>
      <c r="BS11" s="34"/>
      <c r="BT11" s="34"/>
      <c r="BU11" s="34"/>
      <c r="BV11" s="34"/>
      <c r="BW11" s="34"/>
      <c r="BX11" s="69" t="s">
        <v>457</v>
      </c>
      <c r="BY11" s="129" t="s">
        <v>346</v>
      </c>
      <c r="BZ11" s="129" t="s">
        <v>37</v>
      </c>
      <c r="CA11" s="129" t="s">
        <v>347</v>
      </c>
      <c r="CB11" s="130"/>
      <c r="CC11" s="130"/>
      <c r="CD11" s="129" t="s">
        <v>348</v>
      </c>
      <c r="CE11" s="131" t="s">
        <v>344</v>
      </c>
      <c r="CF11" s="131"/>
      <c r="CG11" s="132">
        <v>1237.2399999999998</v>
      </c>
      <c r="CH11" s="131">
        <v>2762.76</v>
      </c>
      <c r="CI11" s="132">
        <f t="shared" si="0"/>
        <v>4000</v>
      </c>
      <c r="CJ11" s="132"/>
      <c r="CK11" s="133"/>
      <c r="CL11" s="133"/>
      <c r="CM11" s="134"/>
      <c r="CN11" s="135">
        <f t="shared" si="1"/>
        <v>4000</v>
      </c>
      <c r="CO11" s="136"/>
      <c r="CP11" s="137"/>
      <c r="CQ11" s="137"/>
      <c r="CR11" s="137"/>
      <c r="CS11" s="138"/>
      <c r="CT11" s="129">
        <v>0</v>
      </c>
      <c r="CU11" s="135">
        <f t="shared" si="21"/>
        <v>4000</v>
      </c>
      <c r="CV11" s="139">
        <f t="shared" si="2"/>
        <v>0</v>
      </c>
      <c r="CW11" s="135">
        <f t="shared" si="22"/>
        <v>4000</v>
      </c>
      <c r="CX11" s="140">
        <f t="shared" si="3"/>
        <v>400</v>
      </c>
      <c r="CY11" s="139">
        <f t="shared" si="4"/>
        <v>24.744799999999998</v>
      </c>
      <c r="CZ11" s="135">
        <f t="shared" si="5"/>
        <v>4424.7448000000004</v>
      </c>
      <c r="DA11" s="141"/>
      <c r="DB11" s="142">
        <f t="shared" si="23"/>
        <v>-4000</v>
      </c>
      <c r="DC11" s="141"/>
      <c r="DD11" s="141"/>
      <c r="DE11" s="142">
        <f t="shared" si="24"/>
        <v>0</v>
      </c>
      <c r="DF11" s="143">
        <v>2859592156</v>
      </c>
      <c r="DG11" s="143"/>
      <c r="DH11" s="143"/>
      <c r="DI11" s="143"/>
      <c r="DJ11" s="143"/>
      <c r="DK11" s="202">
        <f>+'C&amp;A'!I12+SINDICATO!E12</f>
        <v>4000</v>
      </c>
      <c r="DL11" s="142">
        <f t="shared" si="25"/>
        <v>0</v>
      </c>
      <c r="DM11" s="195">
        <f t="shared" si="26"/>
        <v>4000</v>
      </c>
      <c r="DN11" s="195">
        <f t="shared" si="27"/>
        <v>4000</v>
      </c>
      <c r="DO11" s="140">
        <f t="shared" si="28"/>
        <v>400</v>
      </c>
      <c r="DP11" s="140">
        <f t="shared" si="29"/>
        <v>0</v>
      </c>
      <c r="DQ11" s="34"/>
      <c r="DR11" s="34"/>
    </row>
    <row r="12" spans="1:122" ht="16.5" x14ac:dyDescent="0.3">
      <c r="A12" s="33" t="s">
        <v>39</v>
      </c>
      <c r="B12" s="34" t="s">
        <v>40</v>
      </c>
      <c r="C12" s="35">
        <v>3000</v>
      </c>
      <c r="D12" s="35">
        <v>145.37389713135775</v>
      </c>
      <c r="E12" s="35">
        <f t="shared" si="6"/>
        <v>0</v>
      </c>
      <c r="F12" s="35">
        <v>0</v>
      </c>
      <c r="G12" s="35">
        <v>0</v>
      </c>
      <c r="H12" s="35">
        <v>0</v>
      </c>
      <c r="I12" s="35">
        <v>0</v>
      </c>
      <c r="J12" s="197">
        <v>0</v>
      </c>
      <c r="K12" s="35">
        <f>+C12/15</f>
        <v>200</v>
      </c>
      <c r="L12" s="35">
        <f t="shared" si="7"/>
        <v>0</v>
      </c>
      <c r="M12" s="35">
        <f t="shared" si="8"/>
        <v>0</v>
      </c>
      <c r="N12" s="35">
        <f t="shared" si="9"/>
        <v>0</v>
      </c>
      <c r="O12" s="35"/>
      <c r="P12" s="35">
        <f t="shared" si="10"/>
        <v>0</v>
      </c>
      <c r="Q12" s="35">
        <f t="shared" si="11"/>
        <v>0</v>
      </c>
      <c r="R12" s="35">
        <f t="shared" si="12"/>
        <v>2945.3738971313578</v>
      </c>
      <c r="S12" s="35">
        <f t="shared" si="13"/>
        <v>2945.3738971313578</v>
      </c>
      <c r="T12" s="35">
        <v>300</v>
      </c>
      <c r="U12" s="35">
        <f>+'C&amp;A'!E13*0.02</f>
        <v>21.911999999999999</v>
      </c>
      <c r="V12" s="35">
        <f t="shared" si="14"/>
        <v>3267.2858971313576</v>
      </c>
      <c r="W12" s="35">
        <f t="shared" si="15"/>
        <v>522.76574354101717</v>
      </c>
      <c r="X12" s="35">
        <f t="shared" si="16"/>
        <v>3790.0516406723746</v>
      </c>
      <c r="Y12" s="40"/>
      <c r="Z12" s="7" t="s">
        <v>144</v>
      </c>
      <c r="AA12" s="7" t="s">
        <v>145</v>
      </c>
      <c r="AB12" s="8" t="s">
        <v>267</v>
      </c>
      <c r="AC12" s="12">
        <v>3000</v>
      </c>
      <c r="AD12" s="19">
        <v>145.38</v>
      </c>
      <c r="AE12" s="17">
        <f>+S12-'C&amp;A'!I13-SINDICATO!O13</f>
        <v>0</v>
      </c>
      <c r="AF12" s="34" t="str">
        <f t="shared" si="17"/>
        <v>SI</v>
      </c>
      <c r="AG12" s="70" t="s">
        <v>39</v>
      </c>
      <c r="AH12" s="71" t="s">
        <v>40</v>
      </c>
      <c r="AI12" s="72">
        <v>1095.5999999999999</v>
      </c>
      <c r="AJ12" s="72">
        <v>0</v>
      </c>
      <c r="AK12" s="72">
        <v>0</v>
      </c>
      <c r="AL12" s="72">
        <v>0</v>
      </c>
      <c r="AM12" s="72">
        <v>0</v>
      </c>
      <c r="AN12" s="72">
        <v>0</v>
      </c>
      <c r="AO12" s="72">
        <v>1095.5999999999999</v>
      </c>
      <c r="AP12" s="72">
        <v>0</v>
      </c>
      <c r="AQ12" s="72">
        <v>0</v>
      </c>
      <c r="AR12" s="72">
        <v>0</v>
      </c>
      <c r="AS12" s="73">
        <v>-200.74</v>
      </c>
      <c r="AT12" s="73">
        <v>-141.59</v>
      </c>
      <c r="AU12" s="72">
        <v>59.15</v>
      </c>
      <c r="AV12" s="72">
        <v>0</v>
      </c>
      <c r="AW12" s="72">
        <v>0</v>
      </c>
      <c r="AX12" s="73">
        <v>-0.01</v>
      </c>
      <c r="AY12" s="72">
        <v>0</v>
      </c>
      <c r="AZ12" s="72">
        <v>0</v>
      </c>
      <c r="BA12" s="72">
        <v>-141.6</v>
      </c>
      <c r="BB12" s="72">
        <v>1237.2</v>
      </c>
      <c r="BC12" s="69">
        <f t="shared" si="18"/>
        <v>2945.3738971313578</v>
      </c>
      <c r="BD12" s="35">
        <f t="shared" si="19"/>
        <v>294.53738971313578</v>
      </c>
      <c r="BE12" s="35">
        <f t="shared" si="20"/>
        <v>0</v>
      </c>
      <c r="BF12" s="35"/>
      <c r="BG12" s="69">
        <v>6694.5420000000004</v>
      </c>
      <c r="BH12" s="69">
        <v>743.83799999999974</v>
      </c>
      <c r="BI12" s="83">
        <v>6694.5420000000004</v>
      </c>
      <c r="BJ12" s="34"/>
      <c r="BK12" s="34"/>
      <c r="BL12" s="34"/>
      <c r="BM12" s="34"/>
      <c r="BN12" s="69">
        <v>0</v>
      </c>
      <c r="BO12" s="34"/>
      <c r="BP12" s="69">
        <v>6694.5420000000004</v>
      </c>
      <c r="BQ12" s="102">
        <v>0</v>
      </c>
      <c r="BR12" s="34"/>
      <c r="BS12" s="34"/>
      <c r="BT12" s="34"/>
      <c r="BU12" s="34"/>
      <c r="BV12" s="34"/>
      <c r="BW12" s="34"/>
      <c r="BX12" s="69" t="s">
        <v>456</v>
      </c>
      <c r="BY12" s="129" t="s">
        <v>349</v>
      </c>
      <c r="BZ12" s="129" t="s">
        <v>39</v>
      </c>
      <c r="CA12" s="129" t="s">
        <v>350</v>
      </c>
      <c r="CB12" s="144"/>
      <c r="CC12" s="144"/>
      <c r="CD12" s="129" t="s">
        <v>267</v>
      </c>
      <c r="CE12" s="144"/>
      <c r="CF12" s="144"/>
      <c r="CG12" s="132">
        <v>1237.2399999999998</v>
      </c>
      <c r="CH12" s="144">
        <v>1762.7600000000002</v>
      </c>
      <c r="CI12" s="132">
        <f t="shared" si="0"/>
        <v>3000</v>
      </c>
      <c r="CJ12" s="132"/>
      <c r="CK12" s="132"/>
      <c r="CL12" s="132"/>
      <c r="CM12" s="134"/>
      <c r="CN12" s="135">
        <f t="shared" si="1"/>
        <v>3000</v>
      </c>
      <c r="CO12" s="136"/>
      <c r="CP12" s="137"/>
      <c r="CQ12" s="137"/>
      <c r="CR12" s="137"/>
      <c r="CS12" s="138"/>
      <c r="CT12" s="129">
        <v>0</v>
      </c>
      <c r="CU12" s="135">
        <f t="shared" si="21"/>
        <v>3000</v>
      </c>
      <c r="CV12" s="139">
        <f t="shared" si="2"/>
        <v>0</v>
      </c>
      <c r="CW12" s="135">
        <f t="shared" si="22"/>
        <v>3000</v>
      </c>
      <c r="CX12" s="140">
        <f t="shared" si="3"/>
        <v>300</v>
      </c>
      <c r="CY12" s="139">
        <f t="shared" si="4"/>
        <v>24.744799999999998</v>
      </c>
      <c r="CZ12" s="135">
        <f t="shared" si="5"/>
        <v>3324.7447999999999</v>
      </c>
      <c r="DA12" s="141"/>
      <c r="DB12" s="142">
        <f t="shared" si="23"/>
        <v>-3000</v>
      </c>
      <c r="DC12" s="141"/>
      <c r="DD12" s="141"/>
      <c r="DE12" s="142">
        <f t="shared" si="24"/>
        <v>0</v>
      </c>
      <c r="DF12" s="143">
        <v>2914894898</v>
      </c>
      <c r="DG12" s="145" t="s">
        <v>351</v>
      </c>
      <c r="DH12" s="143"/>
      <c r="DI12" s="143"/>
      <c r="DJ12" s="143"/>
      <c r="DK12" s="202">
        <f>+'C&amp;A'!I13+SINDICATO!E13</f>
        <v>3145.3738971313578</v>
      </c>
      <c r="DL12" s="142">
        <f t="shared" si="25"/>
        <v>0</v>
      </c>
      <c r="DM12" s="195">
        <f t="shared" si="26"/>
        <v>3145.3738971313578</v>
      </c>
      <c r="DN12" s="195">
        <f t="shared" si="27"/>
        <v>3145.3738971313578</v>
      </c>
      <c r="DO12" s="140">
        <f t="shared" si="28"/>
        <v>314.53738971313578</v>
      </c>
      <c r="DP12" s="140">
        <f t="shared" si="29"/>
        <v>0</v>
      </c>
      <c r="DQ12" s="34"/>
      <c r="DR12" s="34"/>
    </row>
    <row r="13" spans="1:122" ht="16.5" x14ac:dyDescent="0.3">
      <c r="A13" s="33" t="s">
        <v>41</v>
      </c>
      <c r="B13" s="34" t="s">
        <v>42</v>
      </c>
      <c r="C13" s="35">
        <v>3194.5</v>
      </c>
      <c r="D13" s="35">
        <v>125.12056780965156</v>
      </c>
      <c r="E13" s="35">
        <f t="shared" si="6"/>
        <v>0</v>
      </c>
      <c r="F13" s="35">
        <v>0</v>
      </c>
      <c r="G13" s="35">
        <v>0</v>
      </c>
      <c r="H13" s="35">
        <v>0</v>
      </c>
      <c r="I13" s="35">
        <v>0</v>
      </c>
      <c r="J13" s="197">
        <v>0</v>
      </c>
      <c r="K13" s="35">
        <v>0</v>
      </c>
      <c r="L13" s="35">
        <f t="shared" si="7"/>
        <v>0</v>
      </c>
      <c r="M13" s="35">
        <f t="shared" si="8"/>
        <v>0</v>
      </c>
      <c r="N13" s="35">
        <f t="shared" si="9"/>
        <v>0</v>
      </c>
      <c r="O13" s="35"/>
      <c r="P13" s="35">
        <f t="shared" si="10"/>
        <v>0</v>
      </c>
      <c r="Q13" s="35">
        <f t="shared" si="11"/>
        <v>0</v>
      </c>
      <c r="R13" s="35">
        <f t="shared" si="12"/>
        <v>3319.6205678096517</v>
      </c>
      <c r="S13" s="35">
        <f t="shared" si="13"/>
        <v>3319.6205678096517</v>
      </c>
      <c r="T13" s="35">
        <v>319.45000000000005</v>
      </c>
      <c r="U13" s="35">
        <f>+'C&amp;A'!E14*0.02</f>
        <v>21.911999999999999</v>
      </c>
      <c r="V13" s="35">
        <f t="shared" si="14"/>
        <v>3660.9825678096518</v>
      </c>
      <c r="W13" s="35">
        <f t="shared" si="15"/>
        <v>585.75721084954432</v>
      </c>
      <c r="X13" s="35">
        <f t="shared" si="16"/>
        <v>4246.7397786591964</v>
      </c>
      <c r="Y13" s="40"/>
      <c r="Z13" s="7" t="s">
        <v>146</v>
      </c>
      <c r="AA13" s="7" t="s">
        <v>147</v>
      </c>
      <c r="AB13" s="8" t="s">
        <v>242</v>
      </c>
      <c r="AC13" s="9">
        <v>2800</v>
      </c>
      <c r="AD13" s="20">
        <v>107.37</v>
      </c>
      <c r="AE13" s="17">
        <f>+S13-'C&amp;A'!I14-SINDICATO!O14</f>
        <v>0</v>
      </c>
      <c r="AF13" s="34" t="str">
        <f t="shared" si="17"/>
        <v>SI</v>
      </c>
      <c r="AG13" s="70" t="s">
        <v>41</v>
      </c>
      <c r="AH13" s="71" t="s">
        <v>42</v>
      </c>
      <c r="AI13" s="72">
        <v>1095.5999999999999</v>
      </c>
      <c r="AJ13" s="72">
        <v>0</v>
      </c>
      <c r="AK13" s="72">
        <v>0</v>
      </c>
      <c r="AL13" s="72">
        <v>0</v>
      </c>
      <c r="AM13" s="72">
        <v>0</v>
      </c>
      <c r="AN13" s="72">
        <v>0</v>
      </c>
      <c r="AO13" s="72">
        <v>1095.5999999999999</v>
      </c>
      <c r="AP13" s="72">
        <v>0</v>
      </c>
      <c r="AQ13" s="72">
        <v>0</v>
      </c>
      <c r="AR13" s="72">
        <v>0</v>
      </c>
      <c r="AS13" s="73">
        <v>-200.74</v>
      </c>
      <c r="AT13" s="73">
        <v>-141.59</v>
      </c>
      <c r="AU13" s="72">
        <v>59.15</v>
      </c>
      <c r="AV13" s="72">
        <v>0</v>
      </c>
      <c r="AW13" s="72">
        <v>0</v>
      </c>
      <c r="AX13" s="73">
        <v>-0.01</v>
      </c>
      <c r="AY13" s="72">
        <v>0</v>
      </c>
      <c r="AZ13" s="72">
        <v>0</v>
      </c>
      <c r="BA13" s="72">
        <v>-141.6</v>
      </c>
      <c r="BB13" s="72">
        <v>1237.2</v>
      </c>
      <c r="BC13" s="69">
        <f t="shared" si="18"/>
        <v>3319.6205678096517</v>
      </c>
      <c r="BD13" s="35">
        <f t="shared" si="19"/>
        <v>331.96205678096521</v>
      </c>
      <c r="BE13" s="35">
        <f t="shared" si="20"/>
        <v>0</v>
      </c>
      <c r="BF13" s="35"/>
      <c r="BG13" s="69">
        <v>2907.37</v>
      </c>
      <c r="BH13" s="69">
        <v>0</v>
      </c>
      <c r="BI13" s="83">
        <v>2907.37</v>
      </c>
      <c r="BJ13" s="34"/>
      <c r="BK13" s="34"/>
      <c r="BL13" s="34"/>
      <c r="BM13" s="34"/>
      <c r="BN13" s="69">
        <v>0</v>
      </c>
      <c r="BO13" s="34"/>
      <c r="BP13" s="69">
        <v>2907.37</v>
      </c>
      <c r="BQ13" s="102">
        <v>0</v>
      </c>
      <c r="BR13" s="34"/>
      <c r="BS13" s="34"/>
      <c r="BT13" s="34"/>
      <c r="BU13" s="34"/>
      <c r="BV13" s="34"/>
      <c r="BW13" s="34"/>
      <c r="BX13" s="69" t="s">
        <v>457</v>
      </c>
      <c r="BY13" s="205" t="s">
        <v>346</v>
      </c>
      <c r="BZ13" s="205" t="s">
        <v>41</v>
      </c>
      <c r="CA13" s="205" t="s">
        <v>352</v>
      </c>
      <c r="CB13" s="206"/>
      <c r="CC13" s="206"/>
      <c r="CD13" s="205" t="s">
        <v>242</v>
      </c>
      <c r="CE13" s="206" t="s">
        <v>344</v>
      </c>
      <c r="CF13" s="206"/>
      <c r="CG13" s="207">
        <v>1237.2399999999998</v>
      </c>
      <c r="CH13" s="206">
        <f>1562.76+394.5</f>
        <v>1957.26</v>
      </c>
      <c r="CI13" s="207">
        <f t="shared" si="0"/>
        <v>3194.5</v>
      </c>
      <c r="CJ13" s="207"/>
      <c r="CK13" s="207"/>
      <c r="CL13" s="207"/>
      <c r="CM13" s="208"/>
      <c r="CN13" s="153">
        <f t="shared" si="1"/>
        <v>3194.5</v>
      </c>
      <c r="CO13" s="207"/>
      <c r="CP13" s="139"/>
      <c r="CQ13" s="139"/>
      <c r="CR13" s="139"/>
      <c r="CS13" s="209"/>
      <c r="CT13" s="205">
        <v>0</v>
      </c>
      <c r="CU13" s="153">
        <f t="shared" si="21"/>
        <v>3194.5</v>
      </c>
      <c r="CV13" s="139">
        <f t="shared" si="2"/>
        <v>0</v>
      </c>
      <c r="CW13" s="153">
        <f t="shared" si="22"/>
        <v>3194.5</v>
      </c>
      <c r="CX13" s="139">
        <f t="shared" si="3"/>
        <v>319.45000000000005</v>
      </c>
      <c r="CY13" s="139">
        <f t="shared" si="4"/>
        <v>24.744799999999998</v>
      </c>
      <c r="CZ13" s="153">
        <f t="shared" si="5"/>
        <v>3538.6947999999998</v>
      </c>
      <c r="DA13" s="141"/>
      <c r="DB13" s="142">
        <f t="shared" si="23"/>
        <v>-3194.5</v>
      </c>
      <c r="DC13" s="141"/>
      <c r="DD13" s="141"/>
      <c r="DE13" s="142">
        <f t="shared" si="24"/>
        <v>0</v>
      </c>
      <c r="DF13" s="143">
        <v>1461266403</v>
      </c>
      <c r="DG13" s="143"/>
      <c r="DH13" s="143"/>
      <c r="DI13" s="143"/>
      <c r="DJ13" s="143"/>
      <c r="DK13" s="202">
        <f>+'C&amp;A'!I14+SINDICATO!E14</f>
        <v>3319.6205678096517</v>
      </c>
      <c r="DL13" s="142">
        <f t="shared" si="25"/>
        <v>0</v>
      </c>
      <c r="DM13" s="195">
        <f t="shared" si="26"/>
        <v>3319.6205678096517</v>
      </c>
      <c r="DN13" s="195">
        <f t="shared" si="27"/>
        <v>3319.6205678096517</v>
      </c>
      <c r="DO13" s="139">
        <f t="shared" si="28"/>
        <v>331.96205678096521</v>
      </c>
      <c r="DP13" s="139">
        <f t="shared" si="29"/>
        <v>0</v>
      </c>
      <c r="DQ13" s="34"/>
      <c r="DR13" s="34"/>
    </row>
    <row r="14" spans="1:122" ht="16.5" x14ac:dyDescent="0.3">
      <c r="A14" s="33" t="s">
        <v>43</v>
      </c>
      <c r="B14" s="34" t="s">
        <v>44</v>
      </c>
      <c r="C14" s="35">
        <v>6000</v>
      </c>
      <c r="D14" s="35">
        <v>0</v>
      </c>
      <c r="E14" s="35">
        <f t="shared" si="6"/>
        <v>0</v>
      </c>
      <c r="F14" s="35">
        <v>0</v>
      </c>
      <c r="G14" s="35">
        <f>1100*5</f>
        <v>5500</v>
      </c>
      <c r="H14" s="35">
        <v>0</v>
      </c>
      <c r="I14" s="35">
        <v>0</v>
      </c>
      <c r="J14" s="197">
        <v>0</v>
      </c>
      <c r="K14" s="35">
        <v>0</v>
      </c>
      <c r="L14" s="35">
        <f t="shared" si="7"/>
        <v>0</v>
      </c>
      <c r="M14" s="35">
        <f t="shared" si="8"/>
        <v>504.77</v>
      </c>
      <c r="N14" s="35">
        <f t="shared" si="9"/>
        <v>76.56</v>
      </c>
      <c r="O14" s="35"/>
      <c r="P14" s="35">
        <f t="shared" si="10"/>
        <v>0</v>
      </c>
      <c r="Q14" s="35">
        <f t="shared" si="11"/>
        <v>1150</v>
      </c>
      <c r="R14" s="35">
        <f t="shared" si="12"/>
        <v>9768.67</v>
      </c>
      <c r="S14" s="35">
        <f t="shared" si="13"/>
        <v>10918.67</v>
      </c>
      <c r="T14" s="35">
        <v>0</v>
      </c>
      <c r="U14" s="35">
        <f>+'C&amp;A'!E15*0.02</f>
        <v>21.911999999999999</v>
      </c>
      <c r="V14" s="35">
        <f t="shared" si="14"/>
        <v>10940.582</v>
      </c>
      <c r="W14" s="35">
        <f t="shared" si="15"/>
        <v>1750.4931200000001</v>
      </c>
      <c r="X14" s="35">
        <f t="shared" si="16"/>
        <v>12691.075120000001</v>
      </c>
      <c r="Y14" s="40"/>
      <c r="Z14" s="7" t="s">
        <v>148</v>
      </c>
      <c r="AA14" s="7" t="s">
        <v>149</v>
      </c>
      <c r="AB14" s="8" t="s">
        <v>254</v>
      </c>
      <c r="AC14" s="9">
        <v>6000</v>
      </c>
      <c r="AD14" s="20"/>
      <c r="AE14" s="17">
        <f>+S14-'C&amp;A'!I15-SINDICATO!O15</f>
        <v>1150.0000000000018</v>
      </c>
      <c r="AF14" s="34" t="str">
        <f t="shared" si="17"/>
        <v>SI</v>
      </c>
      <c r="AG14" s="70" t="s">
        <v>43</v>
      </c>
      <c r="AH14" s="71" t="s">
        <v>44</v>
      </c>
      <c r="AI14" s="72">
        <v>1095.5999999999999</v>
      </c>
      <c r="AJ14" s="72">
        <v>0</v>
      </c>
      <c r="AK14" s="72">
        <v>0</v>
      </c>
      <c r="AL14" s="72">
        <v>0</v>
      </c>
      <c r="AM14" s="72">
        <v>0</v>
      </c>
      <c r="AN14" s="72">
        <v>0</v>
      </c>
      <c r="AO14" s="72">
        <v>1095.5999999999999</v>
      </c>
      <c r="AP14" s="72">
        <v>0</v>
      </c>
      <c r="AQ14" s="72">
        <v>0</v>
      </c>
      <c r="AR14" s="72">
        <v>0</v>
      </c>
      <c r="AS14" s="73">
        <v>-200.74</v>
      </c>
      <c r="AT14" s="73">
        <v>-141.59</v>
      </c>
      <c r="AU14" s="72">
        <v>59.15</v>
      </c>
      <c r="AV14" s="72">
        <v>0</v>
      </c>
      <c r="AW14" s="72">
        <v>0</v>
      </c>
      <c r="AX14" s="73">
        <v>-0.01</v>
      </c>
      <c r="AY14" s="72">
        <v>0</v>
      </c>
      <c r="AZ14" s="72">
        <v>0</v>
      </c>
      <c r="BA14" s="72">
        <v>-141.6</v>
      </c>
      <c r="BB14" s="72">
        <v>1237.2</v>
      </c>
      <c r="BC14" s="69">
        <f t="shared" si="18"/>
        <v>10918.67</v>
      </c>
      <c r="BD14" s="35">
        <f t="shared" si="19"/>
        <v>0</v>
      </c>
      <c r="BE14" s="35">
        <f>IF(BC14&gt;=5000,BC14*0.1,0)</f>
        <v>1091.867</v>
      </c>
      <c r="BF14" s="35"/>
      <c r="BG14" s="69">
        <v>23805.089999999997</v>
      </c>
      <c r="BH14" s="69">
        <v>2645.0099999999984</v>
      </c>
      <c r="BI14" s="83">
        <v>4905.09</v>
      </c>
      <c r="BJ14" s="34"/>
      <c r="BK14" s="34"/>
      <c r="BL14" s="34"/>
      <c r="BM14" s="34"/>
      <c r="BN14" s="69">
        <v>0</v>
      </c>
      <c r="BO14" s="34"/>
      <c r="BP14" s="69">
        <v>23805.089999999997</v>
      </c>
      <c r="BQ14" s="102">
        <v>0</v>
      </c>
      <c r="BR14" s="34"/>
      <c r="BS14" s="34"/>
      <c r="BT14" s="34"/>
      <c r="BU14" s="34"/>
      <c r="BV14" s="34"/>
      <c r="BW14" s="34"/>
      <c r="BX14" s="69" t="s">
        <v>457</v>
      </c>
      <c r="BY14" s="205" t="s">
        <v>346</v>
      </c>
      <c r="BZ14" s="205">
        <v>9</v>
      </c>
      <c r="CA14" s="205" t="s">
        <v>353</v>
      </c>
      <c r="CB14" s="210"/>
      <c r="CC14" s="210"/>
      <c r="CD14" s="205" t="s">
        <v>254</v>
      </c>
      <c r="CE14" s="206"/>
      <c r="CF14" s="206"/>
      <c r="CG14" s="207">
        <v>1237.2399999999998</v>
      </c>
      <c r="CH14" s="206">
        <v>4762.76</v>
      </c>
      <c r="CI14" s="207">
        <f t="shared" si="0"/>
        <v>6000</v>
      </c>
      <c r="CJ14" s="207"/>
      <c r="CK14" s="207"/>
      <c r="CL14" s="207"/>
      <c r="CM14" s="208"/>
      <c r="CN14" s="153">
        <f t="shared" si="1"/>
        <v>6000</v>
      </c>
      <c r="CO14" s="207"/>
      <c r="CP14" s="139">
        <v>76.56</v>
      </c>
      <c r="CQ14" s="139"/>
      <c r="CR14" s="139"/>
      <c r="CS14" s="205">
        <v>504.77</v>
      </c>
      <c r="CT14" s="205">
        <v>0</v>
      </c>
      <c r="CU14" s="153">
        <f t="shared" si="21"/>
        <v>5418.67</v>
      </c>
      <c r="CV14" s="139">
        <f t="shared" si="2"/>
        <v>600</v>
      </c>
      <c r="CW14" s="153">
        <f t="shared" si="22"/>
        <v>4818.67</v>
      </c>
      <c r="CX14" s="139">
        <f t="shared" si="3"/>
        <v>0</v>
      </c>
      <c r="CY14" s="139">
        <f t="shared" si="4"/>
        <v>24.744799999999998</v>
      </c>
      <c r="CZ14" s="153">
        <f t="shared" si="5"/>
        <v>6024.7448000000004</v>
      </c>
      <c r="DA14" s="141"/>
      <c r="DB14" s="142">
        <f t="shared" si="23"/>
        <v>-4818.67</v>
      </c>
      <c r="DC14" s="141"/>
      <c r="DD14" s="141"/>
      <c r="DE14" s="142">
        <f t="shared" si="24"/>
        <v>0</v>
      </c>
      <c r="DF14" s="143">
        <v>1467420064</v>
      </c>
      <c r="DG14" s="128" t="s">
        <v>354</v>
      </c>
      <c r="DH14" s="143"/>
      <c r="DI14" s="143"/>
      <c r="DJ14" s="143"/>
      <c r="DK14" s="202">
        <f>+'C&amp;A'!I15+SINDICATO!E15</f>
        <v>11500</v>
      </c>
      <c r="DL14" s="142">
        <f t="shared" si="25"/>
        <v>0</v>
      </c>
      <c r="DM14" s="195">
        <f t="shared" si="26"/>
        <v>11500</v>
      </c>
      <c r="DN14" s="195">
        <f t="shared" si="27"/>
        <v>11500</v>
      </c>
      <c r="DO14" s="139">
        <f t="shared" si="28"/>
        <v>0</v>
      </c>
      <c r="DP14" s="139">
        <f t="shared" si="29"/>
        <v>1150</v>
      </c>
      <c r="DQ14" s="34"/>
      <c r="DR14" s="34"/>
    </row>
    <row r="15" spans="1:122" ht="16.5" x14ac:dyDescent="0.3">
      <c r="A15" s="33" t="s">
        <v>249</v>
      </c>
      <c r="B15" s="34" t="s">
        <v>452</v>
      </c>
      <c r="C15" s="35">
        <v>3000</v>
      </c>
      <c r="D15" s="35">
        <v>145.37389713135775</v>
      </c>
      <c r="E15" s="35">
        <f t="shared" si="6"/>
        <v>0</v>
      </c>
      <c r="F15" s="35">
        <v>0</v>
      </c>
      <c r="G15" s="35">
        <v>0</v>
      </c>
      <c r="H15" s="35">
        <v>0</v>
      </c>
      <c r="I15" s="35">
        <v>0</v>
      </c>
      <c r="J15" s="197">
        <v>0</v>
      </c>
      <c r="K15" s="35">
        <v>0</v>
      </c>
      <c r="L15" s="35">
        <f t="shared" si="7"/>
        <v>0</v>
      </c>
      <c r="M15" s="35">
        <f t="shared" si="8"/>
        <v>0</v>
      </c>
      <c r="N15" s="35">
        <f t="shared" si="9"/>
        <v>0</v>
      </c>
      <c r="O15" s="35"/>
      <c r="P15" s="35">
        <f t="shared" si="10"/>
        <v>0</v>
      </c>
      <c r="Q15" s="35">
        <f t="shared" si="11"/>
        <v>0</v>
      </c>
      <c r="R15" s="35">
        <f t="shared" si="12"/>
        <v>3145.3738971313578</v>
      </c>
      <c r="S15" s="35">
        <f t="shared" si="13"/>
        <v>3145.3738971313578</v>
      </c>
      <c r="T15" s="35">
        <v>300</v>
      </c>
      <c r="U15" s="35">
        <f>+'C&amp;A'!E16*0.02</f>
        <v>21.911999999999999</v>
      </c>
      <c r="V15" s="35">
        <f t="shared" si="14"/>
        <v>3467.2858971313576</v>
      </c>
      <c r="W15" s="35">
        <f t="shared" si="15"/>
        <v>554.76574354101729</v>
      </c>
      <c r="X15" s="35">
        <f t="shared" si="16"/>
        <v>4022.051640672375</v>
      </c>
      <c r="Y15" s="40"/>
      <c r="Z15" s="7" t="s">
        <v>150</v>
      </c>
      <c r="AA15" s="7" t="s">
        <v>151</v>
      </c>
      <c r="AB15" s="8" t="s">
        <v>243</v>
      </c>
      <c r="AC15" s="12">
        <v>1800</v>
      </c>
      <c r="AD15" s="18">
        <v>174.78</v>
      </c>
      <c r="AE15" s="17">
        <f>+S15-'C&amp;A'!I16-SINDICATO!O16</f>
        <v>0</v>
      </c>
      <c r="AF15" s="34" t="str">
        <f t="shared" si="17"/>
        <v>SI</v>
      </c>
      <c r="AG15" s="70" t="s">
        <v>249</v>
      </c>
      <c r="AH15" s="71" t="s">
        <v>276</v>
      </c>
      <c r="AI15" s="72">
        <v>1095.5999999999999</v>
      </c>
      <c r="AJ15" s="72">
        <v>0</v>
      </c>
      <c r="AK15" s="72">
        <v>0</v>
      </c>
      <c r="AL15" s="72">
        <v>0</v>
      </c>
      <c r="AM15" s="72">
        <v>0</v>
      </c>
      <c r="AN15" s="72">
        <v>0</v>
      </c>
      <c r="AO15" s="72">
        <v>1095.5999999999999</v>
      </c>
      <c r="AP15" s="72">
        <v>0</v>
      </c>
      <c r="AQ15" s="72">
        <v>0</v>
      </c>
      <c r="AR15" s="72">
        <v>0</v>
      </c>
      <c r="AS15" s="73">
        <v>-200.74</v>
      </c>
      <c r="AT15" s="73">
        <v>-141.59</v>
      </c>
      <c r="AU15" s="72">
        <v>59.15</v>
      </c>
      <c r="AV15" s="72">
        <v>0</v>
      </c>
      <c r="AW15" s="72">
        <v>0</v>
      </c>
      <c r="AX15" s="73">
        <v>-0.01</v>
      </c>
      <c r="AY15" s="72">
        <v>0</v>
      </c>
      <c r="AZ15" s="72">
        <v>0</v>
      </c>
      <c r="BA15" s="72">
        <v>-141.6</v>
      </c>
      <c r="BB15" s="72">
        <v>1237.2</v>
      </c>
      <c r="BC15" s="69">
        <f t="shared" si="18"/>
        <v>3145.3738971313578</v>
      </c>
      <c r="BD15" s="35">
        <f t="shared" si="19"/>
        <v>314.53738971313578</v>
      </c>
      <c r="BE15" s="35">
        <f t="shared" si="20"/>
        <v>0</v>
      </c>
      <c r="BF15" s="35"/>
      <c r="BG15" s="69">
        <v>3145.38</v>
      </c>
      <c r="BH15" s="69">
        <v>0</v>
      </c>
      <c r="BI15" s="83">
        <v>3145.38</v>
      </c>
      <c r="BJ15" s="34"/>
      <c r="BK15" s="34"/>
      <c r="BL15" s="34"/>
      <c r="BM15" s="34"/>
      <c r="BN15" s="69">
        <v>0</v>
      </c>
      <c r="BO15" s="34"/>
      <c r="BP15" s="69">
        <v>3145.38</v>
      </c>
      <c r="BQ15" s="102">
        <v>0</v>
      </c>
      <c r="BR15" s="34"/>
      <c r="BS15" s="34"/>
      <c r="BT15" s="34"/>
      <c r="BU15" s="34"/>
      <c r="BV15" s="34"/>
      <c r="BW15" s="34"/>
      <c r="BX15" s="69" t="s">
        <v>456</v>
      </c>
      <c r="BY15" s="211" t="s">
        <v>341</v>
      </c>
      <c r="BZ15" s="211" t="s">
        <v>249</v>
      </c>
      <c r="CA15" s="211" t="s">
        <v>355</v>
      </c>
      <c r="CB15" s="210"/>
      <c r="CC15" s="210"/>
      <c r="CD15" s="205" t="s">
        <v>356</v>
      </c>
      <c r="CE15" s="206" t="s">
        <v>344</v>
      </c>
      <c r="CF15" s="206"/>
      <c r="CG15" s="207">
        <v>1237.2399999999998</v>
      </c>
      <c r="CH15" s="206">
        <v>1762.76</v>
      </c>
      <c r="CI15" s="207">
        <f t="shared" si="0"/>
        <v>3000</v>
      </c>
      <c r="CJ15" s="207"/>
      <c r="CK15" s="207"/>
      <c r="CL15" s="207"/>
      <c r="CM15" s="208"/>
      <c r="CN15" s="153">
        <f t="shared" si="1"/>
        <v>3000</v>
      </c>
      <c r="CO15" s="207"/>
      <c r="CP15" s="139"/>
      <c r="CQ15" s="139"/>
      <c r="CR15" s="139"/>
      <c r="CS15" s="209"/>
      <c r="CT15" s="205">
        <v>0</v>
      </c>
      <c r="CU15" s="153">
        <f t="shared" si="21"/>
        <v>3000</v>
      </c>
      <c r="CV15" s="139">
        <f t="shared" si="2"/>
        <v>0</v>
      </c>
      <c r="CW15" s="153">
        <f t="shared" si="22"/>
        <v>3000</v>
      </c>
      <c r="CX15" s="139">
        <f t="shared" si="3"/>
        <v>300</v>
      </c>
      <c r="CY15" s="139">
        <f t="shared" si="4"/>
        <v>24.744799999999998</v>
      </c>
      <c r="CZ15" s="153">
        <f t="shared" si="5"/>
        <v>3324.7447999999999</v>
      </c>
      <c r="DA15" s="141"/>
      <c r="DB15" s="142">
        <f t="shared" si="23"/>
        <v>-3000</v>
      </c>
      <c r="DC15" s="141"/>
      <c r="DD15" s="141"/>
      <c r="DE15" s="142">
        <f t="shared" si="24"/>
        <v>0</v>
      </c>
      <c r="DF15" s="143">
        <v>2966659578</v>
      </c>
      <c r="DG15" s="143"/>
      <c r="DH15" s="143"/>
      <c r="DI15" s="143"/>
      <c r="DJ15" s="143"/>
      <c r="DK15" s="202">
        <f>+'C&amp;A'!I16+SINDICATO!E16</f>
        <v>3145.3738971313578</v>
      </c>
      <c r="DL15" s="142">
        <f t="shared" si="25"/>
        <v>0</v>
      </c>
      <c r="DM15" s="195">
        <f t="shared" si="26"/>
        <v>3145.3738971313578</v>
      </c>
      <c r="DN15" s="195">
        <f t="shared" si="27"/>
        <v>3145.3738971313578</v>
      </c>
      <c r="DO15" s="139">
        <f t="shared" si="28"/>
        <v>314.53738971313578</v>
      </c>
      <c r="DP15" s="139">
        <f t="shared" si="29"/>
        <v>0</v>
      </c>
      <c r="DQ15" s="34"/>
      <c r="DR15" s="34"/>
    </row>
    <row r="16" spans="1:122" ht="16.5" x14ac:dyDescent="0.3">
      <c r="A16" s="33" t="s">
        <v>45</v>
      </c>
      <c r="B16" s="34" t="s">
        <v>46</v>
      </c>
      <c r="C16" s="35">
        <v>2530</v>
      </c>
      <c r="D16" s="35">
        <v>160.37636329558455</v>
      </c>
      <c r="E16" s="35">
        <f t="shared" si="6"/>
        <v>0</v>
      </c>
      <c r="F16" s="35">
        <v>0</v>
      </c>
      <c r="G16" s="35">
        <v>0</v>
      </c>
      <c r="H16" s="35">
        <v>0</v>
      </c>
      <c r="I16" s="35">
        <v>0</v>
      </c>
      <c r="J16" s="197">
        <v>0</v>
      </c>
      <c r="K16" s="35">
        <v>0</v>
      </c>
      <c r="L16" s="35">
        <f t="shared" si="7"/>
        <v>0</v>
      </c>
      <c r="M16" s="35">
        <f t="shared" si="8"/>
        <v>0</v>
      </c>
      <c r="N16" s="35">
        <f t="shared" si="9"/>
        <v>0</v>
      </c>
      <c r="O16" s="35"/>
      <c r="P16" s="35">
        <f t="shared" si="10"/>
        <v>384.75</v>
      </c>
      <c r="Q16" s="35">
        <f t="shared" si="11"/>
        <v>0</v>
      </c>
      <c r="R16" s="35">
        <f t="shared" si="12"/>
        <v>2305.6263632955847</v>
      </c>
      <c r="S16" s="35">
        <f t="shared" si="13"/>
        <v>2690.3763632955847</v>
      </c>
      <c r="T16" s="35">
        <v>253</v>
      </c>
      <c r="U16" s="35">
        <f>+'C&amp;A'!E17*0.02</f>
        <v>21.911999999999999</v>
      </c>
      <c r="V16" s="35">
        <f t="shared" si="14"/>
        <v>2965.2883632955845</v>
      </c>
      <c r="W16" s="35">
        <f t="shared" si="15"/>
        <v>474.44613812729352</v>
      </c>
      <c r="X16" s="35">
        <f t="shared" si="16"/>
        <v>3439.7345014228781</v>
      </c>
      <c r="Y16" s="40"/>
      <c r="Z16" s="7" t="s">
        <v>250</v>
      </c>
      <c r="AA16" s="7" t="s">
        <v>251</v>
      </c>
      <c r="AB16" s="8" t="s">
        <v>239</v>
      </c>
      <c r="AC16" s="12">
        <v>3000</v>
      </c>
      <c r="AD16" s="18">
        <v>145.38</v>
      </c>
      <c r="AE16" s="17">
        <f>+S16-'C&amp;A'!I17-SINDICATO!O17</f>
        <v>384.75</v>
      </c>
      <c r="AF16" s="34" t="str">
        <f t="shared" si="17"/>
        <v>SI</v>
      </c>
      <c r="AG16" s="70" t="s">
        <v>45</v>
      </c>
      <c r="AH16" s="71" t="s">
        <v>46</v>
      </c>
      <c r="AI16" s="72">
        <v>1095.5999999999999</v>
      </c>
      <c r="AJ16" s="72">
        <v>0</v>
      </c>
      <c r="AK16" s="72">
        <v>0</v>
      </c>
      <c r="AL16" s="72">
        <v>0</v>
      </c>
      <c r="AM16" s="72">
        <v>0</v>
      </c>
      <c r="AN16" s="72">
        <v>0</v>
      </c>
      <c r="AO16" s="72">
        <v>1095.5999999999999</v>
      </c>
      <c r="AP16" s="72">
        <v>0</v>
      </c>
      <c r="AQ16" s="72">
        <v>0</v>
      </c>
      <c r="AR16" s="72">
        <v>0</v>
      </c>
      <c r="AS16" s="73">
        <v>-200.74</v>
      </c>
      <c r="AT16" s="73">
        <v>-141.59</v>
      </c>
      <c r="AU16" s="72">
        <v>59.15</v>
      </c>
      <c r="AV16" s="72">
        <v>0</v>
      </c>
      <c r="AW16" s="72">
        <v>0</v>
      </c>
      <c r="AX16" s="73">
        <v>-0.01</v>
      </c>
      <c r="AY16" s="72">
        <v>0</v>
      </c>
      <c r="AZ16" s="72">
        <v>0</v>
      </c>
      <c r="BA16" s="72">
        <v>-141.6</v>
      </c>
      <c r="BB16" s="72">
        <v>1237.2</v>
      </c>
      <c r="BC16" s="69">
        <f t="shared" si="18"/>
        <v>2305.6263632955847</v>
      </c>
      <c r="BD16" s="35">
        <f t="shared" si="19"/>
        <v>230.56263632955847</v>
      </c>
      <c r="BE16" s="35">
        <f t="shared" si="20"/>
        <v>0</v>
      </c>
      <c r="BF16" s="35"/>
      <c r="BG16" s="69">
        <v>1657.84</v>
      </c>
      <c r="BH16" s="69">
        <v>316.94</v>
      </c>
      <c r="BI16" s="83">
        <v>1657.84</v>
      </c>
      <c r="BJ16" s="34"/>
      <c r="BK16" s="34"/>
      <c r="BL16" s="34"/>
      <c r="BM16" s="34"/>
      <c r="BN16" s="69">
        <v>0</v>
      </c>
      <c r="BO16" s="34"/>
      <c r="BP16" s="69">
        <v>1657.84</v>
      </c>
      <c r="BQ16" s="102">
        <v>0</v>
      </c>
      <c r="BR16" s="34"/>
      <c r="BS16" s="34"/>
      <c r="BT16" s="34"/>
      <c r="BU16" s="34"/>
      <c r="BV16" s="34"/>
      <c r="BW16" s="34"/>
      <c r="BX16" s="69" t="s">
        <v>456</v>
      </c>
      <c r="BY16" s="205" t="s">
        <v>349</v>
      </c>
      <c r="BZ16" s="205">
        <v>2</v>
      </c>
      <c r="CA16" s="205" t="s">
        <v>357</v>
      </c>
      <c r="CB16" s="206"/>
      <c r="CC16" s="206"/>
      <c r="CD16" s="205" t="s">
        <v>243</v>
      </c>
      <c r="CE16" s="206" t="s">
        <v>344</v>
      </c>
      <c r="CF16" s="206"/>
      <c r="CG16" s="207">
        <v>1237.2399999999998</v>
      </c>
      <c r="CH16" s="206">
        <f>562.76+730</f>
        <v>1292.76</v>
      </c>
      <c r="CI16" s="207">
        <f t="shared" si="0"/>
        <v>2530</v>
      </c>
      <c r="CJ16" s="207"/>
      <c r="CK16" s="207"/>
      <c r="CL16" s="207"/>
      <c r="CM16" s="208"/>
      <c r="CN16" s="153">
        <f t="shared" si="1"/>
        <v>2530</v>
      </c>
      <c r="CO16" s="207"/>
      <c r="CP16" s="139"/>
      <c r="CQ16" s="139"/>
      <c r="CR16" s="139"/>
      <c r="CS16" s="209"/>
      <c r="CT16" s="205">
        <f>316.81+67.94</f>
        <v>384.75</v>
      </c>
      <c r="CU16" s="153">
        <f t="shared" si="21"/>
        <v>2145.25</v>
      </c>
      <c r="CV16" s="139">
        <f t="shared" si="2"/>
        <v>0</v>
      </c>
      <c r="CW16" s="153">
        <f t="shared" si="22"/>
        <v>2145.25</v>
      </c>
      <c r="CX16" s="139">
        <f t="shared" si="3"/>
        <v>253</v>
      </c>
      <c r="CY16" s="139">
        <f t="shared" si="4"/>
        <v>24.744799999999998</v>
      </c>
      <c r="CZ16" s="153">
        <f t="shared" si="5"/>
        <v>2807.7447999999999</v>
      </c>
      <c r="DA16" s="141"/>
      <c r="DB16" s="142">
        <f t="shared" si="23"/>
        <v>-2145.25</v>
      </c>
      <c r="DC16" s="141"/>
      <c r="DD16" s="141"/>
      <c r="DE16" s="142">
        <f t="shared" si="24"/>
        <v>0</v>
      </c>
      <c r="DF16" s="143">
        <v>2615562821</v>
      </c>
      <c r="DG16" s="143"/>
      <c r="DH16" s="143"/>
      <c r="DI16" s="143"/>
      <c r="DJ16" s="143"/>
      <c r="DK16" s="202">
        <f>+'C&amp;A'!I17+SINDICATO!E17</f>
        <v>2690.3763632955847</v>
      </c>
      <c r="DL16" s="142">
        <f t="shared" si="25"/>
        <v>0</v>
      </c>
      <c r="DM16" s="195">
        <f t="shared" si="26"/>
        <v>2690.3763632955847</v>
      </c>
      <c r="DN16" s="195">
        <f t="shared" si="27"/>
        <v>2690.3763632955847</v>
      </c>
      <c r="DO16" s="139">
        <f t="shared" si="28"/>
        <v>269.0376363295585</v>
      </c>
      <c r="DP16" s="139">
        <f t="shared" si="29"/>
        <v>0</v>
      </c>
      <c r="DQ16" s="34"/>
      <c r="DR16" s="34"/>
    </row>
    <row r="17" spans="1:122" ht="16.5" x14ac:dyDescent="0.3">
      <c r="A17" s="33" t="s">
        <v>47</v>
      </c>
      <c r="B17" s="34" t="s">
        <v>48</v>
      </c>
      <c r="C17" s="35">
        <v>5556</v>
      </c>
      <c r="D17" s="35">
        <v>0</v>
      </c>
      <c r="E17" s="35">
        <f t="shared" si="6"/>
        <v>0</v>
      </c>
      <c r="F17" s="35">
        <v>0</v>
      </c>
      <c r="G17" s="35">
        <v>0</v>
      </c>
      <c r="H17" s="35">
        <v>0</v>
      </c>
      <c r="I17" s="35">
        <v>0</v>
      </c>
      <c r="J17" s="197">
        <v>0</v>
      </c>
      <c r="K17" s="35">
        <v>0</v>
      </c>
      <c r="L17" s="35">
        <f t="shared" si="7"/>
        <v>0</v>
      </c>
      <c r="M17" s="35">
        <f t="shared" si="8"/>
        <v>0</v>
      </c>
      <c r="N17" s="35">
        <f t="shared" si="9"/>
        <v>0</v>
      </c>
      <c r="O17" s="35"/>
      <c r="P17" s="35">
        <f t="shared" si="10"/>
        <v>0</v>
      </c>
      <c r="Q17" s="35">
        <f t="shared" si="11"/>
        <v>555.6</v>
      </c>
      <c r="R17" s="35">
        <f t="shared" si="12"/>
        <v>5000.3999999999996</v>
      </c>
      <c r="S17" s="35">
        <f t="shared" si="13"/>
        <v>5556</v>
      </c>
      <c r="T17" s="35">
        <v>0</v>
      </c>
      <c r="U17" s="35">
        <f>+'C&amp;A'!E18*0.02</f>
        <v>21.911999999999999</v>
      </c>
      <c r="V17" s="35">
        <f t="shared" si="14"/>
        <v>5577.9120000000003</v>
      </c>
      <c r="W17" s="35">
        <f t="shared" si="15"/>
        <v>892.4659200000001</v>
      </c>
      <c r="X17" s="35">
        <f t="shared" si="16"/>
        <v>6470.3779200000008</v>
      </c>
      <c r="Y17" s="40"/>
      <c r="Z17" s="7" t="s">
        <v>152</v>
      </c>
      <c r="AA17" s="7" t="s">
        <v>153</v>
      </c>
      <c r="AB17" s="8" t="s">
        <v>236</v>
      </c>
      <c r="AC17" s="9">
        <v>5000</v>
      </c>
      <c r="AD17" s="17"/>
      <c r="AE17" s="17">
        <f>+S17-'C&amp;A'!I18-SINDICATO!O18</f>
        <v>555.59999999999991</v>
      </c>
      <c r="AF17" s="34" t="str">
        <f t="shared" si="17"/>
        <v>SI</v>
      </c>
      <c r="AG17" s="70" t="s">
        <v>47</v>
      </c>
      <c r="AH17" s="71" t="s">
        <v>48</v>
      </c>
      <c r="AI17" s="72">
        <v>1095.5999999999999</v>
      </c>
      <c r="AJ17" s="72">
        <v>0</v>
      </c>
      <c r="AK17" s="72">
        <v>0</v>
      </c>
      <c r="AL17" s="72">
        <v>0</v>
      </c>
      <c r="AM17" s="72">
        <v>0</v>
      </c>
      <c r="AN17" s="72">
        <v>0</v>
      </c>
      <c r="AO17" s="72">
        <v>1095.5999999999999</v>
      </c>
      <c r="AP17" s="72">
        <v>0</v>
      </c>
      <c r="AQ17" s="72">
        <v>0</v>
      </c>
      <c r="AR17" s="72">
        <v>0</v>
      </c>
      <c r="AS17" s="73">
        <v>-200.74</v>
      </c>
      <c r="AT17" s="73">
        <v>-141.59</v>
      </c>
      <c r="AU17" s="72">
        <v>59.15</v>
      </c>
      <c r="AV17" s="72">
        <v>0</v>
      </c>
      <c r="AW17" s="72">
        <v>0</v>
      </c>
      <c r="AX17" s="73">
        <v>-0.01</v>
      </c>
      <c r="AY17" s="72">
        <v>0</v>
      </c>
      <c r="AZ17" s="72">
        <v>0</v>
      </c>
      <c r="BA17" s="72">
        <v>-141.6</v>
      </c>
      <c r="BB17" s="72">
        <v>1237.2</v>
      </c>
      <c r="BC17" s="69">
        <f t="shared" si="18"/>
        <v>5556</v>
      </c>
      <c r="BD17" s="35">
        <f t="shared" si="19"/>
        <v>0</v>
      </c>
      <c r="BE17" s="35">
        <f t="shared" si="20"/>
        <v>555.6</v>
      </c>
      <c r="BF17" s="35"/>
      <c r="BG17" s="69">
        <v>5000</v>
      </c>
      <c r="BH17" s="69">
        <v>500</v>
      </c>
      <c r="BI17" s="83">
        <v>4500</v>
      </c>
      <c r="BJ17" s="34"/>
      <c r="BK17" s="34"/>
      <c r="BL17" s="34"/>
      <c r="BM17" s="34"/>
      <c r="BN17" s="69">
        <v>0</v>
      </c>
      <c r="BO17" s="34"/>
      <c r="BP17" s="69">
        <v>5000</v>
      </c>
      <c r="BQ17" s="102">
        <v>0</v>
      </c>
      <c r="BR17" s="34"/>
      <c r="BS17" s="34"/>
      <c r="BT17" s="34"/>
      <c r="BU17" s="34"/>
      <c r="BV17" s="34"/>
      <c r="BW17" s="34"/>
      <c r="BX17" s="69" t="s">
        <v>457</v>
      </c>
      <c r="BY17" s="205" t="s">
        <v>346</v>
      </c>
      <c r="BZ17" s="205" t="s">
        <v>47</v>
      </c>
      <c r="CA17" s="205" t="s">
        <v>358</v>
      </c>
      <c r="CB17" s="210"/>
      <c r="CC17" s="210"/>
      <c r="CD17" s="205" t="s">
        <v>348</v>
      </c>
      <c r="CE17" s="206" t="s">
        <v>344</v>
      </c>
      <c r="CF17" s="206"/>
      <c r="CG17" s="207">
        <v>1237.2399999999998</v>
      </c>
      <c r="CH17" s="206">
        <f>3762.76+500+56</f>
        <v>4318.76</v>
      </c>
      <c r="CI17" s="207">
        <f>+CG17+CH17</f>
        <v>5556</v>
      </c>
      <c r="CJ17" s="207"/>
      <c r="CK17" s="207"/>
      <c r="CL17" s="207"/>
      <c r="CM17" s="208"/>
      <c r="CN17" s="153">
        <f t="shared" si="1"/>
        <v>5556</v>
      </c>
      <c r="CO17" s="207"/>
      <c r="CP17" s="139"/>
      <c r="CQ17" s="139"/>
      <c r="CR17" s="139"/>
      <c r="CS17" s="209"/>
      <c r="CT17" s="205">
        <v>0</v>
      </c>
      <c r="CU17" s="153">
        <f t="shared" si="21"/>
        <v>5556</v>
      </c>
      <c r="CV17" s="139">
        <f t="shared" si="2"/>
        <v>555.6</v>
      </c>
      <c r="CW17" s="153">
        <f t="shared" si="22"/>
        <v>5000.3999999999996</v>
      </c>
      <c r="CX17" s="139">
        <f t="shared" si="3"/>
        <v>0</v>
      </c>
      <c r="CY17" s="139">
        <f t="shared" si="4"/>
        <v>24.744799999999998</v>
      </c>
      <c r="CZ17" s="153">
        <f t="shared" si="5"/>
        <v>5580.7448000000004</v>
      </c>
      <c r="DA17" s="141"/>
      <c r="DB17" s="142">
        <f t="shared" si="23"/>
        <v>-5000.3999999999996</v>
      </c>
      <c r="DC17" s="141"/>
      <c r="DD17" s="141"/>
      <c r="DE17" s="142">
        <f t="shared" si="24"/>
        <v>0</v>
      </c>
      <c r="DF17" s="143">
        <v>2987650868</v>
      </c>
      <c r="DG17" s="143"/>
      <c r="DH17" s="143"/>
      <c r="DI17" s="143"/>
      <c r="DJ17" s="143"/>
      <c r="DK17" s="202">
        <f>+'C&amp;A'!I18+SINDICATO!E18</f>
        <v>5556</v>
      </c>
      <c r="DL17" s="142">
        <f t="shared" si="25"/>
        <v>0</v>
      </c>
      <c r="DM17" s="195">
        <f t="shared" si="26"/>
        <v>5556</v>
      </c>
      <c r="DN17" s="195">
        <f t="shared" si="27"/>
        <v>5556</v>
      </c>
      <c r="DO17" s="139">
        <f t="shared" si="28"/>
        <v>0</v>
      </c>
      <c r="DP17" s="139">
        <f t="shared" si="29"/>
        <v>555.6</v>
      </c>
      <c r="DQ17" s="34"/>
      <c r="DR17" s="34"/>
    </row>
    <row r="18" spans="1:122" ht="16.5" x14ac:dyDescent="0.3">
      <c r="A18" s="33" t="s">
        <v>49</v>
      </c>
      <c r="B18" s="34" t="s">
        <v>50</v>
      </c>
      <c r="C18" s="35">
        <v>2500</v>
      </c>
      <c r="D18" s="35">
        <v>160.37636329558455</v>
      </c>
      <c r="E18" s="35">
        <f t="shared" si="6"/>
        <v>0</v>
      </c>
      <c r="F18" s="35">
        <v>0</v>
      </c>
      <c r="G18" s="35">
        <v>0</v>
      </c>
      <c r="H18" s="35">
        <v>0</v>
      </c>
      <c r="I18" s="35">
        <v>0</v>
      </c>
      <c r="J18" s="197">
        <v>0</v>
      </c>
      <c r="K18" s="35">
        <v>0</v>
      </c>
      <c r="L18" s="35">
        <f t="shared" si="7"/>
        <v>0</v>
      </c>
      <c r="M18" s="35">
        <f t="shared" si="8"/>
        <v>0</v>
      </c>
      <c r="N18" s="35">
        <f t="shared" si="9"/>
        <v>0</v>
      </c>
      <c r="O18" s="35"/>
      <c r="P18" s="35">
        <f t="shared" si="10"/>
        <v>726.91</v>
      </c>
      <c r="Q18" s="35">
        <f t="shared" si="11"/>
        <v>0</v>
      </c>
      <c r="R18" s="35">
        <f t="shared" si="12"/>
        <v>1933.4663632955849</v>
      </c>
      <c r="S18" s="35">
        <f t="shared" si="13"/>
        <v>2660.3763632955847</v>
      </c>
      <c r="T18" s="35">
        <v>250</v>
      </c>
      <c r="U18" s="35">
        <f>+'C&amp;A'!E19*0.02</f>
        <v>21.911999999999999</v>
      </c>
      <c r="V18" s="35">
        <f t="shared" si="14"/>
        <v>2932.2883632955845</v>
      </c>
      <c r="W18" s="35">
        <f t="shared" si="15"/>
        <v>469.16613812729355</v>
      </c>
      <c r="X18" s="35">
        <f t="shared" si="16"/>
        <v>3401.4545014228779</v>
      </c>
      <c r="Y18" s="40"/>
      <c r="Z18" s="7" t="s">
        <v>154</v>
      </c>
      <c r="AA18" s="7" t="s">
        <v>155</v>
      </c>
      <c r="AB18" s="8" t="s">
        <v>258</v>
      </c>
      <c r="AC18" s="12">
        <v>2500</v>
      </c>
      <c r="AD18" s="18">
        <v>145.38</v>
      </c>
      <c r="AE18" s="17">
        <f>+S18-'C&amp;A'!I19-SINDICATO!O19</f>
        <v>726.91</v>
      </c>
      <c r="AF18" s="34" t="str">
        <f t="shared" si="17"/>
        <v>SI</v>
      </c>
      <c r="AG18" s="70" t="s">
        <v>49</v>
      </c>
      <c r="AH18" s="71" t="s">
        <v>50</v>
      </c>
      <c r="AI18" s="72">
        <v>1095.5999999999999</v>
      </c>
      <c r="AJ18" s="72">
        <v>0</v>
      </c>
      <c r="AK18" s="72">
        <v>0</v>
      </c>
      <c r="AL18" s="72">
        <v>0</v>
      </c>
      <c r="AM18" s="72">
        <v>0</v>
      </c>
      <c r="AN18" s="72">
        <v>0</v>
      </c>
      <c r="AO18" s="72">
        <v>1095.5999999999999</v>
      </c>
      <c r="AP18" s="72">
        <v>0</v>
      </c>
      <c r="AQ18" s="72">
        <v>0</v>
      </c>
      <c r="AR18" s="72">
        <v>0</v>
      </c>
      <c r="AS18" s="73">
        <v>-200.74</v>
      </c>
      <c r="AT18" s="73">
        <v>-141.59</v>
      </c>
      <c r="AU18" s="72">
        <v>59.15</v>
      </c>
      <c r="AV18" s="72">
        <v>0</v>
      </c>
      <c r="AW18" s="72">
        <v>0</v>
      </c>
      <c r="AX18" s="73">
        <v>-0.01</v>
      </c>
      <c r="AY18" s="72">
        <v>0</v>
      </c>
      <c r="AZ18" s="72">
        <v>0</v>
      </c>
      <c r="BA18" s="72">
        <v>-141.6</v>
      </c>
      <c r="BB18" s="72">
        <v>1237.2</v>
      </c>
      <c r="BC18" s="69">
        <f t="shared" si="18"/>
        <v>1933.4663632955849</v>
      </c>
      <c r="BD18" s="35">
        <f t="shared" si="19"/>
        <v>193.34663632955849</v>
      </c>
      <c r="BE18" s="35">
        <f t="shared" si="20"/>
        <v>0</v>
      </c>
      <c r="BF18" s="35"/>
      <c r="BG18" s="69">
        <v>4418.47</v>
      </c>
      <c r="BH18" s="69">
        <v>726.90999999999985</v>
      </c>
      <c r="BI18" s="83">
        <v>4418.47</v>
      </c>
      <c r="BJ18" s="34"/>
      <c r="BK18" s="34"/>
      <c r="BL18" s="34"/>
      <c r="BM18" s="34"/>
      <c r="BN18" s="69">
        <v>0</v>
      </c>
      <c r="BO18" s="34"/>
      <c r="BP18" s="69">
        <v>4418.47</v>
      </c>
      <c r="BQ18" s="102">
        <v>0</v>
      </c>
      <c r="BR18" s="34"/>
      <c r="BS18" s="34"/>
      <c r="BT18" s="34"/>
      <c r="BU18" s="34"/>
      <c r="BV18" s="34"/>
      <c r="BW18" s="34"/>
      <c r="BX18" s="69" t="s">
        <v>458</v>
      </c>
      <c r="BY18" s="129" t="s">
        <v>359</v>
      </c>
      <c r="BZ18" s="129" t="s">
        <v>49</v>
      </c>
      <c r="CA18" s="129" t="s">
        <v>154</v>
      </c>
      <c r="CB18" s="130"/>
      <c r="CC18" s="130"/>
      <c r="CD18" s="129" t="s">
        <v>258</v>
      </c>
      <c r="CE18" s="144"/>
      <c r="CF18" s="144"/>
      <c r="CG18" s="132">
        <v>1237.2399999999998</v>
      </c>
      <c r="CH18" s="144">
        <v>1262.7600000000002</v>
      </c>
      <c r="CI18" s="132">
        <f t="shared" si="0"/>
        <v>2500</v>
      </c>
      <c r="CJ18" s="132"/>
      <c r="CK18" s="132"/>
      <c r="CL18" s="132"/>
      <c r="CM18" s="134"/>
      <c r="CN18" s="135">
        <f t="shared" si="1"/>
        <v>2500</v>
      </c>
      <c r="CO18" s="136"/>
      <c r="CP18" s="137"/>
      <c r="CQ18" s="137"/>
      <c r="CR18" s="137"/>
      <c r="CS18" s="138"/>
      <c r="CT18" s="129">
        <v>726.91</v>
      </c>
      <c r="CU18" s="135">
        <f>+CN18-SUM(CO18:CT18)</f>
        <v>1773.0900000000001</v>
      </c>
      <c r="CV18" s="139">
        <f>IF(CN18&gt;4500,CN18*0.1,0)</f>
        <v>0</v>
      </c>
      <c r="CW18" s="135">
        <f>+CU18-CV18</f>
        <v>1773.0900000000001</v>
      </c>
      <c r="CX18" s="140">
        <f t="shared" si="3"/>
        <v>250</v>
      </c>
      <c r="CY18" s="139">
        <f t="shared" si="4"/>
        <v>24.744799999999998</v>
      </c>
      <c r="CZ18" s="135">
        <f t="shared" si="5"/>
        <v>2774.7447999999999</v>
      </c>
      <c r="DA18" s="141"/>
      <c r="DB18" s="142">
        <f t="shared" si="23"/>
        <v>-1773.0900000000001</v>
      </c>
      <c r="DC18" s="141"/>
      <c r="DD18" s="141"/>
      <c r="DE18" s="142">
        <f t="shared" si="24"/>
        <v>0</v>
      </c>
      <c r="DF18" s="143">
        <v>2985423643</v>
      </c>
      <c r="DG18" s="143"/>
      <c r="DH18" s="143"/>
      <c r="DI18" s="143"/>
      <c r="DJ18" s="143"/>
      <c r="DK18" s="202">
        <f>+'C&amp;A'!I19+SINDICATO!E19</f>
        <v>2660.3763632955847</v>
      </c>
      <c r="DL18" s="142">
        <f t="shared" si="25"/>
        <v>0</v>
      </c>
      <c r="DM18" s="195">
        <f t="shared" si="26"/>
        <v>2660.3763632955847</v>
      </c>
      <c r="DN18" s="195">
        <f t="shared" si="27"/>
        <v>2660.3763632955847</v>
      </c>
      <c r="DO18" s="140">
        <f t="shared" si="28"/>
        <v>266.0376363295585</v>
      </c>
      <c r="DP18" s="140">
        <f t="shared" si="29"/>
        <v>0</v>
      </c>
      <c r="DQ18" s="34"/>
      <c r="DR18" s="34"/>
    </row>
    <row r="19" spans="1:122" ht="16.5" x14ac:dyDescent="0.3">
      <c r="A19" s="33" t="s">
        <v>51</v>
      </c>
      <c r="B19" s="34" t="s">
        <v>52</v>
      </c>
      <c r="C19" s="35">
        <v>4000</v>
      </c>
      <c r="D19" s="35">
        <v>0</v>
      </c>
      <c r="E19" s="35">
        <f t="shared" si="6"/>
        <v>0</v>
      </c>
      <c r="F19" s="35">
        <v>0</v>
      </c>
      <c r="G19" s="35">
        <v>0</v>
      </c>
      <c r="H19" s="35">
        <v>0</v>
      </c>
      <c r="I19" s="35">
        <v>0</v>
      </c>
      <c r="J19" s="197">
        <v>0</v>
      </c>
      <c r="K19" s="35">
        <v>0</v>
      </c>
      <c r="L19" s="35">
        <f t="shared" si="7"/>
        <v>0</v>
      </c>
      <c r="M19" s="35">
        <f t="shared" si="8"/>
        <v>0</v>
      </c>
      <c r="N19" s="35">
        <f t="shared" si="9"/>
        <v>117.81</v>
      </c>
      <c r="O19" s="35"/>
      <c r="P19" s="35">
        <f t="shared" si="10"/>
        <v>1412.19</v>
      </c>
      <c r="Q19" s="35">
        <f t="shared" si="11"/>
        <v>0</v>
      </c>
      <c r="R19" s="35">
        <f t="shared" si="12"/>
        <v>2470</v>
      </c>
      <c r="S19" s="35">
        <f t="shared" si="13"/>
        <v>3882.19</v>
      </c>
      <c r="T19" s="35">
        <v>400</v>
      </c>
      <c r="U19" s="35">
        <f>+'C&amp;A'!E20*0.02</f>
        <v>21.911999999999999</v>
      </c>
      <c r="V19" s="35">
        <f t="shared" si="14"/>
        <v>4304.1020000000008</v>
      </c>
      <c r="W19" s="35">
        <f t="shared" si="15"/>
        <v>688.65632000000016</v>
      </c>
      <c r="X19" s="35">
        <f t="shared" si="16"/>
        <v>4992.7583200000008</v>
      </c>
      <c r="Y19" s="40"/>
      <c r="Z19" s="7" t="s">
        <v>156</v>
      </c>
      <c r="AA19" s="7" t="s">
        <v>157</v>
      </c>
      <c r="AB19" s="8" t="s">
        <v>238</v>
      </c>
      <c r="AC19" s="12">
        <v>4000</v>
      </c>
      <c r="AD19" s="18"/>
      <c r="AE19" s="17">
        <f>+S19-'C&amp;A'!I20-SINDICATO!O20</f>
        <v>1412.19</v>
      </c>
      <c r="AF19" s="34" t="str">
        <f t="shared" si="17"/>
        <v>SI</v>
      </c>
      <c r="AG19" s="70" t="s">
        <v>51</v>
      </c>
      <c r="AH19" s="71" t="s">
        <v>52</v>
      </c>
      <c r="AI19" s="72">
        <v>1095.5999999999999</v>
      </c>
      <c r="AJ19" s="72">
        <v>0</v>
      </c>
      <c r="AK19" s="72">
        <v>0</v>
      </c>
      <c r="AL19" s="72">
        <v>0</v>
      </c>
      <c r="AM19" s="72">
        <v>0</v>
      </c>
      <c r="AN19" s="72">
        <v>0</v>
      </c>
      <c r="AO19" s="72">
        <v>1095.5999999999999</v>
      </c>
      <c r="AP19" s="72">
        <v>0</v>
      </c>
      <c r="AQ19" s="72">
        <v>0</v>
      </c>
      <c r="AR19" s="72">
        <v>0</v>
      </c>
      <c r="AS19" s="73">
        <v>-200.74</v>
      </c>
      <c r="AT19" s="73">
        <v>-141.59</v>
      </c>
      <c r="AU19" s="72">
        <v>59.15</v>
      </c>
      <c r="AV19" s="72">
        <v>0</v>
      </c>
      <c r="AW19" s="72">
        <v>0</v>
      </c>
      <c r="AX19" s="73">
        <v>-0.01</v>
      </c>
      <c r="AY19" s="72">
        <v>0</v>
      </c>
      <c r="AZ19" s="72">
        <v>0</v>
      </c>
      <c r="BA19" s="72">
        <v>-141.6</v>
      </c>
      <c r="BB19" s="72">
        <v>1237.2</v>
      </c>
      <c r="BC19" s="69">
        <f t="shared" si="18"/>
        <v>2470</v>
      </c>
      <c r="BD19" s="35">
        <f t="shared" si="19"/>
        <v>247</v>
      </c>
      <c r="BE19" s="35">
        <f t="shared" si="20"/>
        <v>0</v>
      </c>
      <c r="BF19" s="35"/>
      <c r="BG19" s="69">
        <v>3048.1</v>
      </c>
      <c r="BH19" s="69">
        <v>906.77</v>
      </c>
      <c r="BI19" s="83">
        <v>3048.1000000000004</v>
      </c>
      <c r="BJ19" s="34"/>
      <c r="BK19" s="34"/>
      <c r="BL19" s="34"/>
      <c r="BM19" s="34"/>
      <c r="BN19" s="69">
        <v>0</v>
      </c>
      <c r="BO19" s="34"/>
      <c r="BP19" s="69">
        <v>3048.1</v>
      </c>
      <c r="BQ19" s="102">
        <v>0</v>
      </c>
      <c r="BR19" s="34"/>
      <c r="BS19" s="34"/>
      <c r="BT19" s="34"/>
      <c r="BU19" s="34"/>
      <c r="BV19" s="34"/>
      <c r="BW19" s="34"/>
      <c r="BX19" s="69" t="s">
        <v>456</v>
      </c>
      <c r="BY19" s="129" t="s">
        <v>341</v>
      </c>
      <c r="BZ19" s="129" t="s">
        <v>51</v>
      </c>
      <c r="CA19" s="129" t="s">
        <v>360</v>
      </c>
      <c r="CB19" s="130"/>
      <c r="CC19" s="130"/>
      <c r="CD19" s="129" t="s">
        <v>238</v>
      </c>
      <c r="CE19" s="144" t="s">
        <v>344</v>
      </c>
      <c r="CF19" s="144"/>
      <c r="CG19" s="132">
        <v>1237.2399999999998</v>
      </c>
      <c r="CH19" s="144">
        <v>2762.76</v>
      </c>
      <c r="CI19" s="132">
        <f t="shared" si="0"/>
        <v>4000</v>
      </c>
      <c r="CJ19" s="132"/>
      <c r="CK19" s="132"/>
      <c r="CL19" s="132"/>
      <c r="CM19" s="134"/>
      <c r="CN19" s="135">
        <f t="shared" si="1"/>
        <v>4000</v>
      </c>
      <c r="CO19" s="136"/>
      <c r="CP19" s="137">
        <v>117.81</v>
      </c>
      <c r="CQ19" s="137"/>
      <c r="CR19" s="137"/>
      <c r="CS19" s="138"/>
      <c r="CT19" s="129">
        <f>906.77+505.42</f>
        <v>1412.19</v>
      </c>
      <c r="CU19" s="135">
        <f t="shared" si="21"/>
        <v>2470</v>
      </c>
      <c r="CV19" s="139">
        <f t="shared" si="2"/>
        <v>0</v>
      </c>
      <c r="CW19" s="135">
        <f t="shared" si="22"/>
        <v>2470</v>
      </c>
      <c r="CX19" s="140">
        <f t="shared" si="3"/>
        <v>400</v>
      </c>
      <c r="CY19" s="139">
        <f t="shared" si="4"/>
        <v>24.744799999999998</v>
      </c>
      <c r="CZ19" s="135">
        <f t="shared" si="5"/>
        <v>4424.7448000000004</v>
      </c>
      <c r="DA19" s="141"/>
      <c r="DB19" s="142">
        <f t="shared" si="23"/>
        <v>-2470</v>
      </c>
      <c r="DC19" s="141"/>
      <c r="DD19" s="141"/>
      <c r="DE19" s="142">
        <f t="shared" si="24"/>
        <v>0</v>
      </c>
      <c r="DF19" s="143">
        <v>2893195635</v>
      </c>
      <c r="DG19" s="143"/>
      <c r="DH19" s="143"/>
      <c r="DI19" s="143"/>
      <c r="DJ19" s="143"/>
      <c r="DK19" s="202">
        <f>+'C&amp;A'!I20+SINDICATO!E20</f>
        <v>4000</v>
      </c>
      <c r="DL19" s="142">
        <f t="shared" si="25"/>
        <v>0</v>
      </c>
      <c r="DM19" s="195">
        <f t="shared" si="26"/>
        <v>4000</v>
      </c>
      <c r="DN19" s="195">
        <f t="shared" si="27"/>
        <v>4000</v>
      </c>
      <c r="DO19" s="140">
        <f t="shared" si="28"/>
        <v>400</v>
      </c>
      <c r="DP19" s="140">
        <f t="shared" si="29"/>
        <v>0</v>
      </c>
      <c r="DQ19" s="34"/>
      <c r="DR19" s="34"/>
    </row>
    <row r="20" spans="1:122" ht="16.5" x14ac:dyDescent="0.3">
      <c r="A20" s="33" t="s">
        <v>53</v>
      </c>
      <c r="B20" s="34" t="s">
        <v>54</v>
      </c>
      <c r="C20" s="35">
        <v>1750</v>
      </c>
      <c r="D20" s="35">
        <v>188.73102434597322</v>
      </c>
      <c r="E20" s="35">
        <f t="shared" si="6"/>
        <v>0</v>
      </c>
      <c r="F20" s="35">
        <v>0</v>
      </c>
      <c r="G20" s="35">
        <v>0</v>
      </c>
      <c r="H20" s="35">
        <v>0</v>
      </c>
      <c r="I20" s="35">
        <v>0</v>
      </c>
      <c r="J20" s="197">
        <v>0</v>
      </c>
      <c r="K20" s="35">
        <v>0</v>
      </c>
      <c r="L20" s="35">
        <f t="shared" si="7"/>
        <v>0</v>
      </c>
      <c r="M20" s="35">
        <f t="shared" si="8"/>
        <v>0</v>
      </c>
      <c r="N20" s="35">
        <f t="shared" si="9"/>
        <v>0</v>
      </c>
      <c r="O20" s="35"/>
      <c r="P20" s="35">
        <f t="shared" si="10"/>
        <v>0</v>
      </c>
      <c r="Q20" s="35">
        <f t="shared" si="11"/>
        <v>0</v>
      </c>
      <c r="R20" s="35">
        <f t="shared" si="12"/>
        <v>1938.7310243459733</v>
      </c>
      <c r="S20" s="35">
        <f t="shared" si="13"/>
        <v>1938.7310243459733</v>
      </c>
      <c r="T20" s="35">
        <v>175</v>
      </c>
      <c r="U20" s="35">
        <f>+'C&amp;A'!E21*0.02</f>
        <v>21.911999999999999</v>
      </c>
      <c r="V20" s="35">
        <f t="shared" si="14"/>
        <v>2135.6430243459731</v>
      </c>
      <c r="W20" s="35">
        <f t="shared" si="15"/>
        <v>341.70288389535568</v>
      </c>
      <c r="X20" s="35">
        <f t="shared" si="16"/>
        <v>2477.3459082413287</v>
      </c>
      <c r="Y20" s="40"/>
      <c r="Z20" s="7" t="s">
        <v>158</v>
      </c>
      <c r="AA20" s="7" t="s">
        <v>159</v>
      </c>
      <c r="AB20" s="8" t="s">
        <v>262</v>
      </c>
      <c r="AC20" s="12">
        <v>1750</v>
      </c>
      <c r="AD20" s="18">
        <v>188.71</v>
      </c>
      <c r="AE20" s="17">
        <f>+S20-'C&amp;A'!I21-SINDICATO!O21</f>
        <v>0</v>
      </c>
      <c r="AF20" s="34" t="str">
        <f t="shared" si="17"/>
        <v>SI</v>
      </c>
      <c r="AG20" s="70" t="s">
        <v>53</v>
      </c>
      <c r="AH20" s="71" t="s">
        <v>54</v>
      </c>
      <c r="AI20" s="72">
        <v>1095.5999999999999</v>
      </c>
      <c r="AJ20" s="72">
        <v>0</v>
      </c>
      <c r="AK20" s="72">
        <v>0</v>
      </c>
      <c r="AL20" s="72">
        <v>0</v>
      </c>
      <c r="AM20" s="72">
        <v>0</v>
      </c>
      <c r="AN20" s="72">
        <v>0</v>
      </c>
      <c r="AO20" s="72">
        <v>1095.5999999999999</v>
      </c>
      <c r="AP20" s="72">
        <v>0</v>
      </c>
      <c r="AQ20" s="72">
        <v>0</v>
      </c>
      <c r="AR20" s="72">
        <v>0</v>
      </c>
      <c r="AS20" s="73">
        <v>-200.74</v>
      </c>
      <c r="AT20" s="73">
        <v>-141.59</v>
      </c>
      <c r="AU20" s="72">
        <v>59.15</v>
      </c>
      <c r="AV20" s="72">
        <v>0</v>
      </c>
      <c r="AW20" s="72">
        <v>0</v>
      </c>
      <c r="AX20" s="73">
        <v>-0.01</v>
      </c>
      <c r="AY20" s="72">
        <v>0</v>
      </c>
      <c r="AZ20" s="72">
        <v>0</v>
      </c>
      <c r="BA20" s="72">
        <v>-141.6</v>
      </c>
      <c r="BB20" s="72">
        <v>1237.2</v>
      </c>
      <c r="BC20" s="69">
        <f t="shared" si="18"/>
        <v>1938.7310243459733</v>
      </c>
      <c r="BD20" s="35">
        <f t="shared" si="19"/>
        <v>193.87310243459734</v>
      </c>
      <c r="BE20" s="35">
        <f t="shared" si="20"/>
        <v>0</v>
      </c>
      <c r="BF20" s="35"/>
      <c r="BG20" s="69">
        <v>7002.2250000000004</v>
      </c>
      <c r="BH20" s="69">
        <v>778.02499999999964</v>
      </c>
      <c r="BI20" s="83">
        <v>7002.2250000000004</v>
      </c>
      <c r="BJ20" s="34"/>
      <c r="BK20" s="34"/>
      <c r="BL20" s="34"/>
      <c r="BM20" s="34"/>
      <c r="BN20" s="69">
        <v>0</v>
      </c>
      <c r="BO20" s="34"/>
      <c r="BP20" s="69">
        <v>7002.2250000000004</v>
      </c>
      <c r="BQ20" s="102">
        <v>0</v>
      </c>
      <c r="BR20" s="34"/>
      <c r="BS20" s="34"/>
      <c r="BT20" s="34"/>
      <c r="BU20" s="34"/>
      <c r="BV20" s="34"/>
      <c r="BW20" s="34"/>
      <c r="BX20" s="69" t="s">
        <v>456</v>
      </c>
      <c r="BY20" s="129" t="s">
        <v>349</v>
      </c>
      <c r="BZ20" s="129" t="s">
        <v>53</v>
      </c>
      <c r="CA20" s="129" t="s">
        <v>361</v>
      </c>
      <c r="CB20" s="144"/>
      <c r="CC20" s="144"/>
      <c r="CD20" s="129" t="s">
        <v>262</v>
      </c>
      <c r="CE20" s="144"/>
      <c r="CF20" s="144"/>
      <c r="CG20" s="132">
        <v>1237.2399999999998</v>
      </c>
      <c r="CH20" s="144">
        <v>512.76000000000022</v>
      </c>
      <c r="CI20" s="132">
        <f t="shared" si="0"/>
        <v>1750</v>
      </c>
      <c r="CJ20" s="132"/>
      <c r="CK20" s="132"/>
      <c r="CL20" s="132"/>
      <c r="CM20" s="134"/>
      <c r="CN20" s="135">
        <f t="shared" si="1"/>
        <v>1750</v>
      </c>
      <c r="CO20" s="136"/>
      <c r="CP20" s="137"/>
      <c r="CQ20" s="137"/>
      <c r="CR20" s="137"/>
      <c r="CS20" s="138"/>
      <c r="CT20" s="129">
        <v>0</v>
      </c>
      <c r="CU20" s="135">
        <f t="shared" si="21"/>
        <v>1750</v>
      </c>
      <c r="CV20" s="139">
        <f t="shared" si="2"/>
        <v>0</v>
      </c>
      <c r="CW20" s="135">
        <f t="shared" si="22"/>
        <v>1750</v>
      </c>
      <c r="CX20" s="140">
        <f t="shared" si="3"/>
        <v>175</v>
      </c>
      <c r="CY20" s="139">
        <f t="shared" si="4"/>
        <v>24.744799999999998</v>
      </c>
      <c r="CZ20" s="135">
        <f t="shared" si="5"/>
        <v>1949.7447999999999</v>
      </c>
      <c r="DA20" s="141"/>
      <c r="DB20" s="142">
        <f t="shared" si="23"/>
        <v>-1750</v>
      </c>
      <c r="DC20" s="141"/>
      <c r="DD20" s="141"/>
      <c r="DE20" s="142">
        <f t="shared" si="24"/>
        <v>0</v>
      </c>
      <c r="DF20" s="143">
        <v>2765125111</v>
      </c>
      <c r="DG20" s="143"/>
      <c r="DH20" s="143"/>
      <c r="DI20" s="143"/>
      <c r="DJ20" s="143"/>
      <c r="DK20" s="202">
        <f>+'C&amp;A'!I21+SINDICATO!E21</f>
        <v>1938.7310243459733</v>
      </c>
      <c r="DL20" s="142">
        <f t="shared" si="25"/>
        <v>0</v>
      </c>
      <c r="DM20" s="195">
        <f t="shared" si="26"/>
        <v>1938.7310243459733</v>
      </c>
      <c r="DN20" s="195">
        <f t="shared" si="27"/>
        <v>1938.7310243459733</v>
      </c>
      <c r="DO20" s="140">
        <f t="shared" si="28"/>
        <v>193.87310243459734</v>
      </c>
      <c r="DP20" s="140">
        <f t="shared" si="29"/>
        <v>0</v>
      </c>
      <c r="DQ20" s="34"/>
      <c r="DR20" s="34"/>
    </row>
    <row r="21" spans="1:122" ht="16.5" x14ac:dyDescent="0.3">
      <c r="A21" s="33" t="s">
        <v>55</v>
      </c>
      <c r="B21" s="34" t="s">
        <v>56</v>
      </c>
      <c r="C21" s="35">
        <v>3500</v>
      </c>
      <c r="D21" s="35">
        <v>125.12056780965156</v>
      </c>
      <c r="E21" s="35">
        <f t="shared" si="6"/>
        <v>0</v>
      </c>
      <c r="F21" s="35">
        <v>0</v>
      </c>
      <c r="G21" s="35">
        <v>0</v>
      </c>
      <c r="H21" s="35">
        <v>0</v>
      </c>
      <c r="I21" s="35">
        <v>0</v>
      </c>
      <c r="J21" s="197">
        <v>0</v>
      </c>
      <c r="K21" s="35">
        <v>0</v>
      </c>
      <c r="L21" s="35">
        <f t="shared" si="7"/>
        <v>0</v>
      </c>
      <c r="M21" s="35">
        <f t="shared" si="8"/>
        <v>0</v>
      </c>
      <c r="N21" s="35">
        <f t="shared" si="9"/>
        <v>0</v>
      </c>
      <c r="O21" s="35"/>
      <c r="P21" s="35">
        <f t="shared" si="10"/>
        <v>0</v>
      </c>
      <c r="Q21" s="35">
        <f t="shared" si="11"/>
        <v>0</v>
      </c>
      <c r="R21" s="35">
        <f t="shared" si="12"/>
        <v>3625.1205678096517</v>
      </c>
      <c r="S21" s="35">
        <f t="shared" si="13"/>
        <v>3625.1205678096517</v>
      </c>
      <c r="T21" s="35">
        <v>350</v>
      </c>
      <c r="U21" s="35">
        <f>+'C&amp;A'!E22*0.02</f>
        <v>21.911999999999999</v>
      </c>
      <c r="V21" s="35">
        <f t="shared" si="14"/>
        <v>3997.0325678096515</v>
      </c>
      <c r="W21" s="35">
        <f t="shared" si="15"/>
        <v>639.52521084954424</v>
      </c>
      <c r="X21" s="35">
        <f t="shared" si="16"/>
        <v>4636.5577786591957</v>
      </c>
      <c r="Y21" s="40"/>
      <c r="Z21" s="7" t="s">
        <v>161</v>
      </c>
      <c r="AA21" s="7" t="s">
        <v>162</v>
      </c>
      <c r="AB21" s="8" t="s">
        <v>236</v>
      </c>
      <c r="AC21" s="9">
        <v>3500</v>
      </c>
      <c r="AD21" s="18">
        <v>125.1</v>
      </c>
      <c r="AE21" s="17">
        <f>+S21-'C&amp;A'!I22-SINDICATO!O22</f>
        <v>0</v>
      </c>
      <c r="AF21" s="34" t="str">
        <f t="shared" si="17"/>
        <v>SI</v>
      </c>
      <c r="AG21" s="70" t="s">
        <v>55</v>
      </c>
      <c r="AH21" s="71" t="s">
        <v>56</v>
      </c>
      <c r="AI21" s="72">
        <v>1095.5999999999999</v>
      </c>
      <c r="AJ21" s="72">
        <v>0</v>
      </c>
      <c r="AK21" s="72">
        <v>0</v>
      </c>
      <c r="AL21" s="72">
        <v>0</v>
      </c>
      <c r="AM21" s="72">
        <v>0</v>
      </c>
      <c r="AN21" s="72">
        <v>0</v>
      </c>
      <c r="AO21" s="72">
        <v>1095.5999999999999</v>
      </c>
      <c r="AP21" s="72">
        <v>0</v>
      </c>
      <c r="AQ21" s="72">
        <v>0</v>
      </c>
      <c r="AR21" s="72">
        <v>0</v>
      </c>
      <c r="AS21" s="73">
        <v>-200.74</v>
      </c>
      <c r="AT21" s="73">
        <v>-141.59</v>
      </c>
      <c r="AU21" s="72">
        <v>59.15</v>
      </c>
      <c r="AV21" s="72">
        <v>0</v>
      </c>
      <c r="AW21" s="72">
        <v>0</v>
      </c>
      <c r="AX21" s="73">
        <v>-0.01</v>
      </c>
      <c r="AY21" s="72">
        <v>0</v>
      </c>
      <c r="AZ21" s="72">
        <v>0</v>
      </c>
      <c r="BA21" s="72">
        <v>-141.6</v>
      </c>
      <c r="BB21" s="72">
        <v>1237.2</v>
      </c>
      <c r="BC21" s="69">
        <f t="shared" si="18"/>
        <v>3625.1205678096517</v>
      </c>
      <c r="BD21" s="35">
        <f t="shared" si="19"/>
        <v>362.51205678096517</v>
      </c>
      <c r="BE21" s="35">
        <f t="shared" si="20"/>
        <v>0</v>
      </c>
      <c r="BF21" s="35"/>
      <c r="BG21" s="69">
        <v>11165.247000000001</v>
      </c>
      <c r="BH21" s="69">
        <v>1240.5830000000005</v>
      </c>
      <c r="BI21" s="83">
        <v>11165.247000000001</v>
      </c>
      <c r="BJ21" s="34"/>
      <c r="BK21" s="34"/>
      <c r="BL21" s="34"/>
      <c r="BM21" s="34"/>
      <c r="BN21" s="69">
        <v>0</v>
      </c>
      <c r="BO21" s="34"/>
      <c r="BP21" s="69">
        <v>11165.247000000001</v>
      </c>
      <c r="BQ21" s="102">
        <v>0</v>
      </c>
      <c r="BR21" s="34"/>
      <c r="BS21" s="34"/>
      <c r="BT21" s="34"/>
      <c r="BU21" s="34"/>
      <c r="BV21" s="34"/>
      <c r="BW21" s="34"/>
      <c r="BX21" s="69" t="s">
        <v>458</v>
      </c>
      <c r="BY21" s="129" t="s">
        <v>362</v>
      </c>
      <c r="BZ21" s="129" t="s">
        <v>55</v>
      </c>
      <c r="CA21" s="129" t="s">
        <v>363</v>
      </c>
      <c r="CB21" s="130"/>
      <c r="CC21" s="130"/>
      <c r="CD21" s="129" t="s">
        <v>236</v>
      </c>
      <c r="CE21" s="144"/>
      <c r="CF21" s="144"/>
      <c r="CG21" s="132">
        <v>1237.2399999999998</v>
      </c>
      <c r="CH21" s="144">
        <v>2262.7600000000002</v>
      </c>
      <c r="CI21" s="132">
        <f t="shared" si="0"/>
        <v>3500</v>
      </c>
      <c r="CJ21" s="132"/>
      <c r="CK21" s="132"/>
      <c r="CL21" s="132"/>
      <c r="CM21" s="134"/>
      <c r="CN21" s="135">
        <f t="shared" si="1"/>
        <v>3500</v>
      </c>
      <c r="CO21" s="136"/>
      <c r="CP21" s="137"/>
      <c r="CQ21" s="137"/>
      <c r="CR21" s="137"/>
      <c r="CS21" s="138"/>
      <c r="CT21" s="129">
        <v>0</v>
      </c>
      <c r="CU21" s="135">
        <f t="shared" si="21"/>
        <v>3500</v>
      </c>
      <c r="CV21" s="139">
        <f t="shared" si="2"/>
        <v>0</v>
      </c>
      <c r="CW21" s="135">
        <f t="shared" si="22"/>
        <v>3500</v>
      </c>
      <c r="CX21" s="140">
        <f t="shared" si="3"/>
        <v>350</v>
      </c>
      <c r="CY21" s="139">
        <f t="shared" si="4"/>
        <v>24.744799999999998</v>
      </c>
      <c r="CZ21" s="135">
        <f t="shared" si="5"/>
        <v>3874.7447999999999</v>
      </c>
      <c r="DA21" s="141"/>
      <c r="DB21" s="142">
        <f t="shared" si="23"/>
        <v>-3500</v>
      </c>
      <c r="DC21" s="141"/>
      <c r="DD21" s="141"/>
      <c r="DE21" s="142">
        <f t="shared" si="24"/>
        <v>0</v>
      </c>
      <c r="DF21" s="143">
        <v>2943846814</v>
      </c>
      <c r="DG21" s="143"/>
      <c r="DH21" s="143"/>
      <c r="DI21" s="143"/>
      <c r="DJ21" s="143"/>
      <c r="DK21" s="202">
        <f>+'C&amp;A'!I22+SINDICATO!E22</f>
        <v>3625.1205678096517</v>
      </c>
      <c r="DL21" s="142">
        <f t="shared" si="25"/>
        <v>0</v>
      </c>
      <c r="DM21" s="195">
        <f t="shared" si="26"/>
        <v>3625.1205678096517</v>
      </c>
      <c r="DN21" s="195">
        <f t="shared" si="27"/>
        <v>3625.1205678096517</v>
      </c>
      <c r="DO21" s="140">
        <f t="shared" si="28"/>
        <v>362.51205678096517</v>
      </c>
      <c r="DP21" s="140">
        <f t="shared" si="29"/>
        <v>0</v>
      </c>
      <c r="DQ21" s="34"/>
      <c r="DR21" s="34"/>
    </row>
    <row r="22" spans="1:122" ht="16.5" x14ac:dyDescent="0.3">
      <c r="A22" s="33" t="s">
        <v>57</v>
      </c>
      <c r="B22" s="34" t="s">
        <v>58</v>
      </c>
      <c r="C22" s="35">
        <v>5000</v>
      </c>
      <c r="D22" s="35">
        <v>0</v>
      </c>
      <c r="E22" s="35">
        <f t="shared" si="6"/>
        <v>0</v>
      </c>
      <c r="F22" s="35">
        <v>0</v>
      </c>
      <c r="G22" s="35">
        <v>0</v>
      </c>
      <c r="H22" s="35">
        <v>0</v>
      </c>
      <c r="I22" s="35">
        <v>0</v>
      </c>
      <c r="J22" s="197">
        <v>0</v>
      </c>
      <c r="K22" s="35">
        <v>0</v>
      </c>
      <c r="L22" s="35">
        <f t="shared" si="7"/>
        <v>0</v>
      </c>
      <c r="M22" s="35">
        <f t="shared" si="8"/>
        <v>0</v>
      </c>
      <c r="N22" s="35">
        <f t="shared" si="9"/>
        <v>0</v>
      </c>
      <c r="O22" s="35"/>
      <c r="P22" s="35">
        <f t="shared" si="10"/>
        <v>457.64</v>
      </c>
      <c r="Q22" s="35">
        <f t="shared" si="11"/>
        <v>500</v>
      </c>
      <c r="R22" s="35">
        <f t="shared" si="12"/>
        <v>4042.3599999999997</v>
      </c>
      <c r="S22" s="35">
        <f t="shared" si="13"/>
        <v>5000</v>
      </c>
      <c r="T22" s="35">
        <v>0</v>
      </c>
      <c r="U22" s="35">
        <f>+'C&amp;A'!E23*0.02</f>
        <v>21.911999999999999</v>
      </c>
      <c r="V22" s="35">
        <f t="shared" si="14"/>
        <v>5021.9120000000003</v>
      </c>
      <c r="W22" s="35">
        <f t="shared" si="15"/>
        <v>803.50592000000006</v>
      </c>
      <c r="X22" s="35">
        <f t="shared" si="16"/>
        <v>5825.4179199999999</v>
      </c>
      <c r="Y22" s="40"/>
      <c r="Z22" s="7" t="s">
        <v>163</v>
      </c>
      <c r="AA22" s="7" t="s">
        <v>160</v>
      </c>
      <c r="AB22" s="8" t="s">
        <v>257</v>
      </c>
      <c r="AC22" s="9">
        <v>5000</v>
      </c>
      <c r="AD22" s="18"/>
      <c r="AE22" s="17">
        <f>+S22-'C&amp;A'!I23-SINDICATO!O23</f>
        <v>957.63999999999987</v>
      </c>
      <c r="AF22" s="34" t="str">
        <f t="shared" si="17"/>
        <v>SI</v>
      </c>
      <c r="AG22" s="70" t="s">
        <v>57</v>
      </c>
      <c r="AH22" s="71" t="s">
        <v>58</v>
      </c>
      <c r="AI22" s="72">
        <v>1095.5999999999999</v>
      </c>
      <c r="AJ22" s="72">
        <v>0</v>
      </c>
      <c r="AK22" s="72">
        <v>0</v>
      </c>
      <c r="AL22" s="72">
        <v>0</v>
      </c>
      <c r="AM22" s="72">
        <v>0</v>
      </c>
      <c r="AN22" s="72">
        <v>0</v>
      </c>
      <c r="AO22" s="72">
        <v>1095.5999999999999</v>
      </c>
      <c r="AP22" s="72">
        <v>0</v>
      </c>
      <c r="AQ22" s="72">
        <v>0</v>
      </c>
      <c r="AR22" s="72">
        <v>0</v>
      </c>
      <c r="AS22" s="73">
        <v>-200.74</v>
      </c>
      <c r="AT22" s="73">
        <v>-141.59</v>
      </c>
      <c r="AU22" s="72">
        <v>59.15</v>
      </c>
      <c r="AV22" s="72">
        <v>0</v>
      </c>
      <c r="AW22" s="72">
        <v>0</v>
      </c>
      <c r="AX22" s="73">
        <v>-0.01</v>
      </c>
      <c r="AY22" s="72">
        <v>0</v>
      </c>
      <c r="AZ22" s="72">
        <v>0</v>
      </c>
      <c r="BA22" s="72">
        <v>-141.6</v>
      </c>
      <c r="BB22" s="72">
        <v>1237.2</v>
      </c>
      <c r="BC22" s="69">
        <f t="shared" si="18"/>
        <v>4542.3599999999997</v>
      </c>
      <c r="BD22" s="35">
        <f t="shared" si="19"/>
        <v>454.23599999999999</v>
      </c>
      <c r="BE22" s="35">
        <f t="shared" si="20"/>
        <v>0</v>
      </c>
      <c r="BF22" s="35"/>
      <c r="BG22" s="69">
        <v>26497.835999999999</v>
      </c>
      <c r="BH22" s="69">
        <v>3289.6440000000002</v>
      </c>
      <c r="BI22" s="83">
        <v>26497.835999999999</v>
      </c>
      <c r="BJ22" s="34"/>
      <c r="BK22" s="34"/>
      <c r="BL22" s="34"/>
      <c r="BM22" s="34"/>
      <c r="BN22" s="69">
        <v>0</v>
      </c>
      <c r="BO22" s="34"/>
      <c r="BP22" s="69">
        <v>26497.835999999999</v>
      </c>
      <c r="BQ22" s="102">
        <v>0</v>
      </c>
      <c r="BR22" s="34"/>
      <c r="BS22" s="34"/>
      <c r="BT22" s="34"/>
      <c r="BU22" s="34"/>
      <c r="BV22" s="34"/>
      <c r="BW22" s="34"/>
      <c r="BX22" s="69" t="s">
        <v>458</v>
      </c>
      <c r="BY22" s="129" t="s">
        <v>359</v>
      </c>
      <c r="BZ22" s="129">
        <v>43</v>
      </c>
      <c r="CA22" s="129" t="s">
        <v>364</v>
      </c>
      <c r="CB22" s="130"/>
      <c r="CC22" s="130"/>
      <c r="CD22" s="129" t="s">
        <v>257</v>
      </c>
      <c r="CE22" s="144"/>
      <c r="CF22" s="144"/>
      <c r="CG22" s="132">
        <v>1237.2399999999998</v>
      </c>
      <c r="CH22" s="144">
        <v>3762.76</v>
      </c>
      <c r="CI22" s="132">
        <f t="shared" si="0"/>
        <v>5000</v>
      </c>
      <c r="CJ22" s="132"/>
      <c r="CK22" s="132"/>
      <c r="CL22" s="132"/>
      <c r="CM22" s="134"/>
      <c r="CN22" s="135">
        <f t="shared" si="1"/>
        <v>5000</v>
      </c>
      <c r="CO22" s="136"/>
      <c r="CP22" s="137"/>
      <c r="CQ22" s="137"/>
      <c r="CR22" s="137"/>
      <c r="CS22" s="138"/>
      <c r="CT22" s="129">
        <f>345.44+112.2</f>
        <v>457.64</v>
      </c>
      <c r="CU22" s="135">
        <f t="shared" si="21"/>
        <v>4542.3599999999997</v>
      </c>
      <c r="CV22" s="139">
        <f t="shared" si="2"/>
        <v>500</v>
      </c>
      <c r="CW22" s="135">
        <f t="shared" si="22"/>
        <v>4042.3599999999997</v>
      </c>
      <c r="CX22" s="140">
        <f t="shared" si="3"/>
        <v>0</v>
      </c>
      <c r="CY22" s="139">
        <f t="shared" si="4"/>
        <v>24.744799999999998</v>
      </c>
      <c r="CZ22" s="135">
        <f t="shared" si="5"/>
        <v>5024.7448000000004</v>
      </c>
      <c r="DA22" s="141"/>
      <c r="DB22" s="142">
        <f t="shared" si="23"/>
        <v>-4042.3599999999997</v>
      </c>
      <c r="DC22" s="141"/>
      <c r="DD22" s="141"/>
      <c r="DE22" s="142">
        <f t="shared" si="24"/>
        <v>0</v>
      </c>
      <c r="DF22" s="143">
        <v>2637315589</v>
      </c>
      <c r="DG22" s="143"/>
      <c r="DH22" s="143"/>
      <c r="DI22" s="143"/>
      <c r="DJ22" s="143"/>
      <c r="DK22" s="202">
        <f>+'C&amp;A'!I23+SINDICATO!E23</f>
        <v>5000</v>
      </c>
      <c r="DL22" s="142">
        <f t="shared" si="25"/>
        <v>0</v>
      </c>
      <c r="DM22" s="195">
        <f t="shared" si="26"/>
        <v>5000</v>
      </c>
      <c r="DN22" s="195">
        <f t="shared" si="27"/>
        <v>5000</v>
      </c>
      <c r="DO22" s="140">
        <f t="shared" si="28"/>
        <v>0</v>
      </c>
      <c r="DP22" s="140">
        <f t="shared" si="29"/>
        <v>500</v>
      </c>
      <c r="DQ22" s="34"/>
      <c r="DR22" s="34"/>
    </row>
    <row r="23" spans="1:122" ht="17.25" x14ac:dyDescent="0.35">
      <c r="A23" s="33" t="s">
        <v>59</v>
      </c>
      <c r="B23" s="34" t="s">
        <v>60</v>
      </c>
      <c r="C23" s="35">
        <v>2750</v>
      </c>
      <c r="D23" s="35">
        <v>145.37389713135775</v>
      </c>
      <c r="E23" s="35">
        <f t="shared" si="6"/>
        <v>0</v>
      </c>
      <c r="F23" s="35">
        <v>0</v>
      </c>
      <c r="G23" s="35">
        <v>0</v>
      </c>
      <c r="H23" s="35">
        <v>0</v>
      </c>
      <c r="I23" s="35">
        <v>0</v>
      </c>
      <c r="J23" s="197">
        <v>0</v>
      </c>
      <c r="K23" s="35">
        <v>0</v>
      </c>
      <c r="L23" s="35">
        <f t="shared" si="7"/>
        <v>0</v>
      </c>
      <c r="M23" s="35">
        <f t="shared" si="8"/>
        <v>0</v>
      </c>
      <c r="N23" s="35">
        <f t="shared" si="9"/>
        <v>0</v>
      </c>
      <c r="O23" s="217"/>
      <c r="P23" s="35">
        <f t="shared" si="10"/>
        <v>0</v>
      </c>
      <c r="Q23" s="35">
        <f t="shared" si="11"/>
        <v>0</v>
      </c>
      <c r="R23" s="35">
        <f t="shared" si="12"/>
        <v>2895.3738971313578</v>
      </c>
      <c r="S23" s="35">
        <f t="shared" si="13"/>
        <v>2895.3738971313578</v>
      </c>
      <c r="T23" s="35">
        <v>275</v>
      </c>
      <c r="U23" s="35">
        <f>+'C&amp;A'!E24*0.02</f>
        <v>21.911999999999999</v>
      </c>
      <c r="V23" s="35">
        <f t="shared" si="14"/>
        <v>3192.2858971313576</v>
      </c>
      <c r="W23" s="35">
        <f t="shared" si="15"/>
        <v>510.76574354101723</v>
      </c>
      <c r="X23" s="35">
        <f t="shared" si="16"/>
        <v>3703.051640672375</v>
      </c>
      <c r="Y23" s="40"/>
      <c r="Z23" s="7" t="s">
        <v>164</v>
      </c>
      <c r="AA23" s="7" t="s">
        <v>165</v>
      </c>
      <c r="AB23" s="8" t="s">
        <v>255</v>
      </c>
      <c r="AC23" s="9">
        <v>2750</v>
      </c>
      <c r="AD23" s="18">
        <v>145.38</v>
      </c>
      <c r="AE23" s="17">
        <f>+S23-'C&amp;A'!I24-SINDICATO!O24</f>
        <v>0</v>
      </c>
      <c r="AF23" s="34" t="str">
        <f t="shared" si="17"/>
        <v>SI</v>
      </c>
      <c r="AG23" s="70" t="s">
        <v>59</v>
      </c>
      <c r="AH23" s="71" t="s">
        <v>60</v>
      </c>
      <c r="AI23" s="72">
        <v>1095.5999999999999</v>
      </c>
      <c r="AJ23" s="72">
        <v>0</v>
      </c>
      <c r="AK23" s="72">
        <v>0</v>
      </c>
      <c r="AL23" s="72">
        <v>0</v>
      </c>
      <c r="AM23" s="72">
        <v>0</v>
      </c>
      <c r="AN23" s="72">
        <v>0</v>
      </c>
      <c r="AO23" s="72">
        <v>1095.5999999999999</v>
      </c>
      <c r="AP23" s="72">
        <v>0</v>
      </c>
      <c r="AQ23" s="72">
        <v>0</v>
      </c>
      <c r="AR23" s="72">
        <v>0</v>
      </c>
      <c r="AS23" s="73">
        <v>-200.74</v>
      </c>
      <c r="AT23" s="73">
        <v>-141.59</v>
      </c>
      <c r="AU23" s="72">
        <v>59.15</v>
      </c>
      <c r="AV23" s="72">
        <v>0</v>
      </c>
      <c r="AW23" s="72">
        <v>0</v>
      </c>
      <c r="AX23" s="73">
        <v>-0.01</v>
      </c>
      <c r="AY23" s="72">
        <v>0</v>
      </c>
      <c r="AZ23" s="72">
        <v>0</v>
      </c>
      <c r="BA23" s="72">
        <v>-141.6</v>
      </c>
      <c r="BB23" s="72">
        <v>1237.2</v>
      </c>
      <c r="BC23" s="69">
        <f t="shared" si="18"/>
        <v>2895.3738971313578</v>
      </c>
      <c r="BD23" s="35">
        <f t="shared" si="19"/>
        <v>289.53738971313578</v>
      </c>
      <c r="BE23" s="35">
        <f t="shared" si="20"/>
        <v>0</v>
      </c>
      <c r="BF23" s="35">
        <f>+'C&amp;A'!I24+SINDICATO!O24</f>
        <v>2895.3738971313578</v>
      </c>
      <c r="BG23" s="69">
        <v>4850.25</v>
      </c>
      <c r="BH23" s="69">
        <v>0</v>
      </c>
      <c r="BI23" s="83">
        <v>4940.51</v>
      </c>
      <c r="BJ23" s="34"/>
      <c r="BK23" s="34"/>
      <c r="BL23" s="34"/>
      <c r="BM23" s="34"/>
      <c r="BN23" s="69">
        <v>0</v>
      </c>
      <c r="BO23" s="34"/>
      <c r="BP23" s="69">
        <v>4940.51</v>
      </c>
      <c r="BQ23" s="105">
        <v>-90.260000000000218</v>
      </c>
      <c r="BR23" s="104" t="s">
        <v>301</v>
      </c>
      <c r="BS23" s="104"/>
      <c r="BT23" s="104" t="s">
        <v>302</v>
      </c>
      <c r="BU23" s="34"/>
      <c r="BV23" s="34"/>
      <c r="BW23" s="69">
        <f>+BF23-BP23</f>
        <v>-2045.1361028686424</v>
      </c>
      <c r="BX23" s="69" t="s">
        <v>455</v>
      </c>
      <c r="BY23" s="129" t="s">
        <v>338</v>
      </c>
      <c r="BZ23" s="129" t="s">
        <v>365</v>
      </c>
      <c r="CA23" s="129" t="s">
        <v>366</v>
      </c>
      <c r="CB23" s="130"/>
      <c r="CC23" s="130"/>
      <c r="CD23" s="129" t="s">
        <v>367</v>
      </c>
      <c r="CE23" s="144"/>
      <c r="CF23" s="144"/>
      <c r="CG23" s="132">
        <v>1237.2399999999998</v>
      </c>
      <c r="CH23" s="144">
        <v>1512.7600000000002</v>
      </c>
      <c r="CI23" s="132">
        <f t="shared" si="0"/>
        <v>2750</v>
      </c>
      <c r="CJ23" s="132"/>
      <c r="CK23" s="132"/>
      <c r="CL23" s="132"/>
      <c r="CM23" s="134"/>
      <c r="CN23" s="135">
        <f t="shared" si="1"/>
        <v>2750</v>
      </c>
      <c r="CO23" s="136"/>
      <c r="CP23" s="137"/>
      <c r="CQ23" s="137"/>
      <c r="CR23" s="137"/>
      <c r="CS23" s="138"/>
      <c r="CT23" s="129">
        <v>0</v>
      </c>
      <c r="CU23" s="135">
        <f t="shared" si="21"/>
        <v>2750</v>
      </c>
      <c r="CV23" s="139">
        <f t="shared" si="2"/>
        <v>0</v>
      </c>
      <c r="CW23" s="135">
        <f t="shared" si="22"/>
        <v>2750</v>
      </c>
      <c r="CX23" s="140">
        <f t="shared" si="3"/>
        <v>275</v>
      </c>
      <c r="CY23" s="139">
        <f t="shared" si="4"/>
        <v>24.744799999999998</v>
      </c>
      <c r="CZ23" s="135">
        <f t="shared" si="5"/>
        <v>3049.7447999999999</v>
      </c>
      <c r="DA23" s="141"/>
      <c r="DB23" s="142">
        <f t="shared" si="23"/>
        <v>-2750</v>
      </c>
      <c r="DC23" s="141"/>
      <c r="DD23" s="141"/>
      <c r="DE23" s="142">
        <f>+DC23+DD23-DA23</f>
        <v>0</v>
      </c>
      <c r="DF23" s="143" t="s">
        <v>368</v>
      </c>
      <c r="DG23" s="143"/>
      <c r="DH23" s="143"/>
      <c r="DI23" s="143"/>
      <c r="DJ23" s="143"/>
      <c r="DK23" s="202">
        <f>+'C&amp;A'!I24+SINDICATO!E24</f>
        <v>2895.3738971313578</v>
      </c>
      <c r="DL23" s="142">
        <f t="shared" si="25"/>
        <v>0</v>
      </c>
      <c r="DM23" s="195">
        <f t="shared" si="26"/>
        <v>2895.3738971313578</v>
      </c>
      <c r="DN23" s="195">
        <f t="shared" si="27"/>
        <v>2895.3738971313578</v>
      </c>
      <c r="DO23" s="140">
        <f t="shared" si="28"/>
        <v>289.53738971313578</v>
      </c>
      <c r="DP23" s="140">
        <f t="shared" si="29"/>
        <v>0</v>
      </c>
      <c r="DQ23" s="34"/>
      <c r="DR23" s="34"/>
    </row>
    <row r="24" spans="1:122" ht="16.5" x14ac:dyDescent="0.3">
      <c r="A24" s="33" t="s">
        <v>61</v>
      </c>
      <c r="B24" s="34" t="s">
        <v>62</v>
      </c>
      <c r="C24" s="35">
        <v>3500</v>
      </c>
      <c r="D24" s="35">
        <v>125.12056780965156</v>
      </c>
      <c r="E24" s="35">
        <f t="shared" si="6"/>
        <v>0</v>
      </c>
      <c r="F24" s="35">
        <v>0</v>
      </c>
      <c r="G24" s="35">
        <v>0</v>
      </c>
      <c r="H24" s="35">
        <v>0</v>
      </c>
      <c r="I24" s="35">
        <v>0</v>
      </c>
      <c r="J24" s="197">
        <v>0</v>
      </c>
      <c r="K24" s="35">
        <v>0</v>
      </c>
      <c r="L24" s="35">
        <f t="shared" si="7"/>
        <v>0</v>
      </c>
      <c r="M24" s="35">
        <f t="shared" si="8"/>
        <v>355.82</v>
      </c>
      <c r="N24" s="35">
        <f t="shared" si="9"/>
        <v>0</v>
      </c>
      <c r="O24" s="35"/>
      <c r="P24" s="35">
        <f t="shared" si="10"/>
        <v>0</v>
      </c>
      <c r="Q24" s="35">
        <f t="shared" si="11"/>
        <v>0</v>
      </c>
      <c r="R24" s="35">
        <f t="shared" si="12"/>
        <v>3269.3005678096515</v>
      </c>
      <c r="S24" s="35">
        <f t="shared" si="13"/>
        <v>3269.3005678096515</v>
      </c>
      <c r="T24" s="35">
        <v>350</v>
      </c>
      <c r="U24" s="35">
        <f>+'C&amp;A'!E25*0.02</f>
        <v>21.911999999999999</v>
      </c>
      <c r="V24" s="35">
        <f t="shared" si="14"/>
        <v>3641.2125678096513</v>
      </c>
      <c r="W24" s="35">
        <f t="shared" si="15"/>
        <v>582.59401084954425</v>
      </c>
      <c r="X24" s="35">
        <f t="shared" si="16"/>
        <v>4223.806578659196</v>
      </c>
      <c r="Y24" s="40"/>
      <c r="Z24" s="7" t="s">
        <v>166</v>
      </c>
      <c r="AA24" s="7" t="s">
        <v>167</v>
      </c>
      <c r="AB24" s="8" t="s">
        <v>241</v>
      </c>
      <c r="AC24" s="9">
        <v>3500</v>
      </c>
      <c r="AD24" s="20">
        <v>125.1</v>
      </c>
      <c r="AE24" s="17">
        <f>+S24-'C&amp;A'!I25-SINDICATO!O25</f>
        <v>0</v>
      </c>
      <c r="AF24" s="34" t="str">
        <f t="shared" si="17"/>
        <v>SI</v>
      </c>
      <c r="AG24" s="70" t="s">
        <v>61</v>
      </c>
      <c r="AH24" s="71" t="s">
        <v>62</v>
      </c>
      <c r="AI24" s="72">
        <v>1095.5999999999999</v>
      </c>
      <c r="AJ24" s="72">
        <v>0</v>
      </c>
      <c r="AK24" s="72">
        <v>0</v>
      </c>
      <c r="AL24" s="72">
        <v>0</v>
      </c>
      <c r="AM24" s="72">
        <v>0</v>
      </c>
      <c r="AN24" s="72">
        <v>0</v>
      </c>
      <c r="AO24" s="72">
        <v>1095.5999999999999</v>
      </c>
      <c r="AP24" s="72">
        <v>0</v>
      </c>
      <c r="AQ24" s="72">
        <v>0</v>
      </c>
      <c r="AR24" s="72">
        <v>0</v>
      </c>
      <c r="AS24" s="73">
        <v>-200.74</v>
      </c>
      <c r="AT24" s="73">
        <v>-141.59</v>
      </c>
      <c r="AU24" s="72">
        <v>59.15</v>
      </c>
      <c r="AV24" s="72">
        <v>0</v>
      </c>
      <c r="AW24" s="72">
        <v>0</v>
      </c>
      <c r="AX24" s="73">
        <v>-0.01</v>
      </c>
      <c r="AY24" s="72">
        <v>0</v>
      </c>
      <c r="AZ24" s="72">
        <v>0</v>
      </c>
      <c r="BA24" s="72">
        <v>-141.6</v>
      </c>
      <c r="BB24" s="72">
        <v>1237.2</v>
      </c>
      <c r="BC24" s="69">
        <f t="shared" si="18"/>
        <v>3269.3005678096515</v>
      </c>
      <c r="BD24" s="35">
        <f t="shared" si="19"/>
        <v>326.93005678096517</v>
      </c>
      <c r="BE24" s="35">
        <f t="shared" si="20"/>
        <v>0</v>
      </c>
      <c r="BF24" s="35"/>
      <c r="BG24" s="69">
        <v>13112.352000000001</v>
      </c>
      <c r="BH24" s="69">
        <v>1456.9279999999999</v>
      </c>
      <c r="BI24" s="83">
        <v>13112.352000000001</v>
      </c>
      <c r="BJ24" s="34"/>
      <c r="BK24" s="34"/>
      <c r="BL24" s="34"/>
      <c r="BM24" s="34"/>
      <c r="BN24" s="69">
        <v>0</v>
      </c>
      <c r="BO24" s="34"/>
      <c r="BP24" s="69">
        <v>13112.352000000001</v>
      </c>
      <c r="BQ24" s="102">
        <v>0</v>
      </c>
      <c r="BR24" s="34"/>
      <c r="BS24" s="34"/>
      <c r="BT24" s="34"/>
      <c r="BU24" s="34"/>
      <c r="BV24" s="34"/>
      <c r="BW24" s="34"/>
      <c r="BX24" s="69" t="s">
        <v>458</v>
      </c>
      <c r="BY24" s="129" t="s">
        <v>341</v>
      </c>
      <c r="BZ24" s="129" t="s">
        <v>61</v>
      </c>
      <c r="CA24" s="129" t="s">
        <v>369</v>
      </c>
      <c r="CB24" s="130"/>
      <c r="CC24" s="130"/>
      <c r="CD24" s="129" t="s">
        <v>241</v>
      </c>
      <c r="CE24" s="144"/>
      <c r="CF24" s="144"/>
      <c r="CG24" s="132">
        <v>1237.2399999999998</v>
      </c>
      <c r="CH24" s="144">
        <v>2262.7600000000002</v>
      </c>
      <c r="CI24" s="132">
        <f t="shared" si="0"/>
        <v>3500</v>
      </c>
      <c r="CJ24" s="132"/>
      <c r="CK24" s="132"/>
      <c r="CL24" s="132"/>
      <c r="CM24" s="134"/>
      <c r="CN24" s="135">
        <f t="shared" si="1"/>
        <v>3500</v>
      </c>
      <c r="CO24" s="136"/>
      <c r="CP24" s="137"/>
      <c r="CQ24" s="137"/>
      <c r="CR24" s="137"/>
      <c r="CS24" s="129">
        <v>355.82</v>
      </c>
      <c r="CT24" s="129">
        <v>0</v>
      </c>
      <c r="CU24" s="135">
        <f t="shared" si="21"/>
        <v>3144.18</v>
      </c>
      <c r="CV24" s="139">
        <f t="shared" si="2"/>
        <v>0</v>
      </c>
      <c r="CW24" s="135">
        <f t="shared" si="22"/>
        <v>3144.18</v>
      </c>
      <c r="CX24" s="140">
        <f t="shared" si="3"/>
        <v>350</v>
      </c>
      <c r="CY24" s="139">
        <f t="shared" si="4"/>
        <v>24.744799999999998</v>
      </c>
      <c r="CZ24" s="135">
        <f t="shared" si="5"/>
        <v>3874.7447999999999</v>
      </c>
      <c r="DA24" s="141"/>
      <c r="DB24" s="142">
        <f t="shared" si="23"/>
        <v>-3144.18</v>
      </c>
      <c r="DC24" s="141"/>
      <c r="DD24" s="141"/>
      <c r="DE24" s="142">
        <f t="shared" si="24"/>
        <v>0</v>
      </c>
      <c r="DF24" s="143">
        <v>2928980233</v>
      </c>
      <c r="DG24" s="143"/>
      <c r="DH24" s="143"/>
      <c r="DI24" s="143"/>
      <c r="DJ24" s="143"/>
      <c r="DK24" s="202">
        <f>+'C&amp;A'!I25+SINDICATO!E25</f>
        <v>3625.1205678096517</v>
      </c>
      <c r="DL24" s="142">
        <f t="shared" si="25"/>
        <v>0</v>
      </c>
      <c r="DM24" s="195">
        <f t="shared" si="26"/>
        <v>3625.1205678096517</v>
      </c>
      <c r="DN24" s="195">
        <f t="shared" si="27"/>
        <v>3625.1205678096517</v>
      </c>
      <c r="DO24" s="140">
        <f t="shared" si="28"/>
        <v>362.51205678096517</v>
      </c>
      <c r="DP24" s="140">
        <f t="shared" si="29"/>
        <v>0</v>
      </c>
      <c r="DQ24" s="34"/>
      <c r="DR24" s="34"/>
    </row>
    <row r="25" spans="1:122" ht="16.5" x14ac:dyDescent="0.3">
      <c r="A25" s="33" t="s">
        <v>15</v>
      </c>
      <c r="B25" s="34" t="s">
        <v>63</v>
      </c>
      <c r="C25" s="35">
        <v>3000</v>
      </c>
      <c r="D25" s="35">
        <v>145.37389713135775</v>
      </c>
      <c r="E25" s="35">
        <f t="shared" si="6"/>
        <v>0</v>
      </c>
      <c r="F25" s="35">
        <v>0</v>
      </c>
      <c r="G25" s="35">
        <v>0</v>
      </c>
      <c r="H25" s="35">
        <v>0</v>
      </c>
      <c r="I25" s="35">
        <v>0</v>
      </c>
      <c r="J25" s="197">
        <f>+C25/15*2</f>
        <v>400</v>
      </c>
      <c r="K25" s="35">
        <v>0</v>
      </c>
      <c r="L25" s="35">
        <f t="shared" si="7"/>
        <v>0</v>
      </c>
      <c r="M25" s="35">
        <f t="shared" si="8"/>
        <v>0</v>
      </c>
      <c r="N25" s="35">
        <f t="shared" si="9"/>
        <v>0</v>
      </c>
      <c r="O25" s="35"/>
      <c r="P25" s="35">
        <f t="shared" si="10"/>
        <v>1427.82</v>
      </c>
      <c r="Q25" s="35">
        <f t="shared" si="11"/>
        <v>0</v>
      </c>
      <c r="R25" s="35">
        <f t="shared" si="12"/>
        <v>1317.5538971313579</v>
      </c>
      <c r="S25" s="35">
        <f t="shared" si="13"/>
        <v>2745.3738971313578</v>
      </c>
      <c r="T25" s="35">
        <v>300</v>
      </c>
      <c r="U25" s="35">
        <f>+'C&amp;A'!E26*0.02</f>
        <v>21.911999999999999</v>
      </c>
      <c r="V25" s="35">
        <f t="shared" si="14"/>
        <v>3067.2858971313576</v>
      </c>
      <c r="W25" s="35">
        <f t="shared" si="15"/>
        <v>490.76574354101723</v>
      </c>
      <c r="X25" s="35">
        <f t="shared" si="16"/>
        <v>3558.051640672375</v>
      </c>
      <c r="Y25" s="40"/>
      <c r="Z25" s="7" t="s">
        <v>168</v>
      </c>
      <c r="AA25" s="7" t="s">
        <v>169</v>
      </c>
      <c r="AB25" s="8" t="s">
        <v>271</v>
      </c>
      <c r="AC25" s="16">
        <v>3000</v>
      </c>
      <c r="AD25" s="18">
        <v>145.38</v>
      </c>
      <c r="AE25" s="17">
        <f>+S25-'C&amp;A'!I26-SINDICATO!O26</f>
        <v>1427.82</v>
      </c>
      <c r="AF25" s="34" t="str">
        <f t="shared" si="17"/>
        <v>SI</v>
      </c>
      <c r="AG25" s="70" t="s">
        <v>15</v>
      </c>
      <c r="AH25" s="71" t="s">
        <v>63</v>
      </c>
      <c r="AI25" s="72">
        <v>1095.5999999999999</v>
      </c>
      <c r="AJ25" s="72">
        <v>0</v>
      </c>
      <c r="AK25" s="72">
        <v>0</v>
      </c>
      <c r="AL25" s="72">
        <v>0</v>
      </c>
      <c r="AM25" s="72">
        <v>0</v>
      </c>
      <c r="AN25" s="72">
        <v>0</v>
      </c>
      <c r="AO25" s="72">
        <v>1095.5999999999999</v>
      </c>
      <c r="AP25" s="72">
        <v>0</v>
      </c>
      <c r="AQ25" s="72">
        <v>0</v>
      </c>
      <c r="AR25" s="72">
        <v>0</v>
      </c>
      <c r="AS25" s="73">
        <v>-200.74</v>
      </c>
      <c r="AT25" s="73">
        <v>-141.59</v>
      </c>
      <c r="AU25" s="72">
        <v>59.15</v>
      </c>
      <c r="AV25" s="72">
        <v>0</v>
      </c>
      <c r="AW25" s="72">
        <v>0</v>
      </c>
      <c r="AX25" s="73">
        <v>-0.01</v>
      </c>
      <c r="AY25" s="72">
        <v>0</v>
      </c>
      <c r="AZ25" s="72">
        <v>0</v>
      </c>
      <c r="BA25" s="72">
        <v>-141.6</v>
      </c>
      <c r="BB25" s="72">
        <v>1237.2</v>
      </c>
      <c r="BC25" s="69">
        <f t="shared" si="18"/>
        <v>1317.5538971313579</v>
      </c>
      <c r="BD25" s="35">
        <f t="shared" si="19"/>
        <v>131.7553897131358</v>
      </c>
      <c r="BE25" s="35">
        <f t="shared" si="20"/>
        <v>0</v>
      </c>
      <c r="BF25" s="35"/>
      <c r="BG25" s="69">
        <v>1717.5600000000002</v>
      </c>
      <c r="BH25" s="69">
        <v>1427.82</v>
      </c>
      <c r="BI25" s="83">
        <v>1717.5600000000002</v>
      </c>
      <c r="BJ25" s="34"/>
      <c r="BK25" s="34"/>
      <c r="BL25" s="34"/>
      <c r="BM25" s="34"/>
      <c r="BN25" s="69">
        <v>0</v>
      </c>
      <c r="BO25" s="34"/>
      <c r="BP25" s="69">
        <v>1717.5600000000002</v>
      </c>
      <c r="BQ25" s="102">
        <v>0</v>
      </c>
      <c r="BR25" s="34"/>
      <c r="BS25" s="34"/>
      <c r="BT25" s="34"/>
      <c r="BU25" s="34"/>
      <c r="BV25" s="34"/>
      <c r="BW25" s="34"/>
      <c r="BX25" s="69" t="s">
        <v>458</v>
      </c>
      <c r="BY25" s="129" t="s">
        <v>370</v>
      </c>
      <c r="BZ25" s="129" t="s">
        <v>15</v>
      </c>
      <c r="CA25" s="129" t="s">
        <v>371</v>
      </c>
      <c r="CB25" s="144"/>
      <c r="CC25" s="144"/>
      <c r="CD25" s="129" t="s">
        <v>372</v>
      </c>
      <c r="CE25" s="144" t="s">
        <v>344</v>
      </c>
      <c r="CF25" s="144"/>
      <c r="CG25" s="132">
        <v>1237.2399999999998</v>
      </c>
      <c r="CH25" s="144">
        <v>1762.7600000000002</v>
      </c>
      <c r="CI25" s="132">
        <f t="shared" si="0"/>
        <v>3000</v>
      </c>
      <c r="CJ25" s="132"/>
      <c r="CK25" s="132"/>
      <c r="CL25" s="132"/>
      <c r="CM25" s="134"/>
      <c r="CN25" s="135">
        <f t="shared" si="1"/>
        <v>3000</v>
      </c>
      <c r="CO25" s="136"/>
      <c r="CP25" s="137"/>
      <c r="CQ25" s="137"/>
      <c r="CR25" s="137"/>
      <c r="CS25" s="138"/>
      <c r="CT25" s="147">
        <v>1427.82</v>
      </c>
      <c r="CU25" s="135">
        <f t="shared" si="21"/>
        <v>1572.18</v>
      </c>
      <c r="CV25" s="139">
        <f t="shared" si="2"/>
        <v>0</v>
      </c>
      <c r="CW25" s="135">
        <f t="shared" si="22"/>
        <v>1572.18</v>
      </c>
      <c r="CX25" s="140">
        <f t="shared" si="3"/>
        <v>300</v>
      </c>
      <c r="CY25" s="139">
        <f t="shared" si="4"/>
        <v>24.744799999999998</v>
      </c>
      <c r="CZ25" s="135">
        <f t="shared" si="5"/>
        <v>3324.7447999999999</v>
      </c>
      <c r="DA25" s="141"/>
      <c r="DB25" s="142">
        <f t="shared" si="23"/>
        <v>-1572.18</v>
      </c>
      <c r="DC25" s="141"/>
      <c r="DD25" s="141"/>
      <c r="DE25" s="142">
        <f t="shared" si="24"/>
        <v>0</v>
      </c>
      <c r="DF25" s="143">
        <v>2994929888</v>
      </c>
      <c r="DG25" s="145" t="s">
        <v>373</v>
      </c>
      <c r="DH25" s="143"/>
      <c r="DI25" s="143"/>
      <c r="DJ25" s="143"/>
      <c r="DK25" s="202">
        <f>+'C&amp;A'!I26+SINDICATO!E26</f>
        <v>3145.3738971313578</v>
      </c>
      <c r="DL25" s="142">
        <f t="shared" si="25"/>
        <v>0</v>
      </c>
      <c r="DM25" s="195">
        <f t="shared" si="26"/>
        <v>3145.3738971313578</v>
      </c>
      <c r="DN25" s="195">
        <f t="shared" si="27"/>
        <v>3145.3738971313578</v>
      </c>
      <c r="DO25" s="140">
        <f t="shared" si="28"/>
        <v>314.53738971313578</v>
      </c>
      <c r="DP25" s="140">
        <f t="shared" si="29"/>
        <v>0</v>
      </c>
      <c r="DQ25" s="34"/>
      <c r="DR25" s="34"/>
    </row>
    <row r="26" spans="1:122" ht="16.5" x14ac:dyDescent="0.3">
      <c r="A26" s="33" t="s">
        <v>64</v>
      </c>
      <c r="B26" s="34" t="s">
        <v>65</v>
      </c>
      <c r="C26" s="35">
        <v>5000</v>
      </c>
      <c r="D26" s="35">
        <v>0</v>
      </c>
      <c r="E26" s="35">
        <f t="shared" si="6"/>
        <v>0</v>
      </c>
      <c r="F26" s="35">
        <v>0</v>
      </c>
      <c r="G26" s="35">
        <v>0</v>
      </c>
      <c r="H26" s="35">
        <v>0</v>
      </c>
      <c r="I26" s="35">
        <v>0</v>
      </c>
      <c r="J26" s="197">
        <v>0</v>
      </c>
      <c r="K26" s="35">
        <v>0</v>
      </c>
      <c r="L26" s="35">
        <f t="shared" si="7"/>
        <v>0</v>
      </c>
      <c r="M26" s="35">
        <f t="shared" si="8"/>
        <v>310.19</v>
      </c>
      <c r="N26" s="35">
        <f t="shared" si="9"/>
        <v>0</v>
      </c>
      <c r="O26" s="35"/>
      <c r="P26" s="35">
        <f t="shared" si="10"/>
        <v>0</v>
      </c>
      <c r="Q26" s="35">
        <f t="shared" si="11"/>
        <v>500</v>
      </c>
      <c r="R26" s="35">
        <f t="shared" si="12"/>
        <v>4189.8100000000004</v>
      </c>
      <c r="S26" s="35">
        <f t="shared" si="13"/>
        <v>4689.8100000000004</v>
      </c>
      <c r="T26" s="35">
        <v>0</v>
      </c>
      <c r="U26" s="35">
        <f>+'C&amp;A'!E27*0.02</f>
        <v>21.911999999999999</v>
      </c>
      <c r="V26" s="35">
        <f t="shared" si="14"/>
        <v>4711.7220000000007</v>
      </c>
      <c r="W26" s="35">
        <f t="shared" si="15"/>
        <v>753.87552000000017</v>
      </c>
      <c r="X26" s="35">
        <f t="shared" si="16"/>
        <v>5465.5975200000012</v>
      </c>
      <c r="Y26" s="85"/>
      <c r="Z26" s="86" t="s">
        <v>170</v>
      </c>
      <c r="AA26" s="86" t="s">
        <v>171</v>
      </c>
      <c r="AB26" s="94" t="s">
        <v>236</v>
      </c>
      <c r="AC26" s="95">
        <v>5000</v>
      </c>
      <c r="AD26" s="89"/>
      <c r="AE26" s="90">
        <f>+S26-'C&amp;A'!I27-SINDICATO!O27</f>
        <v>500.00000000000045</v>
      </c>
      <c r="AF26" s="84" t="str">
        <f t="shared" si="17"/>
        <v>SI</v>
      </c>
      <c r="AG26" s="78" t="s">
        <v>64</v>
      </c>
      <c r="AH26" s="80" t="s">
        <v>65</v>
      </c>
      <c r="AI26" s="81">
        <v>1095.5999999999999</v>
      </c>
      <c r="AJ26" s="81">
        <v>0</v>
      </c>
      <c r="AK26" s="81">
        <v>0</v>
      </c>
      <c r="AL26" s="81">
        <v>0</v>
      </c>
      <c r="AM26" s="81">
        <v>0</v>
      </c>
      <c r="AN26" s="81">
        <v>0</v>
      </c>
      <c r="AO26" s="81">
        <v>1095.5999999999999</v>
      </c>
      <c r="AP26" s="81">
        <v>0</v>
      </c>
      <c r="AQ26" s="81">
        <v>0</v>
      </c>
      <c r="AR26" s="81">
        <v>0</v>
      </c>
      <c r="AS26" s="91">
        <v>-200.74</v>
      </c>
      <c r="AT26" s="91">
        <v>-141.59</v>
      </c>
      <c r="AU26" s="81">
        <v>59.15</v>
      </c>
      <c r="AV26" s="81">
        <v>0</v>
      </c>
      <c r="AW26" s="81">
        <v>0</v>
      </c>
      <c r="AX26" s="91">
        <v>-0.01</v>
      </c>
      <c r="AY26" s="81">
        <v>0</v>
      </c>
      <c r="AZ26" s="81">
        <v>0</v>
      </c>
      <c r="BA26" s="81">
        <v>-141.6</v>
      </c>
      <c r="BB26" s="81">
        <v>1237.2</v>
      </c>
      <c r="BC26" s="92">
        <f t="shared" si="18"/>
        <v>4689.8100000000004</v>
      </c>
      <c r="BD26" s="82">
        <f t="shared" si="19"/>
        <v>468.98100000000005</v>
      </c>
      <c r="BE26" s="82">
        <f t="shared" si="20"/>
        <v>0</v>
      </c>
      <c r="BF26" s="35"/>
      <c r="BG26" s="69">
        <v>12689.81</v>
      </c>
      <c r="BH26" s="92">
        <v>0</v>
      </c>
      <c r="BI26" s="93">
        <v>4689.8100000000004</v>
      </c>
      <c r="BJ26" s="84"/>
      <c r="BK26" s="84"/>
      <c r="BL26" s="84"/>
      <c r="BM26" s="84"/>
      <c r="BN26" s="69">
        <v>0</v>
      </c>
      <c r="BO26" s="84"/>
      <c r="BP26" s="69">
        <v>12689.81</v>
      </c>
      <c r="BQ26" s="102">
        <v>0</v>
      </c>
      <c r="BR26" s="84"/>
      <c r="BS26" s="84"/>
      <c r="BT26" s="84"/>
      <c r="BU26" s="84"/>
      <c r="BV26" s="84"/>
      <c r="BW26" s="84"/>
      <c r="BX26" s="69" t="s">
        <v>457</v>
      </c>
      <c r="BY26" s="129" t="s">
        <v>341</v>
      </c>
      <c r="BZ26" s="129" t="s">
        <v>64</v>
      </c>
      <c r="CA26" s="129" t="s">
        <v>374</v>
      </c>
      <c r="CB26" s="130"/>
      <c r="CC26" s="130"/>
      <c r="CD26" s="129" t="s">
        <v>236</v>
      </c>
      <c r="CE26" s="144"/>
      <c r="CF26" s="144"/>
      <c r="CG26" s="132">
        <v>1237.2399999999998</v>
      </c>
      <c r="CH26" s="144">
        <v>3762.76</v>
      </c>
      <c r="CI26" s="132">
        <f t="shared" si="0"/>
        <v>5000</v>
      </c>
      <c r="CJ26" s="132"/>
      <c r="CK26" s="132"/>
      <c r="CL26" s="132"/>
      <c r="CM26" s="134"/>
      <c r="CN26" s="135">
        <f t="shared" si="1"/>
        <v>5000</v>
      </c>
      <c r="CO26" s="136"/>
      <c r="CP26" s="137"/>
      <c r="CQ26" s="137"/>
      <c r="CR26" s="137"/>
      <c r="CS26" s="129">
        <v>310.19</v>
      </c>
      <c r="CT26" s="129">
        <v>0</v>
      </c>
      <c r="CU26" s="135">
        <f t="shared" si="21"/>
        <v>4689.8100000000004</v>
      </c>
      <c r="CV26" s="139">
        <f t="shared" si="2"/>
        <v>500</v>
      </c>
      <c r="CW26" s="135">
        <f t="shared" si="22"/>
        <v>4189.8100000000004</v>
      </c>
      <c r="CX26" s="140">
        <f t="shared" si="3"/>
        <v>0</v>
      </c>
      <c r="CY26" s="139">
        <f t="shared" si="4"/>
        <v>24.744799999999998</v>
      </c>
      <c r="CZ26" s="135">
        <f t="shared" si="5"/>
        <v>5024.7448000000004</v>
      </c>
      <c r="DA26" s="141"/>
      <c r="DB26" s="142">
        <f t="shared" si="23"/>
        <v>-4189.8100000000004</v>
      </c>
      <c r="DC26" s="141"/>
      <c r="DD26" s="141"/>
      <c r="DE26" s="142">
        <f t="shared" si="24"/>
        <v>0</v>
      </c>
      <c r="DF26" s="143">
        <v>2734223152</v>
      </c>
      <c r="DG26" s="143"/>
      <c r="DH26" s="143"/>
      <c r="DI26" s="143"/>
      <c r="DJ26" s="143"/>
      <c r="DK26" s="202">
        <f>+'C&amp;A'!I27+SINDICATO!E27</f>
        <v>5000</v>
      </c>
      <c r="DL26" s="142">
        <f t="shared" si="25"/>
        <v>0</v>
      </c>
      <c r="DM26" s="195">
        <f t="shared" si="26"/>
        <v>5000</v>
      </c>
      <c r="DN26" s="195">
        <f t="shared" si="27"/>
        <v>5000</v>
      </c>
      <c r="DO26" s="140">
        <f t="shared" si="28"/>
        <v>0</v>
      </c>
      <c r="DP26" s="140">
        <f t="shared" si="29"/>
        <v>500</v>
      </c>
      <c r="DQ26" s="84"/>
      <c r="DR26" s="84"/>
    </row>
    <row r="27" spans="1:122" ht="16.5" x14ac:dyDescent="0.3">
      <c r="A27" s="33" t="s">
        <v>66</v>
      </c>
      <c r="B27" s="34" t="s">
        <v>67</v>
      </c>
      <c r="C27" s="35">
        <v>2750</v>
      </c>
      <c r="D27" s="35">
        <v>145.37389713135775</v>
      </c>
      <c r="E27" s="35">
        <f t="shared" si="6"/>
        <v>0</v>
      </c>
      <c r="F27" s="35">
        <v>0</v>
      </c>
      <c r="G27" s="35">
        <v>0</v>
      </c>
      <c r="H27" s="35">
        <v>0</v>
      </c>
      <c r="I27" s="35">
        <v>0</v>
      </c>
      <c r="J27" s="197">
        <v>0</v>
      </c>
      <c r="K27" s="35">
        <v>0</v>
      </c>
      <c r="L27" s="35">
        <f t="shared" si="7"/>
        <v>0</v>
      </c>
      <c r="M27" s="35">
        <f t="shared" si="8"/>
        <v>0</v>
      </c>
      <c r="N27" s="35">
        <f t="shared" si="9"/>
        <v>0</v>
      </c>
      <c r="O27" s="35"/>
      <c r="P27" s="35">
        <f t="shared" si="10"/>
        <v>874.32</v>
      </c>
      <c r="Q27" s="35">
        <f t="shared" si="11"/>
        <v>0</v>
      </c>
      <c r="R27" s="35">
        <f t="shared" si="12"/>
        <v>2021.0538971313576</v>
      </c>
      <c r="S27" s="35">
        <f t="shared" si="13"/>
        <v>2895.3738971313578</v>
      </c>
      <c r="T27" s="35">
        <v>275</v>
      </c>
      <c r="U27" s="35">
        <f>+'C&amp;A'!E28*0.02</f>
        <v>21.911999999999999</v>
      </c>
      <c r="V27" s="35">
        <f t="shared" si="14"/>
        <v>3192.2858971313576</v>
      </c>
      <c r="W27" s="35">
        <f t="shared" si="15"/>
        <v>510.76574354101723</v>
      </c>
      <c r="X27" s="35">
        <f t="shared" si="16"/>
        <v>3703.051640672375</v>
      </c>
      <c r="Y27" s="40"/>
      <c r="Z27" s="7" t="s">
        <v>172</v>
      </c>
      <c r="AA27" s="7" t="s">
        <v>31</v>
      </c>
      <c r="AB27" s="8" t="s">
        <v>255</v>
      </c>
      <c r="AC27" s="9">
        <v>2750</v>
      </c>
      <c r="AD27" s="17">
        <v>145.38</v>
      </c>
      <c r="AE27" s="17">
        <f>+S27-'C&amp;A'!I28-SINDICATO!O28</f>
        <v>874.32</v>
      </c>
      <c r="AF27" s="34" t="str">
        <f t="shared" si="17"/>
        <v>SI</v>
      </c>
      <c r="AG27" s="70" t="s">
        <v>66</v>
      </c>
      <c r="AH27" s="71" t="s">
        <v>67</v>
      </c>
      <c r="AI27" s="72">
        <v>1095.5999999999999</v>
      </c>
      <c r="AJ27" s="72">
        <v>0</v>
      </c>
      <c r="AK27" s="72">
        <v>0</v>
      </c>
      <c r="AL27" s="72">
        <v>0</v>
      </c>
      <c r="AM27" s="72">
        <v>0</v>
      </c>
      <c r="AN27" s="72">
        <v>0</v>
      </c>
      <c r="AO27" s="72">
        <v>1095.5999999999999</v>
      </c>
      <c r="AP27" s="72">
        <v>0</v>
      </c>
      <c r="AQ27" s="72">
        <v>0</v>
      </c>
      <c r="AR27" s="72">
        <v>0</v>
      </c>
      <c r="AS27" s="73">
        <v>-200.74</v>
      </c>
      <c r="AT27" s="73">
        <v>-141.59</v>
      </c>
      <c r="AU27" s="72">
        <v>59.15</v>
      </c>
      <c r="AV27" s="72">
        <v>0</v>
      </c>
      <c r="AW27" s="72">
        <v>0</v>
      </c>
      <c r="AX27" s="73">
        <v>-0.01</v>
      </c>
      <c r="AY27" s="72">
        <v>0</v>
      </c>
      <c r="AZ27" s="72">
        <v>0</v>
      </c>
      <c r="BA27" s="72">
        <v>-141.6</v>
      </c>
      <c r="BB27" s="72">
        <v>1237.2</v>
      </c>
      <c r="BC27" s="69">
        <f t="shared" si="18"/>
        <v>2021.0538971313576</v>
      </c>
      <c r="BD27" s="35">
        <f t="shared" si="19"/>
        <v>202.10538971313576</v>
      </c>
      <c r="BE27" s="35">
        <f t="shared" si="20"/>
        <v>0</v>
      </c>
      <c r="BF27" s="35">
        <f>+'C&amp;A'!I28+SINDICATO!O28</f>
        <v>2021.0538971313576</v>
      </c>
      <c r="BG27" s="69">
        <v>3484.0860000000002</v>
      </c>
      <c r="BH27" s="69">
        <v>-264.6260000000002</v>
      </c>
      <c r="BI27" s="83">
        <v>5160.0060000000003</v>
      </c>
      <c r="BJ27" s="69">
        <v>264.6260000000002</v>
      </c>
      <c r="BK27" s="34"/>
      <c r="BL27" s="34"/>
      <c r="BM27" s="34"/>
      <c r="BN27" s="69">
        <v>0</v>
      </c>
      <c r="BO27" s="34"/>
      <c r="BP27" s="69">
        <v>5160.0060000000003</v>
      </c>
      <c r="BQ27" s="105">
        <v>-1675.92</v>
      </c>
      <c r="BR27" s="104" t="s">
        <v>301</v>
      </c>
      <c r="BS27" s="104"/>
      <c r="BT27" s="104" t="s">
        <v>302</v>
      </c>
      <c r="BU27" s="34"/>
      <c r="BV27" s="34"/>
      <c r="BW27" s="69">
        <f>+BF27-BP27</f>
        <v>-3138.9521028686427</v>
      </c>
      <c r="BX27" s="69" t="s">
        <v>455</v>
      </c>
      <c r="BY27" s="129" t="s">
        <v>338</v>
      </c>
      <c r="BZ27" s="129" t="s">
        <v>66</v>
      </c>
      <c r="CA27" s="129" t="s">
        <v>375</v>
      </c>
      <c r="CB27" s="130"/>
      <c r="CC27" s="130"/>
      <c r="CD27" s="129" t="s">
        <v>376</v>
      </c>
      <c r="CE27" s="144"/>
      <c r="CF27" s="144"/>
      <c r="CG27" s="132">
        <v>1237.2399999999998</v>
      </c>
      <c r="CH27" s="144">
        <v>1512.7600000000002</v>
      </c>
      <c r="CI27" s="132">
        <f t="shared" si="0"/>
        <v>2750</v>
      </c>
      <c r="CJ27" s="132"/>
      <c r="CK27" s="132"/>
      <c r="CL27" s="132"/>
      <c r="CM27" s="134"/>
      <c r="CN27" s="135">
        <f t="shared" si="1"/>
        <v>2750</v>
      </c>
      <c r="CO27" s="136"/>
      <c r="CP27" s="137"/>
      <c r="CQ27" s="137"/>
      <c r="CR27" s="137"/>
      <c r="CS27" s="138"/>
      <c r="CT27" s="129">
        <f>837.96+36.36</f>
        <v>874.32</v>
      </c>
      <c r="CU27" s="135">
        <f t="shared" si="21"/>
        <v>1875.6799999999998</v>
      </c>
      <c r="CV27" s="139">
        <f t="shared" si="2"/>
        <v>0</v>
      </c>
      <c r="CW27" s="135">
        <f t="shared" si="22"/>
        <v>1875.6799999999998</v>
      </c>
      <c r="CX27" s="140">
        <f t="shared" si="3"/>
        <v>275</v>
      </c>
      <c r="CY27" s="139">
        <f t="shared" si="4"/>
        <v>24.744799999999998</v>
      </c>
      <c r="CZ27" s="135">
        <f t="shared" si="5"/>
        <v>3049.7447999999999</v>
      </c>
      <c r="DA27" s="141"/>
      <c r="DB27" s="142">
        <f t="shared" si="23"/>
        <v>-1875.6799999999998</v>
      </c>
      <c r="DC27" s="141"/>
      <c r="DD27" s="141"/>
      <c r="DE27" s="142">
        <f t="shared" si="24"/>
        <v>0</v>
      </c>
      <c r="DF27" s="143">
        <v>2897100388</v>
      </c>
      <c r="DG27" s="143"/>
      <c r="DH27" s="143"/>
      <c r="DI27" s="143"/>
      <c r="DJ27" s="143"/>
      <c r="DK27" s="202">
        <f>+'C&amp;A'!I28+SINDICATO!E28</f>
        <v>2895.3738971313578</v>
      </c>
      <c r="DL27" s="142">
        <f t="shared" si="25"/>
        <v>0</v>
      </c>
      <c r="DM27" s="195">
        <f t="shared" si="26"/>
        <v>2895.3738971313578</v>
      </c>
      <c r="DN27" s="195">
        <f t="shared" si="27"/>
        <v>2895.3738971313578</v>
      </c>
      <c r="DO27" s="140">
        <f t="shared" si="28"/>
        <v>289.53738971313578</v>
      </c>
      <c r="DP27" s="140">
        <f t="shared" si="29"/>
        <v>0</v>
      </c>
      <c r="DQ27" s="34"/>
      <c r="DR27" s="34"/>
    </row>
    <row r="28" spans="1:122" ht="16.5" x14ac:dyDescent="0.3">
      <c r="A28" s="33" t="s">
        <v>68</v>
      </c>
      <c r="B28" s="34" t="s">
        <v>69</v>
      </c>
      <c r="C28" s="35">
        <v>3000</v>
      </c>
      <c r="D28" s="35">
        <v>145.37389713135775</v>
      </c>
      <c r="E28" s="35">
        <f t="shared" si="6"/>
        <v>0</v>
      </c>
      <c r="F28" s="35">
        <v>0</v>
      </c>
      <c r="G28" s="35">
        <v>0</v>
      </c>
      <c r="H28" s="35">
        <v>0</v>
      </c>
      <c r="I28" s="35">
        <v>0</v>
      </c>
      <c r="J28" s="197">
        <v>0</v>
      </c>
      <c r="K28" s="35">
        <v>0</v>
      </c>
      <c r="L28" s="35">
        <f t="shared" si="7"/>
        <v>0</v>
      </c>
      <c r="M28" s="35">
        <f t="shared" si="8"/>
        <v>0</v>
      </c>
      <c r="N28" s="35">
        <f t="shared" si="9"/>
        <v>117.81</v>
      </c>
      <c r="O28" s="35"/>
      <c r="P28" s="35">
        <f t="shared" si="10"/>
        <v>0</v>
      </c>
      <c r="Q28" s="35">
        <f t="shared" si="11"/>
        <v>0</v>
      </c>
      <c r="R28" s="35">
        <f t="shared" si="12"/>
        <v>3027.5638971313579</v>
      </c>
      <c r="S28" s="35">
        <f t="shared" si="13"/>
        <v>3027.5638971313579</v>
      </c>
      <c r="T28" s="35">
        <v>300</v>
      </c>
      <c r="U28" s="35">
        <f>+'C&amp;A'!E29*0.02</f>
        <v>21.911999999999999</v>
      </c>
      <c r="V28" s="35">
        <f t="shared" si="14"/>
        <v>3349.4758971313577</v>
      </c>
      <c r="W28" s="35">
        <f t="shared" si="15"/>
        <v>535.91614354101728</v>
      </c>
      <c r="X28" s="35">
        <f t="shared" si="16"/>
        <v>3885.3920406723751</v>
      </c>
      <c r="Y28" s="158"/>
      <c r="Z28" s="159" t="s">
        <v>173</v>
      </c>
      <c r="AA28" s="159" t="s">
        <v>174</v>
      </c>
      <c r="AB28" s="160" t="s">
        <v>268</v>
      </c>
      <c r="AC28" s="161">
        <v>3000</v>
      </c>
      <c r="AD28" s="162">
        <v>145.38</v>
      </c>
      <c r="AE28" s="162">
        <f>+S28-'C&amp;A'!I29-SINDICATO!O29</f>
        <v>0</v>
      </c>
      <c r="AF28" s="157" t="str">
        <f t="shared" si="17"/>
        <v>SI</v>
      </c>
      <c r="AG28" s="96" t="s">
        <v>68</v>
      </c>
      <c r="AH28" s="97" t="s">
        <v>69</v>
      </c>
      <c r="AI28" s="98">
        <v>1095.5999999999999</v>
      </c>
      <c r="AJ28" s="98">
        <v>0</v>
      </c>
      <c r="AK28" s="98">
        <v>0</v>
      </c>
      <c r="AL28" s="98">
        <v>0</v>
      </c>
      <c r="AM28" s="98">
        <v>0</v>
      </c>
      <c r="AN28" s="98">
        <v>0</v>
      </c>
      <c r="AO28" s="98">
        <v>1095.5999999999999</v>
      </c>
      <c r="AP28" s="98">
        <v>0</v>
      </c>
      <c r="AQ28" s="98">
        <v>0</v>
      </c>
      <c r="AR28" s="98">
        <v>0</v>
      </c>
      <c r="AS28" s="163">
        <v>-200.74</v>
      </c>
      <c r="AT28" s="163">
        <v>-141.59</v>
      </c>
      <c r="AU28" s="98">
        <v>59.15</v>
      </c>
      <c r="AV28" s="98">
        <v>0</v>
      </c>
      <c r="AW28" s="98">
        <v>0</v>
      </c>
      <c r="AX28" s="163">
        <v>-0.01</v>
      </c>
      <c r="AY28" s="98">
        <v>0</v>
      </c>
      <c r="AZ28" s="98">
        <v>0</v>
      </c>
      <c r="BA28" s="98">
        <v>-141.6</v>
      </c>
      <c r="BB28" s="98">
        <v>1237.2</v>
      </c>
      <c r="BC28" s="164">
        <f t="shared" si="18"/>
        <v>3027.5638971313579</v>
      </c>
      <c r="BD28" s="99">
        <f t="shared" si="19"/>
        <v>302.75638971313577</v>
      </c>
      <c r="BE28" s="99">
        <f t="shared" si="20"/>
        <v>0</v>
      </c>
      <c r="BF28" s="99"/>
      <c r="BG28" s="164">
        <v>13426.839</v>
      </c>
      <c r="BH28" s="164">
        <v>1491.8709999999992</v>
      </c>
      <c r="BI28" s="165">
        <v>13426.839</v>
      </c>
      <c r="BJ28" s="157"/>
      <c r="BK28" s="157"/>
      <c r="BL28" s="157"/>
      <c r="BM28" s="157"/>
      <c r="BN28" s="164">
        <v>0</v>
      </c>
      <c r="BO28" s="157"/>
      <c r="BP28" s="164">
        <v>13426.839</v>
      </c>
      <c r="BQ28" s="166">
        <v>0</v>
      </c>
      <c r="BR28" s="157"/>
      <c r="BS28" s="157"/>
      <c r="BT28" s="157"/>
      <c r="BU28" s="157"/>
      <c r="BV28" s="157"/>
      <c r="BW28" s="157"/>
      <c r="BX28" s="69" t="s">
        <v>459</v>
      </c>
      <c r="BY28" s="167" t="s">
        <v>349</v>
      </c>
      <c r="BZ28" s="167" t="s">
        <v>68</v>
      </c>
      <c r="CA28" s="167" t="s">
        <v>377</v>
      </c>
      <c r="CB28" s="168"/>
      <c r="CC28" s="168"/>
      <c r="CD28" s="167" t="s">
        <v>378</v>
      </c>
      <c r="CE28" s="168"/>
      <c r="CF28" s="168"/>
      <c r="CG28" s="169">
        <v>1237.2399999999998</v>
      </c>
      <c r="CH28" s="168">
        <v>1762.7600000000002</v>
      </c>
      <c r="CI28" s="169">
        <f t="shared" si="0"/>
        <v>3000</v>
      </c>
      <c r="CJ28" s="169"/>
      <c r="CK28" s="169"/>
      <c r="CL28" s="169"/>
      <c r="CM28" s="170"/>
      <c r="CN28" s="171">
        <f t="shared" si="1"/>
        <v>3000</v>
      </c>
      <c r="CO28" s="169"/>
      <c r="CP28" s="172">
        <v>117.81</v>
      </c>
      <c r="CQ28" s="172"/>
      <c r="CR28" s="172"/>
      <c r="CS28" s="173"/>
      <c r="CT28" s="167">
        <v>0</v>
      </c>
      <c r="CU28" s="171">
        <f t="shared" si="21"/>
        <v>2882.19</v>
      </c>
      <c r="CV28" s="172">
        <f t="shared" si="2"/>
        <v>0</v>
      </c>
      <c r="CW28" s="171">
        <f t="shared" si="22"/>
        <v>2882.19</v>
      </c>
      <c r="CX28" s="172">
        <f t="shared" si="3"/>
        <v>300</v>
      </c>
      <c r="CY28" s="172">
        <f t="shared" si="4"/>
        <v>24.744799999999998</v>
      </c>
      <c r="CZ28" s="171">
        <f t="shared" si="5"/>
        <v>3324.7447999999999</v>
      </c>
      <c r="DA28" s="174"/>
      <c r="DB28" s="175">
        <f t="shared" si="23"/>
        <v>-2882.19</v>
      </c>
      <c r="DC28" s="174"/>
      <c r="DD28" s="174"/>
      <c r="DE28" s="175">
        <f t="shared" si="24"/>
        <v>0</v>
      </c>
      <c r="DF28" s="146">
        <v>2743852393</v>
      </c>
      <c r="DG28" s="146"/>
      <c r="DH28" s="146"/>
      <c r="DI28" s="146"/>
      <c r="DJ28" s="146"/>
      <c r="DK28" s="202">
        <f>+'C&amp;A'!I29+SINDICATO!E29</f>
        <v>3145.3738971313578</v>
      </c>
      <c r="DL28" s="142">
        <f t="shared" si="25"/>
        <v>0</v>
      </c>
      <c r="DM28" s="195">
        <f t="shared" si="26"/>
        <v>3145.3738971313578</v>
      </c>
      <c r="DN28" s="195">
        <f t="shared" si="27"/>
        <v>3145.3738971313578</v>
      </c>
      <c r="DO28" s="140">
        <f t="shared" si="28"/>
        <v>314.53738971313578</v>
      </c>
      <c r="DP28" s="140">
        <f t="shared" si="29"/>
        <v>0</v>
      </c>
      <c r="DQ28" s="157"/>
      <c r="DR28" s="157"/>
    </row>
    <row r="29" spans="1:122" ht="16.5" x14ac:dyDescent="0.3">
      <c r="A29" s="33" t="s">
        <v>70</v>
      </c>
      <c r="B29" s="34" t="s">
        <v>71</v>
      </c>
      <c r="C29" s="35">
        <v>3000</v>
      </c>
      <c r="D29" s="35">
        <v>145.37389713135775</v>
      </c>
      <c r="E29" s="35">
        <f t="shared" si="6"/>
        <v>0</v>
      </c>
      <c r="F29" s="35">
        <v>0</v>
      </c>
      <c r="G29" s="35">
        <v>0</v>
      </c>
      <c r="H29" s="35">
        <v>0</v>
      </c>
      <c r="I29" s="35">
        <v>0</v>
      </c>
      <c r="J29" s="197">
        <v>0</v>
      </c>
      <c r="K29" s="35">
        <v>0</v>
      </c>
      <c r="L29" s="35">
        <f t="shared" si="7"/>
        <v>0</v>
      </c>
      <c r="M29" s="35">
        <f t="shared" si="8"/>
        <v>0</v>
      </c>
      <c r="N29" s="35">
        <f t="shared" si="9"/>
        <v>105.31</v>
      </c>
      <c r="O29" s="35"/>
      <c r="P29" s="35">
        <f t="shared" si="10"/>
        <v>0</v>
      </c>
      <c r="Q29" s="35">
        <f t="shared" si="11"/>
        <v>0</v>
      </c>
      <c r="R29" s="35">
        <f t="shared" si="12"/>
        <v>3040.0638971313579</v>
      </c>
      <c r="S29" s="35">
        <f t="shared" si="13"/>
        <v>3040.0638971313579</v>
      </c>
      <c r="T29" s="35">
        <v>300</v>
      </c>
      <c r="U29" s="35">
        <f>+'C&amp;A'!E30*0.02</f>
        <v>21.911999999999999</v>
      </c>
      <c r="V29" s="35">
        <f t="shared" si="14"/>
        <v>3361.9758971313577</v>
      </c>
      <c r="W29" s="35">
        <f t="shared" si="15"/>
        <v>537.91614354101728</v>
      </c>
      <c r="X29" s="35">
        <f t="shared" si="16"/>
        <v>3899.8920406723751</v>
      </c>
      <c r="Y29" s="158"/>
      <c r="Z29" s="159" t="s">
        <v>175</v>
      </c>
      <c r="AA29" s="159" t="s">
        <v>176</v>
      </c>
      <c r="AB29" s="160" t="s">
        <v>239</v>
      </c>
      <c r="AC29" s="161">
        <v>3000</v>
      </c>
      <c r="AD29" s="162">
        <v>145.38</v>
      </c>
      <c r="AE29" s="162">
        <f>+S29-'C&amp;A'!I30-SINDICATO!O30</f>
        <v>0</v>
      </c>
      <c r="AF29" s="157" t="str">
        <f t="shared" si="17"/>
        <v>SI</v>
      </c>
      <c r="AG29" s="96" t="s">
        <v>70</v>
      </c>
      <c r="AH29" s="97" t="s">
        <v>71</v>
      </c>
      <c r="AI29" s="98">
        <v>1095.5999999999999</v>
      </c>
      <c r="AJ29" s="98">
        <v>0</v>
      </c>
      <c r="AK29" s="98">
        <v>0</v>
      </c>
      <c r="AL29" s="98">
        <v>0</v>
      </c>
      <c r="AM29" s="98">
        <v>0</v>
      </c>
      <c r="AN29" s="98">
        <v>0</v>
      </c>
      <c r="AO29" s="98">
        <v>1095.5999999999999</v>
      </c>
      <c r="AP29" s="98">
        <v>0</v>
      </c>
      <c r="AQ29" s="98">
        <v>0</v>
      </c>
      <c r="AR29" s="98">
        <v>0</v>
      </c>
      <c r="AS29" s="163">
        <v>-200.74</v>
      </c>
      <c r="AT29" s="163">
        <v>-141.59</v>
      </c>
      <c r="AU29" s="98">
        <v>59.15</v>
      </c>
      <c r="AV29" s="98">
        <v>0</v>
      </c>
      <c r="AW29" s="98">
        <v>0</v>
      </c>
      <c r="AX29" s="163">
        <v>-0.01</v>
      </c>
      <c r="AY29" s="98">
        <v>0</v>
      </c>
      <c r="AZ29" s="98">
        <v>0</v>
      </c>
      <c r="BA29" s="98">
        <v>-141.6</v>
      </c>
      <c r="BB29" s="98">
        <v>1237.2</v>
      </c>
      <c r="BC29" s="164">
        <f t="shared" si="18"/>
        <v>3040.0638971313579</v>
      </c>
      <c r="BD29" s="99">
        <f t="shared" si="19"/>
        <v>304.00638971313577</v>
      </c>
      <c r="BE29" s="99">
        <f t="shared" si="20"/>
        <v>0</v>
      </c>
      <c r="BF29" s="99"/>
      <c r="BG29" s="164">
        <v>3145.38</v>
      </c>
      <c r="BH29" s="164">
        <v>0</v>
      </c>
      <c r="BI29" s="165">
        <v>3145.38</v>
      </c>
      <c r="BJ29" s="157"/>
      <c r="BK29" s="157"/>
      <c r="BL29" s="157"/>
      <c r="BM29" s="157"/>
      <c r="BN29" s="164">
        <v>0</v>
      </c>
      <c r="BO29" s="157"/>
      <c r="BP29" s="164">
        <v>3145.38</v>
      </c>
      <c r="BQ29" s="166">
        <v>0</v>
      </c>
      <c r="BR29" s="157"/>
      <c r="BS29" s="157"/>
      <c r="BT29" s="157"/>
      <c r="BU29" s="157"/>
      <c r="BV29" s="157"/>
      <c r="BW29" s="157"/>
      <c r="BX29" s="69" t="s">
        <v>458</v>
      </c>
      <c r="BY29" s="167" t="s">
        <v>362</v>
      </c>
      <c r="BZ29" s="167" t="s">
        <v>70</v>
      </c>
      <c r="CA29" s="167" t="s">
        <v>379</v>
      </c>
      <c r="CB29" s="176"/>
      <c r="CC29" s="176"/>
      <c r="CD29" s="167" t="s">
        <v>380</v>
      </c>
      <c r="CE29" s="168"/>
      <c r="CF29" s="168"/>
      <c r="CG29" s="169">
        <v>1237.2399999999998</v>
      </c>
      <c r="CH29" s="168">
        <v>1762.7600000000002</v>
      </c>
      <c r="CI29" s="169">
        <f t="shared" si="0"/>
        <v>3000</v>
      </c>
      <c r="CJ29" s="169"/>
      <c r="CK29" s="169"/>
      <c r="CL29" s="169"/>
      <c r="CM29" s="170"/>
      <c r="CN29" s="171">
        <f t="shared" si="1"/>
        <v>3000</v>
      </c>
      <c r="CO29" s="169"/>
      <c r="CP29" s="172">
        <v>105.31</v>
      </c>
      <c r="CQ29" s="172"/>
      <c r="CR29" s="172"/>
      <c r="CS29" s="173"/>
      <c r="CT29" s="167">
        <v>0</v>
      </c>
      <c r="CU29" s="171">
        <f t="shared" si="21"/>
        <v>2894.69</v>
      </c>
      <c r="CV29" s="172">
        <f t="shared" si="2"/>
        <v>0</v>
      </c>
      <c r="CW29" s="171">
        <f t="shared" si="22"/>
        <v>2894.69</v>
      </c>
      <c r="CX29" s="172">
        <f t="shared" si="3"/>
        <v>300</v>
      </c>
      <c r="CY29" s="172">
        <f t="shared" si="4"/>
        <v>24.744799999999998</v>
      </c>
      <c r="CZ29" s="171">
        <f t="shared" si="5"/>
        <v>3324.7447999999999</v>
      </c>
      <c r="DA29" s="174"/>
      <c r="DB29" s="175">
        <f t="shared" si="23"/>
        <v>-2894.69</v>
      </c>
      <c r="DC29" s="174"/>
      <c r="DD29" s="174"/>
      <c r="DE29" s="175">
        <f t="shared" si="24"/>
        <v>0</v>
      </c>
      <c r="DF29" s="146">
        <v>2949799338</v>
      </c>
      <c r="DG29" s="146"/>
      <c r="DH29" s="146"/>
      <c r="DI29" s="146"/>
      <c r="DJ29" s="146"/>
      <c r="DK29" s="202">
        <f>+'C&amp;A'!I30+SINDICATO!E30</f>
        <v>3145.3738971313578</v>
      </c>
      <c r="DL29" s="142">
        <f t="shared" si="25"/>
        <v>0</v>
      </c>
      <c r="DM29" s="195">
        <f t="shared" si="26"/>
        <v>3145.3738971313578</v>
      </c>
      <c r="DN29" s="195">
        <f t="shared" si="27"/>
        <v>3145.3738971313578</v>
      </c>
      <c r="DO29" s="140">
        <f t="shared" si="28"/>
        <v>314.53738971313578</v>
      </c>
      <c r="DP29" s="140">
        <f t="shared" si="29"/>
        <v>0</v>
      </c>
      <c r="DQ29" s="157"/>
      <c r="DR29" s="157"/>
    </row>
    <row r="30" spans="1:122" ht="16.5" x14ac:dyDescent="0.3">
      <c r="A30" s="33" t="s">
        <v>72</v>
      </c>
      <c r="B30" s="34" t="s">
        <v>73</v>
      </c>
      <c r="C30" s="35">
        <v>2500</v>
      </c>
      <c r="D30" s="35">
        <v>160.37636329558455</v>
      </c>
      <c r="E30" s="35">
        <f t="shared" si="6"/>
        <v>0</v>
      </c>
      <c r="F30" s="35">
        <v>0</v>
      </c>
      <c r="G30" s="35">
        <v>0</v>
      </c>
      <c r="H30" s="35">
        <v>0</v>
      </c>
      <c r="I30" s="35">
        <v>0</v>
      </c>
      <c r="J30" s="197">
        <v>0</v>
      </c>
      <c r="K30" s="35">
        <v>0</v>
      </c>
      <c r="L30" s="35">
        <f t="shared" si="7"/>
        <v>0</v>
      </c>
      <c r="M30" s="35">
        <f t="shared" si="8"/>
        <v>0</v>
      </c>
      <c r="N30" s="35">
        <f t="shared" si="9"/>
        <v>117.81</v>
      </c>
      <c r="O30" s="35"/>
      <c r="P30" s="35">
        <f t="shared" si="10"/>
        <v>0</v>
      </c>
      <c r="Q30" s="35">
        <f t="shared" si="11"/>
        <v>0</v>
      </c>
      <c r="R30" s="35">
        <f t="shared" si="12"/>
        <v>2542.5663632955848</v>
      </c>
      <c r="S30" s="35">
        <f t="shared" si="13"/>
        <v>2542.5663632955848</v>
      </c>
      <c r="T30" s="35">
        <v>250</v>
      </c>
      <c r="U30" s="35">
        <f>+'C&amp;A'!E31*0.02</f>
        <v>21.911999999999999</v>
      </c>
      <c r="V30" s="35">
        <f t="shared" si="14"/>
        <v>2814.4783632955846</v>
      </c>
      <c r="W30" s="35">
        <f t="shared" si="15"/>
        <v>450.31653812729354</v>
      </c>
      <c r="X30" s="35">
        <f t="shared" si="16"/>
        <v>3264.794901422878</v>
      </c>
      <c r="Y30" s="158"/>
      <c r="Z30" s="177" t="s">
        <v>177</v>
      </c>
      <c r="AA30" s="177" t="s">
        <v>272</v>
      </c>
      <c r="AB30" s="178" t="s">
        <v>258</v>
      </c>
      <c r="AC30" s="179">
        <v>2500</v>
      </c>
      <c r="AD30" s="180">
        <v>160.30000000000001</v>
      </c>
      <c r="AE30" s="162">
        <f>+S30-'C&amp;A'!I31-SINDICATO!O31</f>
        <v>0</v>
      </c>
      <c r="AF30" s="157" t="str">
        <f t="shared" si="17"/>
        <v>SI</v>
      </c>
      <c r="AG30" s="96" t="s">
        <v>72</v>
      </c>
      <c r="AH30" s="97" t="s">
        <v>73</v>
      </c>
      <c r="AI30" s="98">
        <v>1095.5999999999999</v>
      </c>
      <c r="AJ30" s="98">
        <v>0</v>
      </c>
      <c r="AK30" s="98">
        <v>0</v>
      </c>
      <c r="AL30" s="98">
        <v>0</v>
      </c>
      <c r="AM30" s="98">
        <v>0</v>
      </c>
      <c r="AN30" s="98">
        <v>0</v>
      </c>
      <c r="AO30" s="98">
        <v>1095.5999999999999</v>
      </c>
      <c r="AP30" s="98">
        <v>0</v>
      </c>
      <c r="AQ30" s="98">
        <v>0</v>
      </c>
      <c r="AR30" s="98">
        <v>0</v>
      </c>
      <c r="AS30" s="163">
        <v>-200.74</v>
      </c>
      <c r="AT30" s="163">
        <v>-141.59</v>
      </c>
      <c r="AU30" s="98">
        <v>59.15</v>
      </c>
      <c r="AV30" s="98">
        <v>0</v>
      </c>
      <c r="AW30" s="98">
        <v>0</v>
      </c>
      <c r="AX30" s="163">
        <v>-0.01</v>
      </c>
      <c r="AY30" s="98">
        <v>0</v>
      </c>
      <c r="AZ30" s="98">
        <v>0</v>
      </c>
      <c r="BA30" s="98">
        <v>-141.6</v>
      </c>
      <c r="BB30" s="98">
        <v>1237.2</v>
      </c>
      <c r="BC30" s="164">
        <f t="shared" si="18"/>
        <v>2542.5663632955848</v>
      </c>
      <c r="BD30" s="99">
        <f t="shared" si="19"/>
        <v>254.25663632955849</v>
      </c>
      <c r="BE30" s="99">
        <f t="shared" si="20"/>
        <v>0</v>
      </c>
      <c r="BF30" s="99"/>
      <c r="BG30" s="164">
        <v>6217.3530000000001</v>
      </c>
      <c r="BH30" s="164">
        <v>690.81700000000001</v>
      </c>
      <c r="BI30" s="165">
        <v>6217.3530000000001</v>
      </c>
      <c r="BJ30" s="157"/>
      <c r="BK30" s="157"/>
      <c r="BL30" s="157"/>
      <c r="BM30" s="157"/>
      <c r="BN30" s="164">
        <v>0</v>
      </c>
      <c r="BO30" s="157"/>
      <c r="BP30" s="164">
        <v>6217.3530000000001</v>
      </c>
      <c r="BQ30" s="166">
        <v>0</v>
      </c>
      <c r="BR30" s="157"/>
      <c r="BS30" s="157"/>
      <c r="BT30" s="157"/>
      <c r="BU30" s="157"/>
      <c r="BV30" s="157"/>
      <c r="BW30" s="157"/>
      <c r="BX30" s="69" t="s">
        <v>456</v>
      </c>
      <c r="BY30" s="167" t="s">
        <v>370</v>
      </c>
      <c r="BZ30" s="167" t="s">
        <v>72</v>
      </c>
      <c r="CA30" s="167" t="s">
        <v>381</v>
      </c>
      <c r="CB30" s="168"/>
      <c r="CC30" s="168"/>
      <c r="CD30" s="167" t="s">
        <v>258</v>
      </c>
      <c r="CE30" s="168"/>
      <c r="CF30" s="168"/>
      <c r="CG30" s="169">
        <v>1237.2399999999998</v>
      </c>
      <c r="CH30" s="168">
        <v>1262.7600000000002</v>
      </c>
      <c r="CI30" s="169">
        <f t="shared" si="0"/>
        <v>2500</v>
      </c>
      <c r="CJ30" s="169"/>
      <c r="CK30" s="169"/>
      <c r="CL30" s="169"/>
      <c r="CM30" s="170"/>
      <c r="CN30" s="171">
        <f t="shared" si="1"/>
        <v>2500</v>
      </c>
      <c r="CO30" s="169"/>
      <c r="CP30" s="172">
        <v>117.81</v>
      </c>
      <c r="CQ30" s="172"/>
      <c r="CR30" s="172"/>
      <c r="CS30" s="173"/>
      <c r="CT30" s="167">
        <v>0</v>
      </c>
      <c r="CU30" s="171">
        <f t="shared" si="21"/>
        <v>2382.19</v>
      </c>
      <c r="CV30" s="172">
        <f t="shared" si="2"/>
        <v>0</v>
      </c>
      <c r="CW30" s="171">
        <f t="shared" si="22"/>
        <v>2382.19</v>
      </c>
      <c r="CX30" s="172">
        <f t="shared" si="3"/>
        <v>250</v>
      </c>
      <c r="CY30" s="172">
        <f t="shared" si="4"/>
        <v>24.744799999999998</v>
      </c>
      <c r="CZ30" s="171">
        <f t="shared" si="5"/>
        <v>2774.7447999999999</v>
      </c>
      <c r="DA30" s="174"/>
      <c r="DB30" s="175">
        <f t="shared" si="23"/>
        <v>-2382.19</v>
      </c>
      <c r="DC30" s="174"/>
      <c r="DD30" s="174"/>
      <c r="DE30" s="175">
        <f t="shared" si="24"/>
        <v>0</v>
      </c>
      <c r="DF30" s="146">
        <v>2945821312</v>
      </c>
      <c r="DG30" s="146"/>
      <c r="DH30" s="146"/>
      <c r="DI30" s="146"/>
      <c r="DJ30" s="146"/>
      <c r="DK30" s="202">
        <f>+'C&amp;A'!I31+SINDICATO!E31</f>
        <v>2660.3763632955847</v>
      </c>
      <c r="DL30" s="142">
        <f t="shared" si="25"/>
        <v>0</v>
      </c>
      <c r="DM30" s="195">
        <f t="shared" si="26"/>
        <v>2660.3763632955847</v>
      </c>
      <c r="DN30" s="195">
        <f t="shared" si="27"/>
        <v>2660.3763632955847</v>
      </c>
      <c r="DO30" s="140">
        <f t="shared" si="28"/>
        <v>266.0376363295585</v>
      </c>
      <c r="DP30" s="140">
        <f t="shared" si="29"/>
        <v>0</v>
      </c>
      <c r="DQ30" s="157"/>
      <c r="DR30" s="157"/>
    </row>
    <row r="31" spans="1:122" ht="16.5" x14ac:dyDescent="0.3">
      <c r="A31" s="33" t="s">
        <v>74</v>
      </c>
      <c r="B31" s="34" t="s">
        <v>75</v>
      </c>
      <c r="C31" s="35">
        <v>2500</v>
      </c>
      <c r="D31" s="35">
        <v>125.12056780965156</v>
      </c>
      <c r="E31" s="35">
        <f t="shared" si="6"/>
        <v>760</v>
      </c>
      <c r="F31" s="35">
        <v>0</v>
      </c>
      <c r="G31" s="35">
        <v>0</v>
      </c>
      <c r="H31" s="35">
        <v>0</v>
      </c>
      <c r="I31" s="35">
        <v>0</v>
      </c>
      <c r="J31" s="197">
        <v>0</v>
      </c>
      <c r="K31" s="35">
        <v>0</v>
      </c>
      <c r="L31" s="35">
        <f t="shared" si="7"/>
        <v>0</v>
      </c>
      <c r="M31" s="35">
        <f t="shared" si="8"/>
        <v>0</v>
      </c>
      <c r="N31" s="35">
        <f t="shared" si="9"/>
        <v>117.81</v>
      </c>
      <c r="O31" s="35"/>
      <c r="P31" s="35">
        <f t="shared" si="10"/>
        <v>1527.71</v>
      </c>
      <c r="Q31" s="35">
        <f t="shared" si="11"/>
        <v>0</v>
      </c>
      <c r="R31" s="35">
        <f t="shared" si="12"/>
        <v>1739.6005678096517</v>
      </c>
      <c r="S31" s="35">
        <f t="shared" si="13"/>
        <v>3267.3105678096517</v>
      </c>
      <c r="T31" s="35">
        <v>326</v>
      </c>
      <c r="U31" s="35">
        <f>+'C&amp;A'!E32*0.02</f>
        <v>21.911999999999999</v>
      </c>
      <c r="V31" s="35">
        <f t="shared" si="14"/>
        <v>3615.2225678096515</v>
      </c>
      <c r="W31" s="35">
        <f t="shared" si="15"/>
        <v>578.43561084954422</v>
      </c>
      <c r="X31" s="35">
        <f t="shared" si="16"/>
        <v>4193.658178659196</v>
      </c>
      <c r="Y31" s="158"/>
      <c r="Z31" s="177" t="s">
        <v>178</v>
      </c>
      <c r="AA31" s="177" t="s">
        <v>179</v>
      </c>
      <c r="AB31" s="178" t="s">
        <v>259</v>
      </c>
      <c r="AC31" s="181">
        <v>2500</v>
      </c>
      <c r="AD31" s="162">
        <v>160.30000000000001</v>
      </c>
      <c r="AE31" s="162">
        <f>+S31-'C&amp;A'!I32-SINDICATO!O32</f>
        <v>1527.71</v>
      </c>
      <c r="AF31" s="157" t="str">
        <f t="shared" si="17"/>
        <v>SI</v>
      </c>
      <c r="AG31" s="96" t="s">
        <v>74</v>
      </c>
      <c r="AH31" s="97" t="s">
        <v>75</v>
      </c>
      <c r="AI31" s="98">
        <v>1095.5999999999999</v>
      </c>
      <c r="AJ31" s="98">
        <v>0</v>
      </c>
      <c r="AK31" s="98">
        <v>0</v>
      </c>
      <c r="AL31" s="98">
        <v>0</v>
      </c>
      <c r="AM31" s="98">
        <v>0</v>
      </c>
      <c r="AN31" s="98">
        <v>0</v>
      </c>
      <c r="AO31" s="98">
        <v>1095.5999999999999</v>
      </c>
      <c r="AP31" s="98">
        <v>0</v>
      </c>
      <c r="AQ31" s="98">
        <v>0</v>
      </c>
      <c r="AR31" s="98">
        <v>0</v>
      </c>
      <c r="AS31" s="163">
        <v>-200.74</v>
      </c>
      <c r="AT31" s="163">
        <v>-141.59</v>
      </c>
      <c r="AU31" s="98">
        <v>59.15</v>
      </c>
      <c r="AV31" s="98">
        <v>0</v>
      </c>
      <c r="AW31" s="98">
        <v>0</v>
      </c>
      <c r="AX31" s="163">
        <v>-0.01</v>
      </c>
      <c r="AY31" s="98">
        <v>0</v>
      </c>
      <c r="AZ31" s="98">
        <v>0</v>
      </c>
      <c r="BA31" s="98">
        <v>-141.6</v>
      </c>
      <c r="BB31" s="98">
        <v>1237.2</v>
      </c>
      <c r="BC31" s="164">
        <f t="shared" si="18"/>
        <v>1739.6005678096517</v>
      </c>
      <c r="BD31" s="99">
        <f t="shared" si="19"/>
        <v>173.96005678096517</v>
      </c>
      <c r="BE31" s="99">
        <f t="shared" si="20"/>
        <v>0</v>
      </c>
      <c r="BF31" s="99"/>
      <c r="BG31" s="164">
        <v>4044.78</v>
      </c>
      <c r="BH31" s="164">
        <v>175.51999999999998</v>
      </c>
      <c r="BI31" s="165">
        <v>4044.7800000000007</v>
      </c>
      <c r="BJ31" s="157"/>
      <c r="BK31" s="157"/>
      <c r="BL31" s="157"/>
      <c r="BM31" s="157"/>
      <c r="BN31" s="164">
        <v>0</v>
      </c>
      <c r="BO31" s="157"/>
      <c r="BP31" s="164">
        <v>4044.78</v>
      </c>
      <c r="BQ31" s="166">
        <v>0</v>
      </c>
      <c r="BR31" s="157"/>
      <c r="BS31" s="157"/>
      <c r="BT31" s="157"/>
      <c r="BU31" s="157"/>
      <c r="BV31" s="157"/>
      <c r="BW31" s="157"/>
      <c r="BX31" s="69" t="s">
        <v>456</v>
      </c>
      <c r="BY31" s="167" t="s">
        <v>359</v>
      </c>
      <c r="BZ31" s="167" t="s">
        <v>382</v>
      </c>
      <c r="CA31" s="167" t="s">
        <v>383</v>
      </c>
      <c r="CB31" s="176"/>
      <c r="CC31" s="176"/>
      <c r="CD31" s="167" t="s">
        <v>264</v>
      </c>
      <c r="CE31" s="168"/>
      <c r="CF31" s="168"/>
      <c r="CG31" s="169">
        <v>1237.2399999999998</v>
      </c>
      <c r="CH31" s="168">
        <v>1262.7600000000002</v>
      </c>
      <c r="CI31" s="169">
        <f t="shared" si="0"/>
        <v>2500</v>
      </c>
      <c r="CJ31" s="169">
        <v>760</v>
      </c>
      <c r="CK31" s="169"/>
      <c r="CL31" s="169"/>
      <c r="CM31" s="170"/>
      <c r="CN31" s="171">
        <f t="shared" si="1"/>
        <v>3260</v>
      </c>
      <c r="CO31" s="169"/>
      <c r="CP31" s="172">
        <v>117.81</v>
      </c>
      <c r="CQ31" s="172"/>
      <c r="CR31" s="172"/>
      <c r="CS31" s="173"/>
      <c r="CT31" s="182">
        <f>1075.52+452.19</f>
        <v>1527.71</v>
      </c>
      <c r="CU31" s="171">
        <f t="shared" si="21"/>
        <v>1614.48</v>
      </c>
      <c r="CV31" s="172">
        <f t="shared" si="2"/>
        <v>0</v>
      </c>
      <c r="CW31" s="171">
        <f t="shared" si="22"/>
        <v>1614.48</v>
      </c>
      <c r="CX31" s="172">
        <f t="shared" si="3"/>
        <v>326</v>
      </c>
      <c r="CY31" s="172">
        <f t="shared" si="4"/>
        <v>24.744799999999998</v>
      </c>
      <c r="CZ31" s="171">
        <f t="shared" si="5"/>
        <v>3610.7447999999999</v>
      </c>
      <c r="DA31" s="174"/>
      <c r="DB31" s="175">
        <f t="shared" si="23"/>
        <v>-1614.48</v>
      </c>
      <c r="DC31" s="174"/>
      <c r="DD31" s="174"/>
      <c r="DE31" s="175">
        <f t="shared" si="24"/>
        <v>0</v>
      </c>
      <c r="DF31" s="146">
        <v>2871132644</v>
      </c>
      <c r="DG31" s="146"/>
      <c r="DH31" s="146"/>
      <c r="DI31" s="146"/>
      <c r="DJ31" s="146"/>
      <c r="DK31" s="202">
        <f>+'C&amp;A'!I32+SINDICATO!E32</f>
        <v>3385.1205678096517</v>
      </c>
      <c r="DL31" s="142">
        <f t="shared" si="25"/>
        <v>0</v>
      </c>
      <c r="DM31" s="195">
        <f t="shared" si="26"/>
        <v>3385.1205678096517</v>
      </c>
      <c r="DN31" s="195">
        <f t="shared" si="27"/>
        <v>3385.1205678096517</v>
      </c>
      <c r="DO31" s="140">
        <f t="shared" si="28"/>
        <v>338.51205678096517</v>
      </c>
      <c r="DP31" s="140">
        <f t="shared" si="29"/>
        <v>0</v>
      </c>
      <c r="DQ31" s="157"/>
      <c r="DR31" s="157"/>
    </row>
    <row r="32" spans="1:122" ht="16.5" x14ac:dyDescent="0.3">
      <c r="A32" s="33" t="s">
        <v>80</v>
      </c>
      <c r="B32" s="34" t="s">
        <v>81</v>
      </c>
      <c r="C32" s="35">
        <v>4000</v>
      </c>
      <c r="D32" s="35">
        <v>0</v>
      </c>
      <c r="E32" s="35">
        <f t="shared" si="6"/>
        <v>0</v>
      </c>
      <c r="F32" s="35">
        <v>0</v>
      </c>
      <c r="G32" s="35">
        <v>0</v>
      </c>
      <c r="H32" s="35">
        <v>0</v>
      </c>
      <c r="I32" s="35">
        <v>0</v>
      </c>
      <c r="J32" s="197">
        <v>0</v>
      </c>
      <c r="K32" s="35">
        <v>0</v>
      </c>
      <c r="L32" s="35">
        <f t="shared" si="7"/>
        <v>0</v>
      </c>
      <c r="M32" s="35">
        <f t="shared" si="8"/>
        <v>0</v>
      </c>
      <c r="N32" s="35">
        <f t="shared" si="9"/>
        <v>117.81</v>
      </c>
      <c r="O32" s="35"/>
      <c r="P32" s="35">
        <f t="shared" si="10"/>
        <v>1146.5999999999999</v>
      </c>
      <c r="Q32" s="35">
        <f t="shared" si="11"/>
        <v>0</v>
      </c>
      <c r="R32" s="35">
        <f t="shared" si="12"/>
        <v>2735.59</v>
      </c>
      <c r="S32" s="35">
        <f t="shared" si="13"/>
        <v>3882.19</v>
      </c>
      <c r="T32" s="35">
        <v>400</v>
      </c>
      <c r="U32" s="35">
        <f>+'C&amp;A'!E33*0.02</f>
        <v>21.911999999999999</v>
      </c>
      <c r="V32" s="35">
        <f t="shared" si="14"/>
        <v>4304.1020000000008</v>
      </c>
      <c r="W32" s="35">
        <f t="shared" si="15"/>
        <v>688.65632000000016</v>
      </c>
      <c r="X32" s="35">
        <f t="shared" si="16"/>
        <v>4992.7583200000008</v>
      </c>
      <c r="Y32" s="40"/>
      <c r="Z32" s="7" t="s">
        <v>180</v>
      </c>
      <c r="AA32" s="7" t="s">
        <v>181</v>
      </c>
      <c r="AB32" s="8" t="s">
        <v>255</v>
      </c>
      <c r="AC32" s="10">
        <v>2000</v>
      </c>
      <c r="AD32" s="17">
        <v>188.71</v>
      </c>
      <c r="AE32" s="17">
        <f>+S32-'C&amp;A'!I33-SINDICATO!O33</f>
        <v>1146.5999999999999</v>
      </c>
      <c r="AF32" s="34" t="str">
        <f t="shared" si="17"/>
        <v>SI</v>
      </c>
      <c r="AG32" s="70" t="s">
        <v>80</v>
      </c>
      <c r="AH32" s="71" t="s">
        <v>81</v>
      </c>
      <c r="AI32" s="72">
        <v>1095.5999999999999</v>
      </c>
      <c r="AJ32" s="72">
        <v>0</v>
      </c>
      <c r="AK32" s="72">
        <v>0</v>
      </c>
      <c r="AL32" s="72">
        <v>0</v>
      </c>
      <c r="AM32" s="72">
        <v>0</v>
      </c>
      <c r="AN32" s="72">
        <v>0</v>
      </c>
      <c r="AO32" s="72">
        <v>1095.5999999999999</v>
      </c>
      <c r="AP32" s="72">
        <v>0</v>
      </c>
      <c r="AQ32" s="72">
        <v>0</v>
      </c>
      <c r="AR32" s="72">
        <v>0</v>
      </c>
      <c r="AS32" s="73">
        <v>-200.74</v>
      </c>
      <c r="AT32" s="73">
        <v>-141.59</v>
      </c>
      <c r="AU32" s="72">
        <v>59.15</v>
      </c>
      <c r="AV32" s="72">
        <v>0</v>
      </c>
      <c r="AW32" s="72">
        <v>0</v>
      </c>
      <c r="AX32" s="73">
        <v>-0.01</v>
      </c>
      <c r="AY32" s="72">
        <v>0</v>
      </c>
      <c r="AZ32" s="72">
        <v>0</v>
      </c>
      <c r="BA32" s="72">
        <v>-141.6</v>
      </c>
      <c r="BB32" s="72">
        <v>1237.2</v>
      </c>
      <c r="BC32" s="69">
        <f t="shared" si="18"/>
        <v>2735.59</v>
      </c>
      <c r="BD32" s="35">
        <f t="shared" si="19"/>
        <v>273.55900000000003</v>
      </c>
      <c r="BE32" s="35">
        <f t="shared" si="20"/>
        <v>0</v>
      </c>
      <c r="BF32" s="35"/>
      <c r="BG32" s="69">
        <v>2808.87</v>
      </c>
      <c r="BH32" s="69">
        <v>1146.5999999999997</v>
      </c>
      <c r="BI32" s="83">
        <v>2808.87</v>
      </c>
      <c r="BJ32" s="34"/>
      <c r="BK32" s="34"/>
      <c r="BL32" s="34"/>
      <c r="BM32" s="34"/>
      <c r="BN32" s="69">
        <v>0</v>
      </c>
      <c r="BO32" s="34"/>
      <c r="BP32" s="69">
        <v>2808.87</v>
      </c>
      <c r="BQ32" s="102">
        <v>0</v>
      </c>
      <c r="BR32" s="34"/>
      <c r="BS32" s="34"/>
      <c r="BT32" s="34"/>
      <c r="BU32" s="34"/>
      <c r="BV32" s="34"/>
      <c r="BW32" s="34"/>
      <c r="BX32" s="69" t="s">
        <v>456</v>
      </c>
      <c r="BY32" s="129" t="s">
        <v>341</v>
      </c>
      <c r="BZ32" s="129" t="s">
        <v>80</v>
      </c>
      <c r="CA32" s="129" t="s">
        <v>387</v>
      </c>
      <c r="CB32" s="130"/>
      <c r="CC32" s="130"/>
      <c r="CD32" s="129" t="s">
        <v>238</v>
      </c>
      <c r="CE32" s="131" t="s">
        <v>344</v>
      </c>
      <c r="CF32" s="131"/>
      <c r="CG32" s="132">
        <v>1237.2399999999998</v>
      </c>
      <c r="CH32" s="131">
        <v>2762.76</v>
      </c>
      <c r="CI32" s="132">
        <f>+CG32+CH32</f>
        <v>4000</v>
      </c>
      <c r="CJ32" s="132"/>
      <c r="CK32" s="148"/>
      <c r="CL32" s="133"/>
      <c r="CM32" s="134"/>
      <c r="CN32" s="135">
        <f>SUM(CI32:CL32)-CM32</f>
        <v>4000</v>
      </c>
      <c r="CO32" s="136"/>
      <c r="CP32" s="137">
        <v>117.81</v>
      </c>
      <c r="CQ32" s="137"/>
      <c r="CR32" s="137"/>
      <c r="CS32" s="138"/>
      <c r="CT32" s="147">
        <v>1146.5999999999999</v>
      </c>
      <c r="CU32" s="135">
        <f>+CN32-SUM(CO32:CT32)</f>
        <v>2735.59</v>
      </c>
      <c r="CV32" s="139">
        <f>IF(CN32&gt;4500,CN32*0.1,0)</f>
        <v>0</v>
      </c>
      <c r="CW32" s="135">
        <f>+CU32-CV32</f>
        <v>2735.59</v>
      </c>
      <c r="CX32" s="140">
        <f>IF(CN32&lt;4500,CN32*0.1,0)</f>
        <v>400</v>
      </c>
      <c r="CY32" s="139">
        <f>CG32*0.02</f>
        <v>24.744799999999998</v>
      </c>
      <c r="CZ32" s="135">
        <f>+CN32+CX32+CY32</f>
        <v>4424.7448000000004</v>
      </c>
      <c r="DA32" s="141"/>
      <c r="DB32" s="142">
        <f>+DA32-CW32</f>
        <v>-2735.59</v>
      </c>
      <c r="DC32" s="141"/>
      <c r="DD32" s="141"/>
      <c r="DE32" s="142">
        <f>+DC32+DD32-DA32</f>
        <v>0</v>
      </c>
      <c r="DF32" s="143">
        <v>1109785957</v>
      </c>
      <c r="DG32" s="143"/>
      <c r="DH32" s="143"/>
      <c r="DI32" s="143"/>
      <c r="DJ32" s="143"/>
      <c r="DK32" s="202">
        <f>+'C&amp;A'!I33+SINDICATO!E33</f>
        <v>4000</v>
      </c>
      <c r="DL32" s="142">
        <f t="shared" si="25"/>
        <v>0</v>
      </c>
      <c r="DM32" s="195">
        <f t="shared" si="26"/>
        <v>4000</v>
      </c>
      <c r="DN32" s="195">
        <f t="shared" si="27"/>
        <v>4000</v>
      </c>
      <c r="DO32" s="140">
        <f t="shared" si="28"/>
        <v>400</v>
      </c>
      <c r="DP32" s="140">
        <f t="shared" si="29"/>
        <v>0</v>
      </c>
      <c r="DQ32" s="34"/>
      <c r="DR32" s="34"/>
    </row>
    <row r="33" spans="1:122" ht="16.5" x14ac:dyDescent="0.3">
      <c r="A33" s="33" t="s">
        <v>76</v>
      </c>
      <c r="B33" s="34" t="s">
        <v>77</v>
      </c>
      <c r="C33" s="35">
        <v>2000</v>
      </c>
      <c r="D33" s="35">
        <v>188.73102434597322</v>
      </c>
      <c r="E33" s="35">
        <f t="shared" si="6"/>
        <v>0</v>
      </c>
      <c r="F33" s="35">
        <v>0</v>
      </c>
      <c r="G33" s="35">
        <v>0</v>
      </c>
      <c r="H33" s="35">
        <v>0</v>
      </c>
      <c r="I33" s="35">
        <v>0</v>
      </c>
      <c r="J33" s="197">
        <v>0</v>
      </c>
      <c r="K33" s="35">
        <v>0</v>
      </c>
      <c r="L33" s="35">
        <f t="shared" si="7"/>
        <v>0</v>
      </c>
      <c r="M33" s="35">
        <f t="shared" si="8"/>
        <v>0</v>
      </c>
      <c r="N33" s="35">
        <f t="shared" si="9"/>
        <v>0</v>
      </c>
      <c r="O33" s="35"/>
      <c r="P33" s="35">
        <f t="shared" si="10"/>
        <v>0</v>
      </c>
      <c r="Q33" s="35">
        <f t="shared" si="11"/>
        <v>0</v>
      </c>
      <c r="R33" s="35">
        <f t="shared" si="12"/>
        <v>2188.7310243459733</v>
      </c>
      <c r="S33" s="35">
        <f t="shared" si="13"/>
        <v>2188.7310243459733</v>
      </c>
      <c r="T33" s="35">
        <v>200</v>
      </c>
      <c r="U33" s="35">
        <f>+'C&amp;A'!E34*0.02</f>
        <v>21.911999999999999</v>
      </c>
      <c r="V33" s="35">
        <f t="shared" si="14"/>
        <v>2410.6430243459731</v>
      </c>
      <c r="W33" s="35">
        <f t="shared" si="15"/>
        <v>385.70288389535568</v>
      </c>
      <c r="X33" s="35">
        <f t="shared" si="16"/>
        <v>2796.3459082413287</v>
      </c>
      <c r="Y33" s="40"/>
      <c r="Z33" s="7" t="s">
        <v>182</v>
      </c>
      <c r="AA33" s="7" t="s">
        <v>183</v>
      </c>
      <c r="AB33" s="8" t="s">
        <v>242</v>
      </c>
      <c r="AC33" s="12">
        <v>2850</v>
      </c>
      <c r="AD33" s="18">
        <v>145.38</v>
      </c>
      <c r="AE33" s="17">
        <f>+S33-'C&amp;A'!I34-SINDICATO!O34</f>
        <v>0</v>
      </c>
      <c r="AF33" s="34" t="str">
        <f t="shared" si="17"/>
        <v>SI</v>
      </c>
      <c r="AG33" s="70" t="s">
        <v>76</v>
      </c>
      <c r="AH33" s="71" t="s">
        <v>77</v>
      </c>
      <c r="AI33" s="72">
        <v>1095.5999999999999</v>
      </c>
      <c r="AJ33" s="72">
        <v>0</v>
      </c>
      <c r="AK33" s="72">
        <v>0</v>
      </c>
      <c r="AL33" s="72">
        <v>0</v>
      </c>
      <c r="AM33" s="72">
        <v>0</v>
      </c>
      <c r="AN33" s="72">
        <v>0</v>
      </c>
      <c r="AO33" s="72">
        <v>1095.5999999999999</v>
      </c>
      <c r="AP33" s="72">
        <v>0</v>
      </c>
      <c r="AQ33" s="72">
        <v>0</v>
      </c>
      <c r="AR33" s="72">
        <v>0</v>
      </c>
      <c r="AS33" s="73">
        <v>-200.74</v>
      </c>
      <c r="AT33" s="73">
        <v>-141.59</v>
      </c>
      <c r="AU33" s="72">
        <v>59.15</v>
      </c>
      <c r="AV33" s="72">
        <v>0</v>
      </c>
      <c r="AW33" s="72">
        <v>0</v>
      </c>
      <c r="AX33" s="73">
        <v>-0.01</v>
      </c>
      <c r="AY33" s="72">
        <v>0</v>
      </c>
      <c r="AZ33" s="72">
        <v>0</v>
      </c>
      <c r="BA33" s="72">
        <v>-141.6</v>
      </c>
      <c r="BB33" s="72">
        <v>1237.2</v>
      </c>
      <c r="BC33" s="69">
        <f t="shared" si="18"/>
        <v>2188.7310243459733</v>
      </c>
      <c r="BD33" s="35">
        <f t="shared" si="19"/>
        <v>218.87310243459734</v>
      </c>
      <c r="BE33" s="35">
        <f t="shared" si="20"/>
        <v>0</v>
      </c>
      <c r="BF33" s="35"/>
      <c r="BG33" s="69">
        <v>4629.2219999999998</v>
      </c>
      <c r="BH33" s="69">
        <v>514.35800000000017</v>
      </c>
      <c r="BI33" s="83">
        <v>4629.2219999999998</v>
      </c>
      <c r="BJ33" s="34"/>
      <c r="BK33" s="34"/>
      <c r="BL33" s="34"/>
      <c r="BM33" s="34"/>
      <c r="BN33" s="69">
        <v>0</v>
      </c>
      <c r="BO33" s="34"/>
      <c r="BP33" s="69">
        <v>4629.2219999999998</v>
      </c>
      <c r="BQ33" s="102">
        <v>0</v>
      </c>
      <c r="BR33" s="34"/>
      <c r="BS33" s="34"/>
      <c r="BT33" s="34"/>
      <c r="BU33" s="34"/>
      <c r="BV33" s="34"/>
      <c r="BW33" s="34"/>
      <c r="BX33" s="69" t="s">
        <v>458</v>
      </c>
      <c r="BY33" s="129" t="s">
        <v>338</v>
      </c>
      <c r="BZ33" s="129" t="s">
        <v>384</v>
      </c>
      <c r="CA33" s="129" t="s">
        <v>385</v>
      </c>
      <c r="CB33" s="130"/>
      <c r="CC33" s="130"/>
      <c r="CD33" s="129" t="s">
        <v>376</v>
      </c>
      <c r="CE33" s="144"/>
      <c r="CF33" s="144"/>
      <c r="CG33" s="132">
        <v>1237.2399999999998</v>
      </c>
      <c r="CH33" s="144">
        <v>762.76000000000022</v>
      </c>
      <c r="CI33" s="132">
        <f t="shared" si="0"/>
        <v>2000</v>
      </c>
      <c r="CJ33" s="132"/>
      <c r="CK33" s="132"/>
      <c r="CL33" s="132"/>
      <c r="CM33" s="134"/>
      <c r="CN33" s="135">
        <f t="shared" si="1"/>
        <v>2000</v>
      </c>
      <c r="CO33" s="136"/>
      <c r="CP33" s="137"/>
      <c r="CQ33" s="137"/>
      <c r="CR33" s="137"/>
      <c r="CS33" s="138"/>
      <c r="CT33" s="129">
        <v>0</v>
      </c>
      <c r="CU33" s="135">
        <f t="shared" si="21"/>
        <v>2000</v>
      </c>
      <c r="CV33" s="139">
        <f t="shared" si="2"/>
        <v>0</v>
      </c>
      <c r="CW33" s="135">
        <f t="shared" si="22"/>
        <v>2000</v>
      </c>
      <c r="CX33" s="140">
        <f t="shared" si="3"/>
        <v>200</v>
      </c>
      <c r="CY33" s="139">
        <f t="shared" si="4"/>
        <v>24.744799999999998</v>
      </c>
      <c r="CZ33" s="135">
        <f t="shared" si="5"/>
        <v>2224.7447999999999</v>
      </c>
      <c r="DA33" s="141"/>
      <c r="DB33" s="142">
        <f t="shared" si="23"/>
        <v>-2000</v>
      </c>
      <c r="DC33" s="141"/>
      <c r="DD33" s="141"/>
      <c r="DE33" s="142">
        <f t="shared" si="24"/>
        <v>0</v>
      </c>
      <c r="DF33" s="143">
        <v>2887709471</v>
      </c>
      <c r="DG33" s="143"/>
      <c r="DH33" s="143"/>
      <c r="DI33" s="143"/>
      <c r="DJ33" s="143"/>
      <c r="DK33" s="202">
        <f>+'C&amp;A'!I34+SINDICATO!E34</f>
        <v>2188.7310243459733</v>
      </c>
      <c r="DL33" s="142">
        <f t="shared" si="25"/>
        <v>0</v>
      </c>
      <c r="DM33" s="195">
        <f t="shared" si="26"/>
        <v>2188.7310243459733</v>
      </c>
      <c r="DN33" s="195">
        <f t="shared" si="27"/>
        <v>2188.7310243459733</v>
      </c>
      <c r="DO33" s="140">
        <f t="shared" si="28"/>
        <v>218.87310243459734</v>
      </c>
      <c r="DP33" s="140">
        <f t="shared" si="29"/>
        <v>0</v>
      </c>
      <c r="DQ33" s="34"/>
      <c r="DR33" s="34"/>
    </row>
    <row r="34" spans="1:122" ht="16.5" x14ac:dyDescent="0.3">
      <c r="A34" s="33" t="s">
        <v>78</v>
      </c>
      <c r="B34" s="34" t="s">
        <v>79</v>
      </c>
      <c r="C34" s="35">
        <v>3000</v>
      </c>
      <c r="D34" s="35">
        <v>145.37389713135775</v>
      </c>
      <c r="E34" s="35">
        <f t="shared" si="6"/>
        <v>0</v>
      </c>
      <c r="F34" s="35">
        <v>0</v>
      </c>
      <c r="G34" s="35">
        <v>0</v>
      </c>
      <c r="H34" s="35">
        <v>0</v>
      </c>
      <c r="I34" s="35">
        <v>0</v>
      </c>
      <c r="J34" s="197">
        <v>0</v>
      </c>
      <c r="K34" s="35">
        <v>0</v>
      </c>
      <c r="L34" s="35">
        <f t="shared" si="7"/>
        <v>0</v>
      </c>
      <c r="M34" s="35">
        <f t="shared" si="8"/>
        <v>0</v>
      </c>
      <c r="N34" s="35">
        <f t="shared" si="9"/>
        <v>0</v>
      </c>
      <c r="O34" s="35"/>
      <c r="P34" s="35">
        <f t="shared" si="10"/>
        <v>0</v>
      </c>
      <c r="Q34" s="35">
        <f t="shared" si="11"/>
        <v>0</v>
      </c>
      <c r="R34" s="35">
        <f t="shared" si="12"/>
        <v>3145.3738971313578</v>
      </c>
      <c r="S34" s="35">
        <f t="shared" si="13"/>
        <v>3145.3738971313578</v>
      </c>
      <c r="T34" s="35">
        <v>300</v>
      </c>
      <c r="U34" s="35">
        <f>+'C&amp;A'!E35*0.02</f>
        <v>21.911999999999999</v>
      </c>
      <c r="V34" s="35">
        <f t="shared" si="14"/>
        <v>3467.2858971313576</v>
      </c>
      <c r="W34" s="35">
        <f t="shared" si="15"/>
        <v>554.76574354101729</v>
      </c>
      <c r="X34" s="35">
        <f t="shared" si="16"/>
        <v>4022.051640672375</v>
      </c>
      <c r="Y34" s="40"/>
      <c r="Z34" s="7" t="s">
        <v>184</v>
      </c>
      <c r="AA34" s="7" t="s">
        <v>185</v>
      </c>
      <c r="AB34" s="8" t="s">
        <v>238</v>
      </c>
      <c r="AC34" s="12">
        <v>4000</v>
      </c>
      <c r="AD34" s="20"/>
      <c r="AE34" s="17">
        <f>+S34-'C&amp;A'!I35-SINDICATO!O35</f>
        <v>0</v>
      </c>
      <c r="AF34" s="34" t="str">
        <f t="shared" si="17"/>
        <v>SI</v>
      </c>
      <c r="AG34" s="70" t="s">
        <v>78</v>
      </c>
      <c r="AH34" s="71" t="s">
        <v>79</v>
      </c>
      <c r="AI34" s="72">
        <v>1095.5999999999999</v>
      </c>
      <c r="AJ34" s="72">
        <v>0</v>
      </c>
      <c r="AK34" s="72">
        <v>0</v>
      </c>
      <c r="AL34" s="72">
        <v>0</v>
      </c>
      <c r="AM34" s="72">
        <v>0</v>
      </c>
      <c r="AN34" s="72">
        <v>0</v>
      </c>
      <c r="AO34" s="72">
        <v>1095.5999999999999</v>
      </c>
      <c r="AP34" s="72">
        <v>0</v>
      </c>
      <c r="AQ34" s="72">
        <v>0</v>
      </c>
      <c r="AR34" s="72">
        <v>0</v>
      </c>
      <c r="AS34" s="73">
        <v>-200.74</v>
      </c>
      <c r="AT34" s="73">
        <v>-141.59</v>
      </c>
      <c r="AU34" s="72">
        <v>59.15</v>
      </c>
      <c r="AV34" s="72">
        <v>0</v>
      </c>
      <c r="AW34" s="72">
        <v>0</v>
      </c>
      <c r="AX34" s="73">
        <v>-0.01</v>
      </c>
      <c r="AY34" s="72">
        <v>0</v>
      </c>
      <c r="AZ34" s="72">
        <v>0</v>
      </c>
      <c r="BA34" s="72">
        <v>-141.6</v>
      </c>
      <c r="BB34" s="72">
        <v>1237.2</v>
      </c>
      <c r="BC34" s="69">
        <f t="shared" si="18"/>
        <v>3145.3738971313578</v>
      </c>
      <c r="BD34" s="35">
        <f t="shared" si="19"/>
        <v>314.53738971313578</v>
      </c>
      <c r="BE34" s="35">
        <f t="shared" si="20"/>
        <v>0</v>
      </c>
      <c r="BF34" s="35"/>
      <c r="BG34" s="69">
        <v>2995.38</v>
      </c>
      <c r="BH34" s="69">
        <v>0</v>
      </c>
      <c r="BI34" s="83">
        <v>2995.38</v>
      </c>
      <c r="BJ34" s="34"/>
      <c r="BK34" s="34"/>
      <c r="BL34" s="34"/>
      <c r="BM34" s="34"/>
      <c r="BN34" s="69">
        <v>0</v>
      </c>
      <c r="BO34" s="34"/>
      <c r="BP34" s="69">
        <v>2995.38</v>
      </c>
      <c r="BQ34" s="102">
        <v>0</v>
      </c>
      <c r="BR34" s="34"/>
      <c r="BS34" s="34"/>
      <c r="BT34" s="34"/>
      <c r="BU34" s="34"/>
      <c r="BV34" s="34"/>
      <c r="BW34" s="34"/>
      <c r="BX34" s="69" t="s">
        <v>456</v>
      </c>
      <c r="BY34" s="129" t="s">
        <v>341</v>
      </c>
      <c r="BZ34" s="129" t="s">
        <v>78</v>
      </c>
      <c r="CA34" s="129" t="s">
        <v>386</v>
      </c>
      <c r="CB34" s="130"/>
      <c r="CC34" s="130"/>
      <c r="CD34" s="129" t="s">
        <v>242</v>
      </c>
      <c r="CE34" s="131" t="s">
        <v>344</v>
      </c>
      <c r="CF34" s="131"/>
      <c r="CG34" s="132">
        <v>1237.2399999999998</v>
      </c>
      <c r="CH34" s="131">
        <f>1612.76+150</f>
        <v>1762.76</v>
      </c>
      <c r="CI34" s="132">
        <f t="shared" si="0"/>
        <v>3000</v>
      </c>
      <c r="CJ34" s="132"/>
      <c r="CK34" s="133"/>
      <c r="CL34" s="133"/>
      <c r="CM34" s="134"/>
      <c r="CN34" s="135">
        <f t="shared" si="1"/>
        <v>3000</v>
      </c>
      <c r="CO34" s="136"/>
      <c r="CP34" s="137"/>
      <c r="CQ34" s="137"/>
      <c r="CR34" s="137"/>
      <c r="CS34" s="138"/>
      <c r="CT34" s="129">
        <v>0</v>
      </c>
      <c r="CU34" s="135">
        <f t="shared" si="21"/>
        <v>3000</v>
      </c>
      <c r="CV34" s="139">
        <f t="shared" si="2"/>
        <v>0</v>
      </c>
      <c r="CW34" s="135">
        <f t="shared" si="22"/>
        <v>3000</v>
      </c>
      <c r="CX34" s="140">
        <f t="shared" si="3"/>
        <v>300</v>
      </c>
      <c r="CY34" s="139">
        <f t="shared" si="4"/>
        <v>24.744799999999998</v>
      </c>
      <c r="CZ34" s="135">
        <f t="shared" si="5"/>
        <v>3324.7447999999999</v>
      </c>
      <c r="DA34" s="141"/>
      <c r="DB34" s="142">
        <f t="shared" si="23"/>
        <v>-3000</v>
      </c>
      <c r="DC34" s="141"/>
      <c r="DD34" s="141"/>
      <c r="DE34" s="142">
        <f t="shared" si="24"/>
        <v>0</v>
      </c>
      <c r="DF34" s="143">
        <v>2886339700</v>
      </c>
      <c r="DG34" s="143"/>
      <c r="DH34" s="143"/>
      <c r="DI34" s="143"/>
      <c r="DJ34" s="143"/>
      <c r="DK34" s="202">
        <f>+'C&amp;A'!I35+SINDICATO!E35</f>
        <v>3145.3738971313578</v>
      </c>
      <c r="DL34" s="142">
        <f t="shared" si="25"/>
        <v>0</v>
      </c>
      <c r="DM34" s="195">
        <f t="shared" si="26"/>
        <v>3145.3738971313578</v>
      </c>
      <c r="DN34" s="195">
        <f t="shared" si="27"/>
        <v>3145.3738971313578</v>
      </c>
      <c r="DO34" s="140">
        <f t="shared" si="28"/>
        <v>314.53738971313578</v>
      </c>
      <c r="DP34" s="140">
        <f t="shared" si="29"/>
        <v>0</v>
      </c>
      <c r="DQ34" s="34"/>
      <c r="DR34" s="34"/>
    </row>
    <row r="35" spans="1:122" ht="16.5" x14ac:dyDescent="0.3">
      <c r="A35" s="33" t="s">
        <v>82</v>
      </c>
      <c r="B35" s="34" t="s">
        <v>83</v>
      </c>
      <c r="C35" s="35">
        <v>3500</v>
      </c>
      <c r="D35" s="35">
        <v>125.12056780965156</v>
      </c>
      <c r="E35" s="35">
        <f t="shared" si="6"/>
        <v>0</v>
      </c>
      <c r="F35" s="35">
        <v>0</v>
      </c>
      <c r="G35" s="35">
        <v>0</v>
      </c>
      <c r="H35" s="35">
        <v>0</v>
      </c>
      <c r="I35" s="35">
        <v>0</v>
      </c>
      <c r="J35" s="197">
        <v>0</v>
      </c>
      <c r="K35" s="35">
        <v>0</v>
      </c>
      <c r="L35" s="35">
        <f t="shared" si="7"/>
        <v>0</v>
      </c>
      <c r="M35" s="35">
        <f t="shared" si="8"/>
        <v>58.19</v>
      </c>
      <c r="N35" s="35">
        <f t="shared" si="9"/>
        <v>0</v>
      </c>
      <c r="O35" s="35"/>
      <c r="P35" s="35">
        <f t="shared" si="10"/>
        <v>0</v>
      </c>
      <c r="Q35" s="35">
        <f t="shared" si="11"/>
        <v>0</v>
      </c>
      <c r="R35" s="35">
        <f t="shared" si="12"/>
        <v>3566.9305678096516</v>
      </c>
      <c r="S35" s="35">
        <f t="shared" si="13"/>
        <v>3566.9305678096516</v>
      </c>
      <c r="T35" s="35">
        <v>350</v>
      </c>
      <c r="U35" s="35">
        <f>+'C&amp;A'!E36*0.02</f>
        <v>21.911999999999999</v>
      </c>
      <c r="V35" s="35">
        <f t="shared" si="14"/>
        <v>3938.8425678096514</v>
      </c>
      <c r="W35" s="35">
        <f t="shared" si="15"/>
        <v>630.21481084954428</v>
      </c>
      <c r="X35" s="35">
        <f t="shared" si="16"/>
        <v>4569.0573786591958</v>
      </c>
      <c r="Y35" s="40"/>
      <c r="Z35" s="7" t="s">
        <v>186</v>
      </c>
      <c r="AA35" s="7" t="s">
        <v>187</v>
      </c>
      <c r="AB35" s="8" t="s">
        <v>260</v>
      </c>
      <c r="AC35" s="9">
        <v>3500</v>
      </c>
      <c r="AD35" s="17">
        <v>125.1</v>
      </c>
      <c r="AE35" s="17">
        <f>+S35-'C&amp;A'!I36-SINDICATO!O36</f>
        <v>0</v>
      </c>
      <c r="AF35" s="34" t="str">
        <f t="shared" si="17"/>
        <v>SI</v>
      </c>
      <c r="AG35" s="70" t="s">
        <v>82</v>
      </c>
      <c r="AH35" s="71" t="s">
        <v>83</v>
      </c>
      <c r="AI35" s="72">
        <v>1095.5999999999999</v>
      </c>
      <c r="AJ35" s="72">
        <v>0</v>
      </c>
      <c r="AK35" s="72">
        <v>0</v>
      </c>
      <c r="AL35" s="72">
        <v>0</v>
      </c>
      <c r="AM35" s="72">
        <v>0</v>
      </c>
      <c r="AN35" s="72">
        <v>0</v>
      </c>
      <c r="AO35" s="72">
        <v>1095.5999999999999</v>
      </c>
      <c r="AP35" s="72">
        <v>0</v>
      </c>
      <c r="AQ35" s="72">
        <v>0</v>
      </c>
      <c r="AR35" s="72">
        <v>0</v>
      </c>
      <c r="AS35" s="73">
        <v>-200.74</v>
      </c>
      <c r="AT35" s="73">
        <v>-141.59</v>
      </c>
      <c r="AU35" s="72">
        <v>59.15</v>
      </c>
      <c r="AV35" s="72">
        <v>0</v>
      </c>
      <c r="AW35" s="72">
        <v>0</v>
      </c>
      <c r="AX35" s="73">
        <v>-0.01</v>
      </c>
      <c r="AY35" s="72">
        <v>0</v>
      </c>
      <c r="AZ35" s="72">
        <v>0</v>
      </c>
      <c r="BA35" s="72">
        <v>-141.6</v>
      </c>
      <c r="BB35" s="72">
        <v>1237.2</v>
      </c>
      <c r="BC35" s="69">
        <f t="shared" si="18"/>
        <v>3566.9305678096516</v>
      </c>
      <c r="BD35" s="35">
        <f t="shared" si="19"/>
        <v>356.69305678096521</v>
      </c>
      <c r="BE35" s="35">
        <f t="shared" si="20"/>
        <v>0</v>
      </c>
      <c r="BF35" s="35"/>
      <c r="BG35" s="69">
        <v>14041.611000000001</v>
      </c>
      <c r="BH35" s="69">
        <v>1560.1790000000001</v>
      </c>
      <c r="BI35" s="83">
        <v>14041.611000000001</v>
      </c>
      <c r="BJ35" s="34"/>
      <c r="BK35" s="34"/>
      <c r="BL35" s="34"/>
      <c r="BM35" s="34"/>
      <c r="BN35" s="69">
        <v>0</v>
      </c>
      <c r="BO35" s="34"/>
      <c r="BP35" s="69">
        <v>14041.611000000001</v>
      </c>
      <c r="BQ35" s="102">
        <v>0</v>
      </c>
      <c r="BR35" s="34"/>
      <c r="BS35" s="34"/>
      <c r="BT35" s="34"/>
      <c r="BU35" s="34"/>
      <c r="BV35" s="34"/>
      <c r="BW35" s="34"/>
      <c r="BX35" s="69" t="s">
        <v>458</v>
      </c>
      <c r="BY35" s="129" t="s">
        <v>359</v>
      </c>
      <c r="BZ35" s="129" t="s">
        <v>388</v>
      </c>
      <c r="CA35" s="129" t="s">
        <v>389</v>
      </c>
      <c r="CB35" s="130"/>
      <c r="CC35" s="130"/>
      <c r="CD35" s="129" t="s">
        <v>260</v>
      </c>
      <c r="CE35" s="144"/>
      <c r="CF35" s="144"/>
      <c r="CG35" s="132">
        <v>1237.2399999999998</v>
      </c>
      <c r="CH35" s="144">
        <v>2262.7600000000002</v>
      </c>
      <c r="CI35" s="132">
        <f t="shared" si="0"/>
        <v>3500</v>
      </c>
      <c r="CJ35" s="132"/>
      <c r="CK35" s="132"/>
      <c r="CL35" s="132"/>
      <c r="CM35" s="134"/>
      <c r="CN35" s="135">
        <f t="shared" si="1"/>
        <v>3500</v>
      </c>
      <c r="CO35" s="136"/>
      <c r="CP35" s="137"/>
      <c r="CQ35" s="137"/>
      <c r="CR35" s="137"/>
      <c r="CS35" s="129">
        <v>58.19</v>
      </c>
      <c r="CT35" s="129">
        <v>0</v>
      </c>
      <c r="CU35" s="135">
        <f t="shared" si="21"/>
        <v>3441.81</v>
      </c>
      <c r="CV35" s="139">
        <f t="shared" si="2"/>
        <v>0</v>
      </c>
      <c r="CW35" s="135">
        <f t="shared" si="22"/>
        <v>3441.81</v>
      </c>
      <c r="CX35" s="140">
        <f t="shared" si="3"/>
        <v>350</v>
      </c>
      <c r="CY35" s="139">
        <f t="shared" si="4"/>
        <v>24.744799999999998</v>
      </c>
      <c r="CZ35" s="135">
        <f t="shared" si="5"/>
        <v>3874.7447999999999</v>
      </c>
      <c r="DA35" s="141"/>
      <c r="DB35" s="142">
        <f t="shared" si="23"/>
        <v>-3441.81</v>
      </c>
      <c r="DC35" s="141"/>
      <c r="DD35" s="141"/>
      <c r="DE35" s="142">
        <f t="shared" si="24"/>
        <v>0</v>
      </c>
      <c r="DF35" s="143">
        <v>2659973974</v>
      </c>
      <c r="DG35" s="143"/>
      <c r="DH35" s="143"/>
      <c r="DI35" s="143"/>
      <c r="DJ35" s="143"/>
      <c r="DK35" s="202">
        <f>+'C&amp;A'!I36+SINDICATO!E36</f>
        <v>3625.1205678096517</v>
      </c>
      <c r="DL35" s="142">
        <f t="shared" si="25"/>
        <v>0</v>
      </c>
      <c r="DM35" s="195">
        <f t="shared" si="26"/>
        <v>3625.1205678096517</v>
      </c>
      <c r="DN35" s="195">
        <f t="shared" si="27"/>
        <v>3625.1205678096517</v>
      </c>
      <c r="DO35" s="140">
        <f t="shared" si="28"/>
        <v>362.51205678096517</v>
      </c>
      <c r="DP35" s="140">
        <f t="shared" si="29"/>
        <v>0</v>
      </c>
      <c r="DQ35" s="34"/>
      <c r="DR35" s="34"/>
    </row>
    <row r="36" spans="1:122" ht="16.5" x14ac:dyDescent="0.3">
      <c r="A36" s="33" t="s">
        <v>84</v>
      </c>
      <c r="B36" s="34" t="s">
        <v>85</v>
      </c>
      <c r="C36" s="35">
        <v>3250</v>
      </c>
      <c r="D36" s="35">
        <v>125.12056780965156</v>
      </c>
      <c r="E36" s="35">
        <f t="shared" si="6"/>
        <v>0</v>
      </c>
      <c r="F36" s="35">
        <v>0</v>
      </c>
      <c r="G36" s="35">
        <v>0</v>
      </c>
      <c r="H36" s="35">
        <v>0</v>
      </c>
      <c r="I36" s="35">
        <v>0</v>
      </c>
      <c r="J36" s="197">
        <v>0</v>
      </c>
      <c r="K36" s="35">
        <v>0</v>
      </c>
      <c r="L36" s="35">
        <f t="shared" si="7"/>
        <v>0</v>
      </c>
      <c r="M36" s="35">
        <f t="shared" si="8"/>
        <v>0</v>
      </c>
      <c r="N36" s="35">
        <f t="shared" si="9"/>
        <v>0</v>
      </c>
      <c r="O36" s="35"/>
      <c r="P36" s="35">
        <f t="shared" si="10"/>
        <v>1145.07</v>
      </c>
      <c r="Q36" s="35">
        <f t="shared" si="11"/>
        <v>0</v>
      </c>
      <c r="R36" s="35">
        <f t="shared" si="12"/>
        <v>2230.0505678096515</v>
      </c>
      <c r="S36" s="35">
        <f t="shared" si="13"/>
        <v>3375.1205678096517</v>
      </c>
      <c r="T36" s="35">
        <v>325</v>
      </c>
      <c r="U36" s="35">
        <f>+'C&amp;A'!E37*0.02</f>
        <v>21.911999999999999</v>
      </c>
      <c r="V36" s="35">
        <f t="shared" si="14"/>
        <v>3722.0325678096515</v>
      </c>
      <c r="W36" s="35">
        <f t="shared" si="15"/>
        <v>595.52521084954424</v>
      </c>
      <c r="X36" s="35">
        <f t="shared" si="16"/>
        <v>4317.5577786591957</v>
      </c>
      <c r="Y36" s="40"/>
      <c r="Z36" s="7" t="s">
        <v>188</v>
      </c>
      <c r="AA36" s="7" t="s">
        <v>31</v>
      </c>
      <c r="AB36" s="8" t="s">
        <v>261</v>
      </c>
      <c r="AC36" s="12">
        <v>3250</v>
      </c>
      <c r="AD36" s="17">
        <v>125.1</v>
      </c>
      <c r="AE36" s="17">
        <f>+S36-'C&amp;A'!I37-SINDICATO!O37</f>
        <v>1145.07</v>
      </c>
      <c r="AF36" s="34" t="str">
        <f t="shared" si="17"/>
        <v>SI</v>
      </c>
      <c r="AG36" s="70" t="s">
        <v>84</v>
      </c>
      <c r="AH36" s="71" t="s">
        <v>85</v>
      </c>
      <c r="AI36" s="72">
        <v>1095.5999999999999</v>
      </c>
      <c r="AJ36" s="72">
        <v>0</v>
      </c>
      <c r="AK36" s="72">
        <v>0</v>
      </c>
      <c r="AL36" s="72">
        <v>0</v>
      </c>
      <c r="AM36" s="72">
        <v>0</v>
      </c>
      <c r="AN36" s="72">
        <v>0</v>
      </c>
      <c r="AO36" s="72">
        <v>1095.5999999999999</v>
      </c>
      <c r="AP36" s="72">
        <v>0</v>
      </c>
      <c r="AQ36" s="72">
        <v>0</v>
      </c>
      <c r="AR36" s="72">
        <v>0</v>
      </c>
      <c r="AS36" s="73">
        <v>-200.74</v>
      </c>
      <c r="AT36" s="73">
        <v>-141.59</v>
      </c>
      <c r="AU36" s="72">
        <v>59.15</v>
      </c>
      <c r="AV36" s="72">
        <v>0</v>
      </c>
      <c r="AW36" s="72">
        <v>0</v>
      </c>
      <c r="AX36" s="73">
        <v>-0.01</v>
      </c>
      <c r="AY36" s="72">
        <v>0</v>
      </c>
      <c r="AZ36" s="72">
        <v>0</v>
      </c>
      <c r="BA36" s="72">
        <v>-141.6</v>
      </c>
      <c r="BB36" s="72">
        <v>1237.2</v>
      </c>
      <c r="BC36" s="69">
        <f t="shared" si="18"/>
        <v>2230.0505678096515</v>
      </c>
      <c r="BD36" s="35">
        <f t="shared" si="19"/>
        <v>223.00505678096516</v>
      </c>
      <c r="BE36" s="35">
        <f t="shared" si="20"/>
        <v>0</v>
      </c>
      <c r="BF36" s="35"/>
      <c r="BG36" s="69">
        <v>7941.8069999999998</v>
      </c>
      <c r="BH36" s="69">
        <v>1927.9630000000006</v>
      </c>
      <c r="BI36" s="83">
        <v>7941.8069999999989</v>
      </c>
      <c r="BJ36" s="34"/>
      <c r="BK36" s="34"/>
      <c r="BL36" s="34"/>
      <c r="BM36" s="34"/>
      <c r="BN36" s="69">
        <v>0</v>
      </c>
      <c r="BO36" s="34"/>
      <c r="BP36" s="69">
        <v>7941.8069999999998</v>
      </c>
      <c r="BQ36" s="102">
        <v>0</v>
      </c>
      <c r="BR36" s="34"/>
      <c r="BS36" s="34"/>
      <c r="BT36" s="34"/>
      <c r="BU36" s="34"/>
      <c r="BV36" s="34"/>
      <c r="BW36" s="34"/>
      <c r="BX36" s="69" t="s">
        <v>456</v>
      </c>
      <c r="BY36" s="129" t="s">
        <v>359</v>
      </c>
      <c r="BZ36" s="129" t="s">
        <v>84</v>
      </c>
      <c r="CA36" s="129" t="s">
        <v>390</v>
      </c>
      <c r="CB36" s="130"/>
      <c r="CC36" s="130"/>
      <c r="CD36" s="129" t="s">
        <v>261</v>
      </c>
      <c r="CE36" s="144"/>
      <c r="CF36" s="144"/>
      <c r="CG36" s="132">
        <v>1237.2399999999998</v>
      </c>
      <c r="CH36" s="144">
        <v>2012.7600000000002</v>
      </c>
      <c r="CI36" s="132">
        <f t="shared" si="0"/>
        <v>3250</v>
      </c>
      <c r="CJ36" s="132"/>
      <c r="CK36" s="132"/>
      <c r="CL36" s="132"/>
      <c r="CM36" s="134"/>
      <c r="CN36" s="135">
        <f t="shared" si="1"/>
        <v>3250</v>
      </c>
      <c r="CO36" s="136"/>
      <c r="CP36" s="137"/>
      <c r="CQ36" s="137"/>
      <c r="CR36" s="137"/>
      <c r="CS36" s="138"/>
      <c r="CT36" s="147">
        <f>1045.54+99.53</f>
        <v>1145.07</v>
      </c>
      <c r="CU36" s="135">
        <f t="shared" si="21"/>
        <v>2104.9300000000003</v>
      </c>
      <c r="CV36" s="139">
        <f t="shared" si="2"/>
        <v>0</v>
      </c>
      <c r="CW36" s="135">
        <f t="shared" si="22"/>
        <v>2104.9300000000003</v>
      </c>
      <c r="CX36" s="140">
        <f t="shared" si="3"/>
        <v>325</v>
      </c>
      <c r="CY36" s="139">
        <f t="shared" si="4"/>
        <v>24.744799999999998</v>
      </c>
      <c r="CZ36" s="135">
        <f t="shared" si="5"/>
        <v>3599.7447999999999</v>
      </c>
      <c r="DA36" s="141"/>
      <c r="DB36" s="142">
        <f t="shared" si="23"/>
        <v>-2104.9300000000003</v>
      </c>
      <c r="DC36" s="141"/>
      <c r="DD36" s="141"/>
      <c r="DE36" s="142">
        <f t="shared" si="24"/>
        <v>0</v>
      </c>
      <c r="DF36" s="143">
        <v>2786636659</v>
      </c>
      <c r="DG36" s="143"/>
      <c r="DH36" s="143"/>
      <c r="DI36" s="143"/>
      <c r="DJ36" s="143"/>
      <c r="DK36" s="202">
        <f>+'C&amp;A'!I37+SINDICATO!E37</f>
        <v>3375.1205678096517</v>
      </c>
      <c r="DL36" s="142">
        <f t="shared" si="25"/>
        <v>0</v>
      </c>
      <c r="DM36" s="195">
        <f t="shared" si="26"/>
        <v>3375.1205678096517</v>
      </c>
      <c r="DN36" s="195">
        <f t="shared" si="27"/>
        <v>3375.1205678096517</v>
      </c>
      <c r="DO36" s="140">
        <f t="shared" si="28"/>
        <v>337.51205678096517</v>
      </c>
      <c r="DP36" s="140">
        <f t="shared" si="29"/>
        <v>0</v>
      </c>
      <c r="DQ36" s="34"/>
      <c r="DR36" s="34"/>
    </row>
    <row r="37" spans="1:122" x14ac:dyDescent="0.25">
      <c r="A37" s="33" t="s">
        <v>88</v>
      </c>
      <c r="B37" s="34" t="s">
        <v>89</v>
      </c>
      <c r="C37" s="35">
        <v>3000</v>
      </c>
      <c r="D37" s="35">
        <v>145.37389713135775</v>
      </c>
      <c r="E37" s="35">
        <f t="shared" si="6"/>
        <v>0</v>
      </c>
      <c r="F37" s="35">
        <v>0</v>
      </c>
      <c r="G37" s="35">
        <v>0</v>
      </c>
      <c r="H37" s="35">
        <v>0</v>
      </c>
      <c r="I37" s="35">
        <v>0</v>
      </c>
      <c r="J37" s="197">
        <v>0</v>
      </c>
      <c r="K37" s="35">
        <v>0</v>
      </c>
      <c r="L37" s="35">
        <f t="shared" si="7"/>
        <v>0</v>
      </c>
      <c r="M37" s="35">
        <f t="shared" si="8"/>
        <v>0</v>
      </c>
      <c r="N37" s="35">
        <f t="shared" si="9"/>
        <v>0</v>
      </c>
      <c r="O37" s="35"/>
      <c r="P37" s="35">
        <f t="shared" si="10"/>
        <v>0</v>
      </c>
      <c r="Q37" s="35">
        <f t="shared" si="11"/>
        <v>0</v>
      </c>
      <c r="R37" s="35">
        <f t="shared" si="12"/>
        <v>3145.3738971313578</v>
      </c>
      <c r="S37" s="35">
        <f t="shared" si="13"/>
        <v>3145.3738971313578</v>
      </c>
      <c r="T37" s="35">
        <v>300</v>
      </c>
      <c r="U37" s="35">
        <f>+'C&amp;A'!E38*0.02</f>
        <v>21.911999999999999</v>
      </c>
      <c r="V37" s="35">
        <f t="shared" si="14"/>
        <v>3467.2858971313576</v>
      </c>
      <c r="W37" s="35">
        <f t="shared" si="15"/>
        <v>554.76574354101729</v>
      </c>
      <c r="X37" s="35">
        <f t="shared" si="16"/>
        <v>4022.051640672375</v>
      </c>
      <c r="Y37" s="34"/>
      <c r="Z37" s="34"/>
      <c r="AA37" s="34"/>
      <c r="AB37" s="34"/>
      <c r="AC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69" t="s">
        <v>459</v>
      </c>
      <c r="BY37" s="129" t="s">
        <v>370</v>
      </c>
      <c r="BZ37" s="129" t="s">
        <v>88</v>
      </c>
      <c r="CA37" s="129" t="s">
        <v>391</v>
      </c>
      <c r="CB37" s="144"/>
      <c r="CC37" s="144"/>
      <c r="CD37" s="129" t="s">
        <v>258</v>
      </c>
      <c r="CE37" s="131"/>
      <c r="CF37" s="131"/>
      <c r="CG37" s="132">
        <v>1237.2399999999998</v>
      </c>
      <c r="CH37" s="131">
        <v>1762.7600000000002</v>
      </c>
      <c r="CI37" s="132">
        <f t="shared" si="0"/>
        <v>3000</v>
      </c>
      <c r="CJ37" s="132"/>
      <c r="CK37" s="133"/>
      <c r="CL37" s="133"/>
      <c r="CM37" s="134"/>
      <c r="CN37" s="135">
        <f t="shared" si="1"/>
        <v>3000</v>
      </c>
      <c r="CO37" s="136"/>
      <c r="CP37" s="137"/>
      <c r="CQ37" s="137"/>
      <c r="CR37" s="137"/>
      <c r="CS37" s="138"/>
      <c r="CT37" s="129">
        <v>0</v>
      </c>
      <c r="CU37" s="135">
        <f t="shared" si="21"/>
        <v>3000</v>
      </c>
      <c r="CV37" s="139">
        <f t="shared" si="2"/>
        <v>0</v>
      </c>
      <c r="CW37" s="135">
        <f t="shared" si="22"/>
        <v>3000</v>
      </c>
      <c r="CX37" s="140">
        <f t="shared" si="3"/>
        <v>300</v>
      </c>
      <c r="CY37" s="139">
        <f t="shared" si="4"/>
        <v>24.744799999999998</v>
      </c>
      <c r="CZ37" s="135">
        <f t="shared" si="5"/>
        <v>3324.7447999999999</v>
      </c>
      <c r="DA37" s="141"/>
      <c r="DB37" s="142">
        <f t="shared" si="23"/>
        <v>-3000</v>
      </c>
      <c r="DC37" s="141"/>
      <c r="DD37" s="141"/>
      <c r="DE37" s="142">
        <f t="shared" si="24"/>
        <v>0</v>
      </c>
      <c r="DF37" s="143">
        <v>2892941821</v>
      </c>
      <c r="DG37" s="143"/>
      <c r="DH37" s="143"/>
      <c r="DI37" s="146"/>
      <c r="DJ37" s="146"/>
      <c r="DK37" s="202">
        <f>+'C&amp;A'!I38+SINDICATO!E38</f>
        <v>3145.3738971313578</v>
      </c>
      <c r="DL37" s="142">
        <f t="shared" si="25"/>
        <v>0</v>
      </c>
      <c r="DM37" s="195">
        <f t="shared" si="26"/>
        <v>3145.3738971313578</v>
      </c>
      <c r="DN37" s="195">
        <f t="shared" si="27"/>
        <v>3145.3738971313578</v>
      </c>
      <c r="DO37" s="140">
        <f t="shared" si="28"/>
        <v>314.53738971313578</v>
      </c>
      <c r="DP37" s="140">
        <f t="shared" si="29"/>
        <v>0</v>
      </c>
      <c r="DQ37" s="34"/>
      <c r="DR37" s="34"/>
    </row>
    <row r="38" spans="1:122" ht="16.5" x14ac:dyDescent="0.3">
      <c r="A38" s="33" t="s">
        <v>90</v>
      </c>
      <c r="B38" s="34" t="s">
        <v>91</v>
      </c>
      <c r="C38" s="35">
        <v>4000</v>
      </c>
      <c r="D38" s="35">
        <v>0</v>
      </c>
      <c r="E38" s="35">
        <f t="shared" si="6"/>
        <v>0</v>
      </c>
      <c r="F38" s="35">
        <f>+(C38/15)*0.25*6</f>
        <v>400</v>
      </c>
      <c r="G38" s="35">
        <f>554*10</f>
        <v>5540</v>
      </c>
      <c r="H38" s="35">
        <v>0</v>
      </c>
      <c r="I38" s="35">
        <v>0</v>
      </c>
      <c r="J38" s="197">
        <v>0</v>
      </c>
      <c r="K38" s="35">
        <v>0</v>
      </c>
      <c r="L38" s="35">
        <f t="shared" si="7"/>
        <v>0</v>
      </c>
      <c r="M38" s="35">
        <f t="shared" si="8"/>
        <v>0</v>
      </c>
      <c r="N38" s="35">
        <f t="shared" si="9"/>
        <v>117.81</v>
      </c>
      <c r="O38" s="35"/>
      <c r="P38" s="35">
        <f t="shared" si="10"/>
        <v>1376.19</v>
      </c>
      <c r="Q38" s="35">
        <f t="shared" si="11"/>
        <v>994</v>
      </c>
      <c r="R38" s="35">
        <f t="shared" si="12"/>
        <v>7452</v>
      </c>
      <c r="S38" s="35">
        <f t="shared" si="13"/>
        <v>9822.19</v>
      </c>
      <c r="T38" s="35">
        <v>0</v>
      </c>
      <c r="U38" s="35">
        <f>+'C&amp;A'!E39*0.02</f>
        <v>21.911999999999999</v>
      </c>
      <c r="V38" s="35">
        <f t="shared" si="14"/>
        <v>9844.1020000000008</v>
      </c>
      <c r="W38" s="35">
        <f t="shared" si="15"/>
        <v>1575.0563200000001</v>
      </c>
      <c r="X38" s="35">
        <f t="shared" si="16"/>
        <v>11419.15832</v>
      </c>
      <c r="Y38" s="40"/>
      <c r="Z38" s="7" t="s">
        <v>191</v>
      </c>
      <c r="AA38" s="7" t="s">
        <v>192</v>
      </c>
      <c r="AB38" s="8" t="s">
        <v>258</v>
      </c>
      <c r="AC38" s="9">
        <v>3000</v>
      </c>
      <c r="AD38" s="18">
        <v>145.38</v>
      </c>
      <c r="AE38" s="17">
        <f>+S37-'C&amp;A'!I38-SINDICATO!O38</f>
        <v>0</v>
      </c>
      <c r="AF38" s="34" t="str">
        <f t="shared" ref="AF38:AF64" si="30">IF(A37=AG38,"SI","NO")</f>
        <v>SI</v>
      </c>
      <c r="AG38" s="70" t="s">
        <v>88</v>
      </c>
      <c r="AH38" s="71" t="s">
        <v>89</v>
      </c>
      <c r="AI38" s="72">
        <v>1095.5999999999999</v>
      </c>
      <c r="AJ38" s="72">
        <v>0</v>
      </c>
      <c r="AK38" s="72">
        <v>0</v>
      </c>
      <c r="AL38" s="72">
        <v>0</v>
      </c>
      <c r="AM38" s="72">
        <v>0</v>
      </c>
      <c r="AN38" s="72">
        <v>0</v>
      </c>
      <c r="AO38" s="72">
        <v>1095.5999999999999</v>
      </c>
      <c r="AP38" s="72">
        <v>0</v>
      </c>
      <c r="AQ38" s="72">
        <v>0</v>
      </c>
      <c r="AR38" s="72">
        <v>0</v>
      </c>
      <c r="AS38" s="73">
        <v>-200.74</v>
      </c>
      <c r="AT38" s="73">
        <v>-141.59</v>
      </c>
      <c r="AU38" s="72">
        <v>59.15</v>
      </c>
      <c r="AV38" s="72">
        <v>0</v>
      </c>
      <c r="AW38" s="72">
        <v>0</v>
      </c>
      <c r="AX38" s="73">
        <v>-0.01</v>
      </c>
      <c r="AY38" s="72">
        <v>0</v>
      </c>
      <c r="AZ38" s="72">
        <v>0</v>
      </c>
      <c r="BA38" s="72">
        <v>-141.6</v>
      </c>
      <c r="BB38" s="72">
        <v>1237.2</v>
      </c>
      <c r="BC38" s="69">
        <f t="shared" ref="BC38:BC63" si="31">+S37-P37</f>
        <v>3145.3738971313578</v>
      </c>
      <c r="BD38" s="35">
        <f t="shared" si="19"/>
        <v>314.53738971313578</v>
      </c>
      <c r="BE38" s="35">
        <f t="shared" si="20"/>
        <v>0</v>
      </c>
      <c r="BF38" s="35"/>
      <c r="BG38" s="69">
        <v>8128.8449999999993</v>
      </c>
      <c r="BH38" s="69">
        <v>903.20499999999993</v>
      </c>
      <c r="BI38" s="83">
        <v>8128.8449999999993</v>
      </c>
      <c r="BJ38" s="34"/>
      <c r="BK38" s="34"/>
      <c r="BL38" s="34"/>
      <c r="BM38" s="34"/>
      <c r="BN38" s="69">
        <v>0</v>
      </c>
      <c r="BO38" s="34"/>
      <c r="BP38" s="69">
        <v>8128.8449999999993</v>
      </c>
      <c r="BQ38" s="102">
        <v>0</v>
      </c>
      <c r="BR38" s="34"/>
      <c r="BS38" s="34"/>
      <c r="BT38" s="34"/>
      <c r="BU38" s="34"/>
      <c r="BV38" s="34"/>
      <c r="BW38" s="34"/>
      <c r="BX38" s="69" t="s">
        <v>456</v>
      </c>
      <c r="BY38" s="129" t="s">
        <v>349</v>
      </c>
      <c r="BZ38" s="129" t="s">
        <v>90</v>
      </c>
      <c r="CA38" s="129" t="s">
        <v>392</v>
      </c>
      <c r="CB38" s="144"/>
      <c r="CC38" s="144"/>
      <c r="CD38" s="129" t="s">
        <v>269</v>
      </c>
      <c r="CE38" s="144"/>
      <c r="CF38" s="144"/>
      <c r="CG38" s="132">
        <v>1237.2399999999998</v>
      </c>
      <c r="CH38" s="144">
        <v>2762.76</v>
      </c>
      <c r="CI38" s="132">
        <f t="shared" si="0"/>
        <v>4000</v>
      </c>
      <c r="CJ38" s="132"/>
      <c r="CK38" s="132"/>
      <c r="CL38" s="132"/>
      <c r="CM38" s="134"/>
      <c r="CN38" s="135">
        <f t="shared" si="1"/>
        <v>4000</v>
      </c>
      <c r="CO38" s="136"/>
      <c r="CP38" s="137">
        <v>117.81</v>
      </c>
      <c r="CQ38" s="137"/>
      <c r="CR38" s="137"/>
      <c r="CS38" s="138"/>
      <c r="CT38" s="147">
        <f>1200.08+176.11</f>
        <v>1376.19</v>
      </c>
      <c r="CU38" s="135">
        <f t="shared" si="21"/>
        <v>2506</v>
      </c>
      <c r="CV38" s="139">
        <f t="shared" si="2"/>
        <v>0</v>
      </c>
      <c r="CW38" s="135">
        <f t="shared" si="22"/>
        <v>2506</v>
      </c>
      <c r="CX38" s="140">
        <f t="shared" si="3"/>
        <v>400</v>
      </c>
      <c r="CY38" s="139">
        <f t="shared" si="4"/>
        <v>24.744799999999998</v>
      </c>
      <c r="CZ38" s="135">
        <f t="shared" si="5"/>
        <v>4424.7448000000004</v>
      </c>
      <c r="DA38" s="141"/>
      <c r="DB38" s="142">
        <f t="shared" si="23"/>
        <v>-2506</v>
      </c>
      <c r="DC38" s="141"/>
      <c r="DD38" s="141"/>
      <c r="DE38" s="142">
        <f t="shared" si="24"/>
        <v>0</v>
      </c>
      <c r="DF38" s="143">
        <v>2745564778</v>
      </c>
      <c r="DG38" s="145" t="s">
        <v>393</v>
      </c>
      <c r="DH38" s="146"/>
      <c r="DI38" s="143"/>
      <c r="DJ38" s="143"/>
      <c r="DK38" s="202">
        <f>+'C&amp;A'!I39+SINDICATO!E39</f>
        <v>9940</v>
      </c>
      <c r="DL38" s="142">
        <f t="shared" si="25"/>
        <v>0</v>
      </c>
      <c r="DM38" s="195">
        <f t="shared" si="26"/>
        <v>9940</v>
      </c>
      <c r="DN38" s="195">
        <f t="shared" si="27"/>
        <v>9940</v>
      </c>
      <c r="DO38" s="140">
        <f t="shared" si="28"/>
        <v>0</v>
      </c>
      <c r="DP38" s="140">
        <f t="shared" si="29"/>
        <v>994</v>
      </c>
      <c r="DQ38" s="34"/>
      <c r="DR38" s="34"/>
    </row>
    <row r="39" spans="1:122" ht="16.5" x14ac:dyDescent="0.3">
      <c r="A39" s="33" t="s">
        <v>92</v>
      </c>
      <c r="B39" s="34" t="s">
        <v>93</v>
      </c>
      <c r="C39" s="35">
        <v>4150</v>
      </c>
      <c r="D39" s="35">
        <v>0</v>
      </c>
      <c r="E39" s="35">
        <f t="shared" si="6"/>
        <v>6150</v>
      </c>
      <c r="F39" s="35">
        <v>0</v>
      </c>
      <c r="G39" s="35">
        <v>0</v>
      </c>
      <c r="H39" s="35">
        <v>0</v>
      </c>
      <c r="I39" s="35">
        <v>0</v>
      </c>
      <c r="J39" s="197">
        <v>0</v>
      </c>
      <c r="K39" s="35">
        <v>0</v>
      </c>
      <c r="L39" s="35">
        <f t="shared" si="7"/>
        <v>0</v>
      </c>
      <c r="M39" s="35">
        <f t="shared" si="8"/>
        <v>0</v>
      </c>
      <c r="N39" s="35">
        <f t="shared" si="9"/>
        <v>117.81</v>
      </c>
      <c r="O39" s="35"/>
      <c r="P39" s="35">
        <f t="shared" si="10"/>
        <v>1079.76</v>
      </c>
      <c r="Q39" s="35">
        <f t="shared" si="11"/>
        <v>1030</v>
      </c>
      <c r="R39" s="35">
        <f t="shared" si="12"/>
        <v>8072.43</v>
      </c>
      <c r="S39" s="35">
        <f t="shared" si="13"/>
        <v>10182.19</v>
      </c>
      <c r="T39" s="35">
        <v>0</v>
      </c>
      <c r="U39" s="35">
        <f>+'C&amp;A'!E40*0.02</f>
        <v>21.911999999999999</v>
      </c>
      <c r="V39" s="35">
        <f t="shared" si="14"/>
        <v>10204.102000000001</v>
      </c>
      <c r="W39" s="35">
        <f t="shared" si="15"/>
        <v>1632.6563200000001</v>
      </c>
      <c r="X39" s="35">
        <f t="shared" si="16"/>
        <v>11836.758320000001</v>
      </c>
      <c r="Y39" s="40"/>
      <c r="Z39" s="7" t="s">
        <v>193</v>
      </c>
      <c r="AA39" s="7" t="s">
        <v>194</v>
      </c>
      <c r="AB39" s="8" t="s">
        <v>269</v>
      </c>
      <c r="AC39" s="9">
        <v>4000</v>
      </c>
      <c r="AD39" s="20"/>
      <c r="AE39" s="17">
        <f>+S38-'C&amp;A'!I39-SINDICATO!O39</f>
        <v>2370.1900000000023</v>
      </c>
      <c r="AF39" s="34" t="str">
        <f t="shared" si="30"/>
        <v>SI</v>
      </c>
      <c r="AG39" s="70" t="s">
        <v>90</v>
      </c>
      <c r="AH39" s="71" t="s">
        <v>91</v>
      </c>
      <c r="AI39" s="72">
        <v>1095.5999999999999</v>
      </c>
      <c r="AJ39" s="72">
        <v>0</v>
      </c>
      <c r="AK39" s="72">
        <v>0</v>
      </c>
      <c r="AL39" s="72">
        <v>0</v>
      </c>
      <c r="AM39" s="72">
        <v>0</v>
      </c>
      <c r="AN39" s="72">
        <v>0</v>
      </c>
      <c r="AO39" s="72">
        <v>1095.5999999999999</v>
      </c>
      <c r="AP39" s="72">
        <v>0</v>
      </c>
      <c r="AQ39" s="72">
        <v>0</v>
      </c>
      <c r="AR39" s="72">
        <v>0</v>
      </c>
      <c r="AS39" s="73">
        <v>-200.74</v>
      </c>
      <c r="AT39" s="73">
        <v>-141.59</v>
      </c>
      <c r="AU39" s="72">
        <v>59.15</v>
      </c>
      <c r="AV39" s="72">
        <v>0</v>
      </c>
      <c r="AW39" s="72">
        <v>0</v>
      </c>
      <c r="AX39" s="73">
        <v>-0.01</v>
      </c>
      <c r="AY39" s="72">
        <v>0</v>
      </c>
      <c r="AZ39" s="72">
        <v>0</v>
      </c>
      <c r="BA39" s="72">
        <v>-141.6</v>
      </c>
      <c r="BB39" s="72">
        <v>1237.2</v>
      </c>
      <c r="BC39" s="69">
        <f t="shared" si="31"/>
        <v>8446</v>
      </c>
      <c r="BD39" s="35">
        <f t="shared" si="19"/>
        <v>0</v>
      </c>
      <c r="BE39" s="35">
        <f t="shared" si="20"/>
        <v>844.6</v>
      </c>
      <c r="BF39" s="35"/>
      <c r="BG39" s="69">
        <v>10708.911</v>
      </c>
      <c r="BH39" s="69">
        <v>2389.9590000000007</v>
      </c>
      <c r="BI39" s="83">
        <v>10708.911</v>
      </c>
      <c r="BJ39" s="34"/>
      <c r="BK39" s="34"/>
      <c r="BL39" s="34"/>
      <c r="BM39" s="34"/>
      <c r="BN39" s="69">
        <v>0</v>
      </c>
      <c r="BO39" s="34"/>
      <c r="BP39" s="69">
        <v>10708.911</v>
      </c>
      <c r="BQ39" s="102">
        <v>0</v>
      </c>
      <c r="BR39" s="34"/>
      <c r="BS39" s="34"/>
      <c r="BT39" s="34"/>
      <c r="BU39" s="34"/>
      <c r="BV39" s="34"/>
      <c r="BW39" s="34"/>
      <c r="BX39" s="69" t="s">
        <v>457</v>
      </c>
      <c r="BY39" s="129" t="s">
        <v>359</v>
      </c>
      <c r="BZ39" s="129" t="s">
        <v>92</v>
      </c>
      <c r="CA39" s="129" t="s">
        <v>394</v>
      </c>
      <c r="CB39" s="130"/>
      <c r="CC39" s="130"/>
      <c r="CD39" s="129" t="s">
        <v>263</v>
      </c>
      <c r="CE39" s="131"/>
      <c r="CF39" s="131"/>
      <c r="CG39" s="132">
        <v>1237.2399999999998</v>
      </c>
      <c r="CH39" s="131">
        <v>2912.76</v>
      </c>
      <c r="CI39" s="132">
        <f t="shared" si="0"/>
        <v>4150</v>
      </c>
      <c r="CJ39" s="132">
        <v>6150</v>
      </c>
      <c r="CK39" s="133"/>
      <c r="CL39" s="133"/>
      <c r="CM39" s="134"/>
      <c r="CN39" s="135">
        <f t="shared" si="1"/>
        <v>10300</v>
      </c>
      <c r="CO39" s="136"/>
      <c r="CP39" s="137">
        <v>117.81</v>
      </c>
      <c r="CQ39" s="137"/>
      <c r="CR39" s="137"/>
      <c r="CS39" s="138"/>
      <c r="CT39" s="129">
        <f>887.44+192.32</f>
        <v>1079.76</v>
      </c>
      <c r="CU39" s="135">
        <f t="shared" si="21"/>
        <v>9102.43</v>
      </c>
      <c r="CV39" s="139">
        <f t="shared" si="2"/>
        <v>1030</v>
      </c>
      <c r="CW39" s="135">
        <f t="shared" si="22"/>
        <v>8072.43</v>
      </c>
      <c r="CX39" s="140">
        <f t="shared" si="3"/>
        <v>0</v>
      </c>
      <c r="CY39" s="139">
        <f t="shared" si="4"/>
        <v>24.744799999999998</v>
      </c>
      <c r="CZ39" s="135">
        <f t="shared" si="5"/>
        <v>10324.7448</v>
      </c>
      <c r="DA39" s="141"/>
      <c r="DB39" s="142">
        <f t="shared" si="23"/>
        <v>-8072.43</v>
      </c>
      <c r="DC39" s="141"/>
      <c r="DD39" s="141"/>
      <c r="DE39" s="142">
        <f t="shared" si="24"/>
        <v>0</v>
      </c>
      <c r="DF39" s="143">
        <v>2760229598</v>
      </c>
      <c r="DG39" s="143"/>
      <c r="DH39" s="143"/>
      <c r="DI39" s="143"/>
      <c r="DJ39" s="143"/>
      <c r="DK39" s="202">
        <f>+'C&amp;A'!I40+SINDICATO!E40</f>
        <v>10300</v>
      </c>
      <c r="DL39" s="142">
        <f t="shared" si="25"/>
        <v>0</v>
      </c>
      <c r="DM39" s="195">
        <f t="shared" si="26"/>
        <v>10300</v>
      </c>
      <c r="DN39" s="195">
        <f t="shared" si="27"/>
        <v>10300</v>
      </c>
      <c r="DO39" s="140">
        <f t="shared" si="28"/>
        <v>0</v>
      </c>
      <c r="DP39" s="140">
        <f t="shared" si="29"/>
        <v>1030</v>
      </c>
      <c r="DQ39" s="34"/>
      <c r="DR39" s="34"/>
    </row>
    <row r="40" spans="1:122" ht="16.5" x14ac:dyDescent="0.3">
      <c r="A40" s="33" t="s">
        <v>94</v>
      </c>
      <c r="B40" s="34" t="s">
        <v>95</v>
      </c>
      <c r="C40" s="35">
        <v>1474.9999999999998</v>
      </c>
      <c r="D40" s="35">
        <v>200.73299727735468</v>
      </c>
      <c r="E40" s="35">
        <f t="shared" si="6"/>
        <v>0</v>
      </c>
      <c r="F40" s="35">
        <v>0</v>
      </c>
      <c r="G40" s="35">
        <v>0</v>
      </c>
      <c r="H40" s="35">
        <v>0</v>
      </c>
      <c r="I40" s="35">
        <v>0</v>
      </c>
      <c r="J40" s="197">
        <v>0</v>
      </c>
      <c r="K40" s="35">
        <v>0</v>
      </c>
      <c r="L40" s="35">
        <f t="shared" si="7"/>
        <v>0</v>
      </c>
      <c r="M40" s="35">
        <f t="shared" si="8"/>
        <v>0</v>
      </c>
      <c r="N40" s="35">
        <f t="shared" si="9"/>
        <v>0</v>
      </c>
      <c r="O40" s="35"/>
      <c r="P40" s="35">
        <f t="shared" si="10"/>
        <v>0</v>
      </c>
      <c r="Q40" s="35">
        <f t="shared" si="11"/>
        <v>0</v>
      </c>
      <c r="R40" s="35">
        <f t="shared" si="12"/>
        <v>1675.7329972773546</v>
      </c>
      <c r="S40" s="35">
        <f t="shared" si="13"/>
        <v>1675.7329972773546</v>
      </c>
      <c r="T40" s="35">
        <v>147.49999999999997</v>
      </c>
      <c r="U40" s="35">
        <f>+'C&amp;A'!E41*0.02</f>
        <v>21.911999999999999</v>
      </c>
      <c r="V40" s="35">
        <f t="shared" si="14"/>
        <v>1845.1449972773546</v>
      </c>
      <c r="W40" s="35">
        <f t="shared" si="15"/>
        <v>295.22319956437673</v>
      </c>
      <c r="X40" s="35">
        <f t="shared" si="16"/>
        <v>2140.3681968417313</v>
      </c>
      <c r="Y40" s="85"/>
      <c r="Z40" s="86" t="s">
        <v>195</v>
      </c>
      <c r="AA40" s="86" t="s">
        <v>196</v>
      </c>
      <c r="AB40" s="87" t="s">
        <v>263</v>
      </c>
      <c r="AC40" s="88">
        <v>4150</v>
      </c>
      <c r="AD40" s="89"/>
      <c r="AE40" s="90">
        <f>+S39-'C&amp;A'!I40-SINDICATO!O40</f>
        <v>2109.760000000002</v>
      </c>
      <c r="AF40" s="84" t="str">
        <f t="shared" si="30"/>
        <v>SI</v>
      </c>
      <c r="AG40" s="78" t="s">
        <v>92</v>
      </c>
      <c r="AH40" s="80" t="s">
        <v>93</v>
      </c>
      <c r="AI40" s="81">
        <v>1095.5999999999999</v>
      </c>
      <c r="AJ40" s="81">
        <v>0</v>
      </c>
      <c r="AK40" s="81">
        <v>0</v>
      </c>
      <c r="AL40" s="81">
        <v>0</v>
      </c>
      <c r="AM40" s="81">
        <v>0</v>
      </c>
      <c r="AN40" s="81">
        <v>0</v>
      </c>
      <c r="AO40" s="81">
        <v>1095.5999999999999</v>
      </c>
      <c r="AP40" s="81">
        <v>0</v>
      </c>
      <c r="AQ40" s="81">
        <v>0</v>
      </c>
      <c r="AR40" s="81">
        <v>0</v>
      </c>
      <c r="AS40" s="91">
        <v>-200.74</v>
      </c>
      <c r="AT40" s="91">
        <v>-141.59</v>
      </c>
      <c r="AU40" s="81">
        <v>59.15</v>
      </c>
      <c r="AV40" s="81">
        <v>0</v>
      </c>
      <c r="AW40" s="81">
        <v>0</v>
      </c>
      <c r="AX40" s="91">
        <v>-0.01</v>
      </c>
      <c r="AY40" s="81">
        <v>0</v>
      </c>
      <c r="AZ40" s="81">
        <v>0</v>
      </c>
      <c r="BA40" s="81">
        <v>-141.6</v>
      </c>
      <c r="BB40" s="81">
        <v>1237.2</v>
      </c>
      <c r="BC40" s="92">
        <f t="shared" si="31"/>
        <v>9102.43</v>
      </c>
      <c r="BD40" s="82">
        <f t="shared" si="19"/>
        <v>0</v>
      </c>
      <c r="BE40" s="82">
        <f t="shared" si="20"/>
        <v>910.24300000000005</v>
      </c>
      <c r="BF40" s="82"/>
      <c r="BG40" s="69">
        <v>9262.43</v>
      </c>
      <c r="BH40" s="92">
        <v>887.44000000000051</v>
      </c>
      <c r="BI40" s="93">
        <v>3217.4300000000003</v>
      </c>
      <c r="BJ40" s="84"/>
      <c r="BK40" s="84"/>
      <c r="BL40" s="84"/>
      <c r="BM40" s="84"/>
      <c r="BN40" s="69">
        <v>0</v>
      </c>
      <c r="BO40" s="84"/>
      <c r="BP40" s="69">
        <v>9262.43</v>
      </c>
      <c r="BQ40" s="102">
        <v>0</v>
      </c>
      <c r="BR40" s="84"/>
      <c r="BS40" s="84"/>
      <c r="BT40" s="84"/>
      <c r="BU40" s="84"/>
      <c r="BV40" s="84"/>
      <c r="BW40" s="84"/>
      <c r="BX40" s="69" t="s">
        <v>455</v>
      </c>
      <c r="BY40" s="129" t="s">
        <v>338</v>
      </c>
      <c r="BZ40" s="129" t="s">
        <v>94</v>
      </c>
      <c r="CA40" s="129" t="s">
        <v>395</v>
      </c>
      <c r="CB40" s="130"/>
      <c r="CC40" s="130"/>
      <c r="CD40" s="129" t="s">
        <v>396</v>
      </c>
      <c r="CE40" s="144"/>
      <c r="CF40" s="144"/>
      <c r="CG40" s="132">
        <v>1237.2399999999998</v>
      </c>
      <c r="CH40" s="144">
        <f>187.76+50</f>
        <v>237.76</v>
      </c>
      <c r="CI40" s="132">
        <f t="shared" si="0"/>
        <v>1474.9999999999998</v>
      </c>
      <c r="CJ40" s="132"/>
      <c r="CK40" s="132"/>
      <c r="CL40" s="132"/>
      <c r="CM40" s="134"/>
      <c r="CN40" s="135">
        <f t="shared" si="1"/>
        <v>1474.9999999999998</v>
      </c>
      <c r="CO40" s="136"/>
      <c r="CP40" s="137"/>
      <c r="CQ40" s="137"/>
      <c r="CR40" s="137"/>
      <c r="CS40" s="138"/>
      <c r="CT40" s="129">
        <v>0</v>
      </c>
      <c r="CU40" s="135">
        <f t="shared" si="21"/>
        <v>1474.9999999999998</v>
      </c>
      <c r="CV40" s="139">
        <f t="shared" si="2"/>
        <v>0</v>
      </c>
      <c r="CW40" s="135">
        <f t="shared" si="22"/>
        <v>1474.9999999999998</v>
      </c>
      <c r="CX40" s="140">
        <f t="shared" si="3"/>
        <v>147.49999999999997</v>
      </c>
      <c r="CY40" s="139">
        <f t="shared" si="4"/>
        <v>24.744799999999998</v>
      </c>
      <c r="CZ40" s="135">
        <f t="shared" si="5"/>
        <v>1647.2447999999997</v>
      </c>
      <c r="DA40" s="141"/>
      <c r="DB40" s="142">
        <f t="shared" si="23"/>
        <v>-1474.9999999999998</v>
      </c>
      <c r="DC40" s="141"/>
      <c r="DD40" s="141"/>
      <c r="DE40" s="142">
        <f t="shared" si="24"/>
        <v>0</v>
      </c>
      <c r="DF40" s="143">
        <v>1404990536</v>
      </c>
      <c r="DG40" s="143"/>
      <c r="DH40" s="143"/>
      <c r="DI40" s="143"/>
      <c r="DJ40" s="143"/>
      <c r="DK40" s="202">
        <f>+'C&amp;A'!I41+SINDICATO!E41</f>
        <v>1675.7329972773546</v>
      </c>
      <c r="DL40" s="142">
        <f t="shared" si="25"/>
        <v>0</v>
      </c>
      <c r="DM40" s="195">
        <f t="shared" si="26"/>
        <v>1675.7329972773546</v>
      </c>
      <c r="DN40" s="195">
        <f t="shared" si="27"/>
        <v>1675.7329972773546</v>
      </c>
      <c r="DO40" s="140">
        <f t="shared" si="28"/>
        <v>167.57329972773547</v>
      </c>
      <c r="DP40" s="140">
        <f t="shared" si="29"/>
        <v>0</v>
      </c>
      <c r="DQ40" s="84"/>
      <c r="DR40" s="84"/>
    </row>
    <row r="41" spans="1:122" ht="16.5" x14ac:dyDescent="0.3">
      <c r="A41" s="33" t="s">
        <v>96</v>
      </c>
      <c r="B41" s="34" t="s">
        <v>97</v>
      </c>
      <c r="C41" s="35">
        <v>2350</v>
      </c>
      <c r="D41" s="35">
        <v>160.37636329558455</v>
      </c>
      <c r="E41" s="35">
        <f t="shared" si="6"/>
        <v>0</v>
      </c>
      <c r="F41" s="35">
        <v>0</v>
      </c>
      <c r="G41" s="35">
        <v>0</v>
      </c>
      <c r="H41" s="35">
        <v>0</v>
      </c>
      <c r="I41" s="35">
        <v>0</v>
      </c>
      <c r="J41" s="197">
        <v>0</v>
      </c>
      <c r="K41" s="35">
        <v>0</v>
      </c>
      <c r="L41" s="35">
        <f t="shared" si="7"/>
        <v>0</v>
      </c>
      <c r="M41" s="35">
        <f t="shared" si="8"/>
        <v>0</v>
      </c>
      <c r="N41" s="35">
        <f t="shared" si="9"/>
        <v>0</v>
      </c>
      <c r="O41" s="35"/>
      <c r="P41" s="35">
        <f t="shared" si="10"/>
        <v>0</v>
      </c>
      <c r="Q41" s="35">
        <f t="shared" si="11"/>
        <v>0</v>
      </c>
      <c r="R41" s="35">
        <f t="shared" si="12"/>
        <v>2510.3763632955847</v>
      </c>
      <c r="S41" s="35">
        <f t="shared" si="13"/>
        <v>2510.3763632955847</v>
      </c>
      <c r="T41" s="35">
        <v>235</v>
      </c>
      <c r="U41" s="35">
        <f>+'C&amp;A'!E42*0.02</f>
        <v>21.911999999999999</v>
      </c>
      <c r="V41" s="35">
        <f t="shared" si="14"/>
        <v>2767.2883632955845</v>
      </c>
      <c r="W41" s="35">
        <f t="shared" si="15"/>
        <v>442.76613812729352</v>
      </c>
      <c r="X41" s="35">
        <f t="shared" si="16"/>
        <v>3210.0545014228783</v>
      </c>
      <c r="Y41" s="40"/>
      <c r="Z41" s="13" t="s">
        <v>197</v>
      </c>
      <c r="AA41" s="13" t="s">
        <v>198</v>
      </c>
      <c r="AB41" s="14" t="s">
        <v>256</v>
      </c>
      <c r="AC41" s="15">
        <v>1425</v>
      </c>
      <c r="AD41" s="20">
        <v>200.63</v>
      </c>
      <c r="AE41" s="17">
        <f>+S40-'C&amp;A'!I41-SINDICATO!O41</f>
        <v>0</v>
      </c>
      <c r="AF41" s="34" t="str">
        <f t="shared" si="30"/>
        <v>SI</v>
      </c>
      <c r="AG41" s="70" t="s">
        <v>94</v>
      </c>
      <c r="AH41" s="71" t="s">
        <v>95</v>
      </c>
      <c r="AI41" s="72">
        <v>1095.5999999999999</v>
      </c>
      <c r="AJ41" s="72">
        <v>0</v>
      </c>
      <c r="AK41" s="72">
        <v>0</v>
      </c>
      <c r="AL41" s="72">
        <v>0</v>
      </c>
      <c r="AM41" s="72">
        <v>0</v>
      </c>
      <c r="AN41" s="72">
        <v>0</v>
      </c>
      <c r="AO41" s="72">
        <v>1095.5999999999999</v>
      </c>
      <c r="AP41" s="72">
        <v>0</v>
      </c>
      <c r="AQ41" s="72">
        <v>0</v>
      </c>
      <c r="AR41" s="72">
        <v>0</v>
      </c>
      <c r="AS41" s="73">
        <v>-200.74</v>
      </c>
      <c r="AT41" s="73">
        <v>-141.59</v>
      </c>
      <c r="AU41" s="72">
        <v>59.15</v>
      </c>
      <c r="AV41" s="72">
        <v>0</v>
      </c>
      <c r="AW41" s="72">
        <v>0</v>
      </c>
      <c r="AX41" s="73">
        <v>-0.01</v>
      </c>
      <c r="AY41" s="72">
        <v>0</v>
      </c>
      <c r="AZ41" s="72">
        <v>0</v>
      </c>
      <c r="BA41" s="72">
        <v>-141.6</v>
      </c>
      <c r="BB41" s="72">
        <v>1237.2</v>
      </c>
      <c r="BC41" s="69">
        <f t="shared" si="31"/>
        <v>1675.7329972773546</v>
      </c>
      <c r="BD41" s="35">
        <f t="shared" si="19"/>
        <v>167.57329972773547</v>
      </c>
      <c r="BE41" s="35">
        <f t="shared" si="20"/>
        <v>0</v>
      </c>
      <c r="BF41" s="35"/>
      <c r="BG41" s="69">
        <v>4580.5</v>
      </c>
      <c r="BH41" s="69">
        <v>0</v>
      </c>
      <c r="BI41" s="83">
        <v>4580.5</v>
      </c>
      <c r="BJ41" s="34"/>
      <c r="BK41" s="34"/>
      <c r="BL41" s="34"/>
      <c r="BM41" s="34"/>
      <c r="BN41" s="69">
        <v>0</v>
      </c>
      <c r="BO41" s="34"/>
      <c r="BP41" s="69">
        <v>4580.5</v>
      </c>
      <c r="BQ41" s="102">
        <v>0</v>
      </c>
      <c r="BR41" s="34"/>
      <c r="BS41" s="34"/>
      <c r="BT41" s="34"/>
      <c r="BU41" s="34"/>
      <c r="BV41" s="34"/>
      <c r="BW41" s="34"/>
      <c r="BX41" s="69" t="s">
        <v>456</v>
      </c>
      <c r="BY41" s="129" t="s">
        <v>359</v>
      </c>
      <c r="BZ41" s="129" t="s">
        <v>96</v>
      </c>
      <c r="CA41" s="129" t="s">
        <v>397</v>
      </c>
      <c r="CB41" s="130"/>
      <c r="CC41" s="130"/>
      <c r="CD41" s="129" t="s">
        <v>262</v>
      </c>
      <c r="CE41" s="131"/>
      <c r="CF41" s="131"/>
      <c r="CG41" s="132">
        <v>1237.2399999999998</v>
      </c>
      <c r="CH41" s="131">
        <v>1112.7600000000002</v>
      </c>
      <c r="CI41" s="132">
        <f t="shared" si="0"/>
        <v>2350</v>
      </c>
      <c r="CJ41" s="132"/>
      <c r="CK41" s="133"/>
      <c r="CL41" s="133"/>
      <c r="CM41" s="134"/>
      <c r="CN41" s="135">
        <f t="shared" si="1"/>
        <v>2350</v>
      </c>
      <c r="CO41" s="136"/>
      <c r="CP41" s="137"/>
      <c r="CQ41" s="137"/>
      <c r="CR41" s="137"/>
      <c r="CS41" s="138"/>
      <c r="CT41" s="129">
        <v>0</v>
      </c>
      <c r="CU41" s="135">
        <f t="shared" si="21"/>
        <v>2350</v>
      </c>
      <c r="CV41" s="139">
        <f t="shared" si="2"/>
        <v>0</v>
      </c>
      <c r="CW41" s="135">
        <f t="shared" si="22"/>
        <v>2350</v>
      </c>
      <c r="CX41" s="140">
        <f t="shared" si="3"/>
        <v>235</v>
      </c>
      <c r="CY41" s="139">
        <f t="shared" si="4"/>
        <v>24.744799999999998</v>
      </c>
      <c r="CZ41" s="135">
        <f t="shared" si="5"/>
        <v>2609.7447999999999</v>
      </c>
      <c r="DA41" s="141"/>
      <c r="DB41" s="142">
        <f t="shared" si="23"/>
        <v>-2350</v>
      </c>
      <c r="DC41" s="141"/>
      <c r="DD41" s="141"/>
      <c r="DE41" s="142">
        <f t="shared" si="24"/>
        <v>0</v>
      </c>
      <c r="DF41" s="143">
        <v>2884661508</v>
      </c>
      <c r="DG41" s="143"/>
      <c r="DH41" s="143"/>
      <c r="DI41" s="143"/>
      <c r="DJ41" s="143"/>
      <c r="DK41" s="202">
        <f>+'C&amp;A'!I42+SINDICATO!E42</f>
        <v>2510.3763632955847</v>
      </c>
      <c r="DL41" s="142">
        <f t="shared" si="25"/>
        <v>0</v>
      </c>
      <c r="DM41" s="195">
        <f t="shared" si="26"/>
        <v>2510.3763632955847</v>
      </c>
      <c r="DN41" s="195">
        <f t="shared" si="27"/>
        <v>2510.3763632955847</v>
      </c>
      <c r="DO41" s="140">
        <f t="shared" si="28"/>
        <v>251.0376363295585</v>
      </c>
      <c r="DP41" s="140">
        <f t="shared" si="29"/>
        <v>0</v>
      </c>
      <c r="DQ41" s="34"/>
      <c r="DR41" s="34"/>
    </row>
    <row r="42" spans="1:122" ht="16.5" x14ac:dyDescent="0.3">
      <c r="A42" s="33" t="s">
        <v>98</v>
      </c>
      <c r="B42" s="34" t="s">
        <v>99</v>
      </c>
      <c r="C42" s="35">
        <v>2500</v>
      </c>
      <c r="D42" s="35">
        <v>160.37636329558455</v>
      </c>
      <c r="E42" s="35">
        <f t="shared" si="6"/>
        <v>0</v>
      </c>
      <c r="F42" s="35">
        <v>0</v>
      </c>
      <c r="G42" s="35">
        <v>0</v>
      </c>
      <c r="H42" s="35">
        <v>0</v>
      </c>
      <c r="I42" s="35">
        <v>0</v>
      </c>
      <c r="J42" s="197">
        <f>+C42/15*6</f>
        <v>1000</v>
      </c>
      <c r="K42" s="35">
        <v>0</v>
      </c>
      <c r="L42" s="35">
        <f t="shared" si="7"/>
        <v>0</v>
      </c>
      <c r="M42" s="35">
        <f t="shared" si="8"/>
        <v>0</v>
      </c>
      <c r="N42" s="35">
        <f t="shared" si="9"/>
        <v>0</v>
      </c>
      <c r="O42" s="35"/>
      <c r="P42" s="35">
        <f t="shared" si="10"/>
        <v>0</v>
      </c>
      <c r="Q42" s="35">
        <f t="shared" si="11"/>
        <v>0</v>
      </c>
      <c r="R42" s="35">
        <f t="shared" si="12"/>
        <v>1660.3763632955847</v>
      </c>
      <c r="S42" s="35">
        <f t="shared" si="13"/>
        <v>1660.3763632955847</v>
      </c>
      <c r="T42" s="35">
        <v>250</v>
      </c>
      <c r="U42" s="35">
        <f>+'C&amp;A'!E43*0.02</f>
        <v>21.911999999999999</v>
      </c>
      <c r="V42" s="35">
        <f t="shared" si="14"/>
        <v>1932.2883632955848</v>
      </c>
      <c r="W42" s="35">
        <f t="shared" si="15"/>
        <v>309.16613812729355</v>
      </c>
      <c r="X42" s="35">
        <f t="shared" si="16"/>
        <v>2241.4545014228784</v>
      </c>
      <c r="Y42" s="40"/>
      <c r="Z42" s="13" t="s">
        <v>199</v>
      </c>
      <c r="AA42" s="13" t="s">
        <v>200</v>
      </c>
      <c r="AB42" s="14" t="s">
        <v>262</v>
      </c>
      <c r="AC42" s="11">
        <v>2350</v>
      </c>
      <c r="AD42" s="17">
        <v>145.38</v>
      </c>
      <c r="AE42" s="17">
        <f>+S41-'C&amp;A'!I42-SINDICATO!O42</f>
        <v>0</v>
      </c>
      <c r="AF42" s="34" t="str">
        <f t="shared" si="30"/>
        <v>SI</v>
      </c>
      <c r="AG42" s="70" t="s">
        <v>96</v>
      </c>
      <c r="AH42" s="71" t="s">
        <v>97</v>
      </c>
      <c r="AI42" s="72">
        <v>1095.5999999999999</v>
      </c>
      <c r="AJ42" s="72">
        <v>0</v>
      </c>
      <c r="AK42" s="72">
        <v>0</v>
      </c>
      <c r="AL42" s="72">
        <v>0</v>
      </c>
      <c r="AM42" s="72">
        <v>0</v>
      </c>
      <c r="AN42" s="72">
        <v>0</v>
      </c>
      <c r="AO42" s="72">
        <v>1095.5999999999999</v>
      </c>
      <c r="AP42" s="72">
        <v>0</v>
      </c>
      <c r="AQ42" s="72">
        <v>0</v>
      </c>
      <c r="AR42" s="72">
        <v>0</v>
      </c>
      <c r="AS42" s="73">
        <v>-200.74</v>
      </c>
      <c r="AT42" s="73">
        <v>-141.59</v>
      </c>
      <c r="AU42" s="72">
        <v>59.15</v>
      </c>
      <c r="AV42" s="72">
        <v>0</v>
      </c>
      <c r="AW42" s="72">
        <v>0</v>
      </c>
      <c r="AX42" s="73">
        <v>-0.01</v>
      </c>
      <c r="AY42" s="72">
        <v>0</v>
      </c>
      <c r="AZ42" s="72">
        <v>0</v>
      </c>
      <c r="BA42" s="72">
        <v>-141.6</v>
      </c>
      <c r="BB42" s="72">
        <v>1237.2</v>
      </c>
      <c r="BC42" s="69">
        <f t="shared" si="31"/>
        <v>2510.3763632955847</v>
      </c>
      <c r="BD42" s="35">
        <f t="shared" si="19"/>
        <v>251.0376363295585</v>
      </c>
      <c r="BE42" s="35">
        <f t="shared" si="20"/>
        <v>0</v>
      </c>
      <c r="BF42" s="35"/>
      <c r="BG42" s="69">
        <v>4060.8499999999995</v>
      </c>
      <c r="BH42" s="69">
        <v>0</v>
      </c>
      <c r="BI42" s="83">
        <v>4060.8499999999995</v>
      </c>
      <c r="BJ42" s="34"/>
      <c r="BK42" s="34"/>
      <c r="BL42" s="34"/>
      <c r="BM42" s="34"/>
      <c r="BN42" s="69">
        <v>0</v>
      </c>
      <c r="BO42" s="34"/>
      <c r="BP42" s="69">
        <v>4060.8499999999995</v>
      </c>
      <c r="BQ42" s="102">
        <v>0</v>
      </c>
      <c r="BR42" s="34"/>
      <c r="BS42" s="34"/>
      <c r="BT42" s="34"/>
      <c r="BU42" s="34"/>
      <c r="BV42" s="34"/>
      <c r="BW42" s="34"/>
      <c r="BX42" s="69" t="s">
        <v>458</v>
      </c>
      <c r="BY42" s="129" t="s">
        <v>370</v>
      </c>
      <c r="BZ42" s="129" t="s">
        <v>98</v>
      </c>
      <c r="CA42" s="129" t="s">
        <v>398</v>
      </c>
      <c r="CB42" s="130"/>
      <c r="CC42" s="130"/>
      <c r="CD42" s="129" t="s">
        <v>243</v>
      </c>
      <c r="CE42" s="131" t="s">
        <v>344</v>
      </c>
      <c r="CF42" s="144"/>
      <c r="CG42" s="132">
        <v>1237.2399999999998</v>
      </c>
      <c r="CH42" s="144">
        <f>1112.76+150</f>
        <v>1262.76</v>
      </c>
      <c r="CI42" s="132">
        <f t="shared" si="0"/>
        <v>2500</v>
      </c>
      <c r="CJ42" s="132"/>
      <c r="CK42" s="132"/>
      <c r="CL42" s="132"/>
      <c r="CM42" s="134"/>
      <c r="CN42" s="135">
        <f t="shared" si="1"/>
        <v>2500</v>
      </c>
      <c r="CO42" s="136"/>
      <c r="CP42" s="137"/>
      <c r="CQ42" s="137"/>
      <c r="CR42" s="137"/>
      <c r="CS42" s="138"/>
      <c r="CT42" s="129">
        <v>0</v>
      </c>
      <c r="CU42" s="135">
        <f t="shared" si="21"/>
        <v>2500</v>
      </c>
      <c r="CV42" s="139">
        <f t="shared" si="2"/>
        <v>0</v>
      </c>
      <c r="CW42" s="135">
        <f t="shared" si="22"/>
        <v>2500</v>
      </c>
      <c r="CX42" s="140">
        <f t="shared" si="3"/>
        <v>250</v>
      </c>
      <c r="CY42" s="139">
        <f t="shared" si="4"/>
        <v>24.744799999999998</v>
      </c>
      <c r="CZ42" s="135">
        <f t="shared" si="5"/>
        <v>2774.7447999999999</v>
      </c>
      <c r="DA42" s="141"/>
      <c r="DB42" s="142">
        <f t="shared" si="23"/>
        <v>-2500</v>
      </c>
      <c r="DC42" s="141"/>
      <c r="DD42" s="141"/>
      <c r="DE42" s="142">
        <f t="shared" si="24"/>
        <v>0</v>
      </c>
      <c r="DF42" s="143">
        <v>2864339452</v>
      </c>
      <c r="DG42" s="145" t="s">
        <v>399</v>
      </c>
      <c r="DH42" s="143"/>
      <c r="DI42" s="143"/>
      <c r="DJ42" s="143"/>
      <c r="DK42" s="202">
        <f>+'C&amp;A'!I43+SINDICATO!E43</f>
        <v>2660.3763632955847</v>
      </c>
      <c r="DL42" s="142">
        <f t="shared" si="25"/>
        <v>0</v>
      </c>
      <c r="DM42" s="195">
        <f t="shared" si="26"/>
        <v>2660.3763632955847</v>
      </c>
      <c r="DN42" s="195">
        <f t="shared" si="27"/>
        <v>2660.3763632955847</v>
      </c>
      <c r="DO42" s="140">
        <f t="shared" si="28"/>
        <v>266.0376363295585</v>
      </c>
      <c r="DP42" s="140">
        <f t="shared" si="29"/>
        <v>0</v>
      </c>
      <c r="DQ42" s="34"/>
      <c r="DR42" s="34"/>
    </row>
    <row r="43" spans="1:122" ht="16.5" x14ac:dyDescent="0.3">
      <c r="A43" s="70" t="s">
        <v>277</v>
      </c>
      <c r="B43" s="34" t="s">
        <v>278</v>
      </c>
      <c r="C43" s="35">
        <v>2500</v>
      </c>
      <c r="D43" s="35">
        <v>160.37636329558455</v>
      </c>
      <c r="E43" s="35">
        <f t="shared" si="6"/>
        <v>0</v>
      </c>
      <c r="F43" s="35">
        <v>0</v>
      </c>
      <c r="G43" s="35">
        <v>0</v>
      </c>
      <c r="H43" s="35">
        <v>0</v>
      </c>
      <c r="I43" s="35">
        <v>0</v>
      </c>
      <c r="J43" s="197">
        <v>0</v>
      </c>
      <c r="K43" s="35">
        <v>0</v>
      </c>
      <c r="L43" s="35">
        <f t="shared" si="7"/>
        <v>0</v>
      </c>
      <c r="M43" s="35">
        <f t="shared" si="8"/>
        <v>0</v>
      </c>
      <c r="N43" s="35">
        <f t="shared" si="9"/>
        <v>0</v>
      </c>
      <c r="O43" s="35"/>
      <c r="P43" s="35">
        <f t="shared" si="10"/>
        <v>0</v>
      </c>
      <c r="Q43" s="35">
        <f t="shared" si="11"/>
        <v>0</v>
      </c>
      <c r="R43" s="35">
        <f t="shared" si="12"/>
        <v>2660.3763632955847</v>
      </c>
      <c r="S43" s="35">
        <f t="shared" si="13"/>
        <v>2660.3763632955847</v>
      </c>
      <c r="T43" s="35">
        <v>250</v>
      </c>
      <c r="U43" s="35">
        <f>+'C&amp;A'!E44*0.02</f>
        <v>21.911999999999999</v>
      </c>
      <c r="V43" s="35">
        <f t="shared" si="14"/>
        <v>2932.2883632955845</v>
      </c>
      <c r="W43" s="35">
        <f t="shared" si="15"/>
        <v>469.16613812729355</v>
      </c>
      <c r="X43" s="35">
        <f t="shared" si="16"/>
        <v>3401.4545014228779</v>
      </c>
      <c r="Y43" s="40"/>
      <c r="Z43" s="13" t="s">
        <v>201</v>
      </c>
      <c r="AA43" s="13" t="s">
        <v>202</v>
      </c>
      <c r="AB43" s="14" t="s">
        <v>243</v>
      </c>
      <c r="AC43" s="15">
        <v>2350</v>
      </c>
      <c r="AD43" s="17">
        <v>160.30000000000001</v>
      </c>
      <c r="AE43" s="17">
        <f>+S42-'C&amp;A'!I43-SINDICATO!O43</f>
        <v>0</v>
      </c>
      <c r="AF43" s="34" t="str">
        <f t="shared" si="30"/>
        <v>SI</v>
      </c>
      <c r="AG43" s="70" t="s">
        <v>98</v>
      </c>
      <c r="AH43" s="71" t="s">
        <v>99</v>
      </c>
      <c r="AI43" s="72">
        <v>1095.5999999999999</v>
      </c>
      <c r="AJ43" s="72">
        <v>0</v>
      </c>
      <c r="AK43" s="72">
        <v>0</v>
      </c>
      <c r="AL43" s="72">
        <v>0</v>
      </c>
      <c r="AM43" s="72">
        <v>0</v>
      </c>
      <c r="AN43" s="72">
        <v>0</v>
      </c>
      <c r="AO43" s="72">
        <v>1095.5999999999999</v>
      </c>
      <c r="AP43" s="72">
        <v>0</v>
      </c>
      <c r="AQ43" s="72">
        <v>0</v>
      </c>
      <c r="AR43" s="72">
        <v>0</v>
      </c>
      <c r="AS43" s="73">
        <v>-200.74</v>
      </c>
      <c r="AT43" s="73">
        <v>-141.59</v>
      </c>
      <c r="AU43" s="72">
        <v>59.15</v>
      </c>
      <c r="AV43" s="72">
        <v>0</v>
      </c>
      <c r="AW43" s="72">
        <v>0</v>
      </c>
      <c r="AX43" s="73">
        <v>-0.01</v>
      </c>
      <c r="AY43" s="72">
        <v>0</v>
      </c>
      <c r="AZ43" s="72">
        <v>0</v>
      </c>
      <c r="BA43" s="72">
        <v>-141.6</v>
      </c>
      <c r="BB43" s="72">
        <v>1237.2</v>
      </c>
      <c r="BC43" s="69">
        <f t="shared" si="31"/>
        <v>1660.3763632955847</v>
      </c>
      <c r="BD43" s="35">
        <f t="shared" si="19"/>
        <v>166.0376363295585</v>
      </c>
      <c r="BE43" s="35">
        <f t="shared" si="20"/>
        <v>0</v>
      </c>
      <c r="BF43" s="35"/>
      <c r="BG43" s="69">
        <v>2465.17</v>
      </c>
      <c r="BH43" s="69">
        <v>0</v>
      </c>
      <c r="BI43" s="83">
        <v>2465.17</v>
      </c>
      <c r="BJ43" s="34"/>
      <c r="BK43" s="34"/>
      <c r="BL43" s="34"/>
      <c r="BM43" s="34"/>
      <c r="BN43" s="69">
        <v>0</v>
      </c>
      <c r="BO43" s="34"/>
      <c r="BP43" s="69">
        <v>2465.17</v>
      </c>
      <c r="BQ43" s="102">
        <v>0</v>
      </c>
      <c r="BR43" s="34"/>
      <c r="BS43" s="34"/>
      <c r="BT43" s="34"/>
      <c r="BU43" s="34"/>
      <c r="BV43" s="34"/>
      <c r="BW43" s="34"/>
      <c r="BX43" s="69" t="s">
        <v>458</v>
      </c>
      <c r="BY43" s="129" t="s">
        <v>362</v>
      </c>
      <c r="BZ43" s="129" t="s">
        <v>400</v>
      </c>
      <c r="CA43" s="129" t="s">
        <v>401</v>
      </c>
      <c r="CB43" s="130"/>
      <c r="CC43" s="130"/>
      <c r="CD43" s="129" t="s">
        <v>253</v>
      </c>
      <c r="CE43" s="144"/>
      <c r="CF43" s="144"/>
      <c r="CG43" s="132">
        <v>1237.2399999999998</v>
      </c>
      <c r="CH43" s="144">
        <v>1262.7600000000002</v>
      </c>
      <c r="CI43" s="132">
        <f t="shared" si="0"/>
        <v>2500</v>
      </c>
      <c r="CJ43" s="132"/>
      <c r="CK43" s="132"/>
      <c r="CL43" s="132"/>
      <c r="CM43" s="134"/>
      <c r="CN43" s="135">
        <f t="shared" si="1"/>
        <v>2500</v>
      </c>
      <c r="CO43" s="136"/>
      <c r="CP43" s="137"/>
      <c r="CQ43" s="137"/>
      <c r="CR43" s="137"/>
      <c r="CS43" s="138"/>
      <c r="CT43" s="129">
        <v>0</v>
      </c>
      <c r="CU43" s="135">
        <f t="shared" si="21"/>
        <v>2500</v>
      </c>
      <c r="CV43" s="139">
        <f t="shared" si="2"/>
        <v>0</v>
      </c>
      <c r="CW43" s="135">
        <f t="shared" si="22"/>
        <v>2500</v>
      </c>
      <c r="CX43" s="140">
        <f t="shared" si="3"/>
        <v>250</v>
      </c>
      <c r="CY43" s="139">
        <f t="shared" si="4"/>
        <v>24.744799999999998</v>
      </c>
      <c r="CZ43" s="135">
        <f t="shared" si="5"/>
        <v>2774.7447999999999</v>
      </c>
      <c r="DA43" s="141"/>
      <c r="DB43" s="142">
        <f t="shared" si="23"/>
        <v>-2500</v>
      </c>
      <c r="DC43" s="141"/>
      <c r="DD43" s="141"/>
      <c r="DE43" s="142">
        <f t="shared" si="24"/>
        <v>0</v>
      </c>
      <c r="DF43" s="143">
        <v>2782513943</v>
      </c>
      <c r="DG43" s="143"/>
      <c r="DH43" s="143"/>
      <c r="DI43" s="143"/>
      <c r="DJ43" s="143"/>
      <c r="DK43" s="202">
        <f>+'C&amp;A'!I44+SINDICATO!E44</f>
        <v>2660.3763632955847</v>
      </c>
      <c r="DL43" s="142">
        <f t="shared" si="25"/>
        <v>0</v>
      </c>
      <c r="DM43" s="195">
        <f t="shared" si="26"/>
        <v>2660.3763632955847</v>
      </c>
      <c r="DN43" s="195">
        <f t="shared" si="27"/>
        <v>2660.3763632955847</v>
      </c>
      <c r="DO43" s="140">
        <f t="shared" si="28"/>
        <v>266.0376363295585</v>
      </c>
      <c r="DP43" s="140">
        <f t="shared" si="29"/>
        <v>0</v>
      </c>
      <c r="DQ43" s="34"/>
      <c r="DR43" s="34"/>
    </row>
    <row r="44" spans="1:122" ht="16.5" x14ac:dyDescent="0.3">
      <c r="A44" s="33" t="s">
        <v>100</v>
      </c>
      <c r="B44" s="34" t="s">
        <v>101</v>
      </c>
      <c r="C44" s="35">
        <v>2800</v>
      </c>
      <c r="D44" s="35">
        <v>145.37389713135775</v>
      </c>
      <c r="E44" s="35">
        <f t="shared" si="6"/>
        <v>0</v>
      </c>
      <c r="F44" s="35">
        <v>0</v>
      </c>
      <c r="G44" s="35">
        <v>0</v>
      </c>
      <c r="H44" s="35">
        <v>0</v>
      </c>
      <c r="I44" s="35">
        <v>0</v>
      </c>
      <c r="J44" s="197">
        <v>0</v>
      </c>
      <c r="K44" s="35">
        <v>0</v>
      </c>
      <c r="L44" s="35">
        <f t="shared" si="7"/>
        <v>0</v>
      </c>
      <c r="M44" s="35">
        <f t="shared" si="8"/>
        <v>0</v>
      </c>
      <c r="N44" s="35">
        <f t="shared" si="9"/>
        <v>0</v>
      </c>
      <c r="O44" s="35"/>
      <c r="P44" s="35">
        <f t="shared" si="10"/>
        <v>0</v>
      </c>
      <c r="Q44" s="35">
        <f t="shared" si="11"/>
        <v>0</v>
      </c>
      <c r="R44" s="35">
        <f t="shared" si="12"/>
        <v>2945.3738971313578</v>
      </c>
      <c r="S44" s="35">
        <f t="shared" si="13"/>
        <v>2945.3738971313578</v>
      </c>
      <c r="T44" s="35">
        <v>280</v>
      </c>
      <c r="U44" s="35">
        <f>+'C&amp;A'!E45*0.02</f>
        <v>21.911999999999999</v>
      </c>
      <c r="V44" s="35">
        <f t="shared" si="14"/>
        <v>3247.2858971313576</v>
      </c>
      <c r="W44" s="35">
        <f t="shared" si="15"/>
        <v>519.56574354101724</v>
      </c>
      <c r="X44" s="35">
        <f t="shared" si="16"/>
        <v>3766.8516406723747</v>
      </c>
      <c r="Y44" s="40"/>
      <c r="Z44" s="13" t="s">
        <v>252</v>
      </c>
      <c r="AA44" s="13" t="s">
        <v>181</v>
      </c>
      <c r="AB44" s="14" t="s">
        <v>253</v>
      </c>
      <c r="AC44" s="15">
        <v>2500</v>
      </c>
      <c r="AD44" s="17">
        <v>160.30000000000001</v>
      </c>
      <c r="AE44" s="17">
        <f>+S43-'C&amp;A'!I44-SINDICATO!O44</f>
        <v>0</v>
      </c>
      <c r="AF44" s="34" t="str">
        <f t="shared" si="30"/>
        <v>SI</v>
      </c>
      <c r="AG44" s="70" t="s">
        <v>277</v>
      </c>
      <c r="AH44" s="71" t="s">
        <v>278</v>
      </c>
      <c r="AI44" s="72">
        <v>1095.5999999999999</v>
      </c>
      <c r="AJ44" s="72">
        <v>0</v>
      </c>
      <c r="AK44" s="72">
        <v>0</v>
      </c>
      <c r="AL44" s="72">
        <v>0</v>
      </c>
      <c r="AM44" s="72">
        <v>0</v>
      </c>
      <c r="AN44" s="72">
        <v>0</v>
      </c>
      <c r="AO44" s="72">
        <v>1095.5999999999999</v>
      </c>
      <c r="AP44" s="72">
        <v>0</v>
      </c>
      <c r="AQ44" s="72">
        <v>0</v>
      </c>
      <c r="AR44" s="72">
        <v>0</v>
      </c>
      <c r="AS44" s="73">
        <v>-200.74</v>
      </c>
      <c r="AT44" s="73">
        <v>-141.59</v>
      </c>
      <c r="AU44" s="72">
        <v>59.15</v>
      </c>
      <c r="AV44" s="72">
        <v>0</v>
      </c>
      <c r="AW44" s="72">
        <v>0</v>
      </c>
      <c r="AX44" s="73">
        <v>-0.01</v>
      </c>
      <c r="AY44" s="72">
        <v>0</v>
      </c>
      <c r="AZ44" s="72">
        <v>0</v>
      </c>
      <c r="BA44" s="72">
        <v>-141.6</v>
      </c>
      <c r="BB44" s="72">
        <v>1237.2</v>
      </c>
      <c r="BC44" s="69">
        <f t="shared" si="31"/>
        <v>2660.3763632955847</v>
      </c>
      <c r="BD44" s="35">
        <f t="shared" si="19"/>
        <v>266.0376363295585</v>
      </c>
      <c r="BE44" s="35">
        <f t="shared" si="20"/>
        <v>0</v>
      </c>
      <c r="BF44" s="35"/>
      <c r="BG44" s="69">
        <v>18528.290999999997</v>
      </c>
      <c r="BH44" s="69">
        <v>2058.6990000000005</v>
      </c>
      <c r="BI44" s="83">
        <v>18528.290999999997</v>
      </c>
      <c r="BJ44" s="34"/>
      <c r="BK44" s="34"/>
      <c r="BL44" s="34"/>
      <c r="BM44" s="34"/>
      <c r="BN44" s="69">
        <v>0</v>
      </c>
      <c r="BO44" s="34"/>
      <c r="BP44" s="69">
        <v>18528.290999999997</v>
      </c>
      <c r="BQ44" s="102">
        <v>0</v>
      </c>
      <c r="BR44" s="34"/>
      <c r="BS44" s="34"/>
      <c r="BT44" s="34"/>
      <c r="BU44" s="34"/>
      <c r="BV44" s="34"/>
      <c r="BW44" s="34"/>
      <c r="BX44" s="69" t="s">
        <v>458</v>
      </c>
      <c r="BY44" s="129" t="s">
        <v>370</v>
      </c>
      <c r="BZ44" s="129" t="s">
        <v>100</v>
      </c>
      <c r="CA44" s="129" t="s">
        <v>402</v>
      </c>
      <c r="CB44" s="144"/>
      <c r="CC44" s="144"/>
      <c r="CD44" s="129" t="s">
        <v>271</v>
      </c>
      <c r="CE44" s="144" t="s">
        <v>344</v>
      </c>
      <c r="CF44" s="131"/>
      <c r="CG44" s="132">
        <v>1237.2399999999998</v>
      </c>
      <c r="CH44" s="131">
        <v>1562.7600000000002</v>
      </c>
      <c r="CI44" s="132">
        <f t="shared" si="0"/>
        <v>2800</v>
      </c>
      <c r="CJ44" s="132"/>
      <c r="CK44" s="133"/>
      <c r="CL44" s="133"/>
      <c r="CM44" s="134"/>
      <c r="CN44" s="135">
        <f t="shared" si="1"/>
        <v>2800</v>
      </c>
      <c r="CO44" s="136"/>
      <c r="CP44" s="137"/>
      <c r="CQ44" s="137"/>
      <c r="CR44" s="137"/>
      <c r="CS44" s="138"/>
      <c r="CT44" s="129">
        <v>0</v>
      </c>
      <c r="CU44" s="135">
        <f t="shared" si="21"/>
        <v>2800</v>
      </c>
      <c r="CV44" s="139">
        <f t="shared" si="2"/>
        <v>0</v>
      </c>
      <c r="CW44" s="135">
        <f t="shared" si="22"/>
        <v>2800</v>
      </c>
      <c r="CX44" s="140">
        <f t="shared" si="3"/>
        <v>280</v>
      </c>
      <c r="CY44" s="139">
        <f t="shared" si="4"/>
        <v>24.744799999999998</v>
      </c>
      <c r="CZ44" s="135">
        <f t="shared" si="5"/>
        <v>3104.7447999999999</v>
      </c>
      <c r="DA44" s="141"/>
      <c r="DB44" s="142">
        <f t="shared" si="23"/>
        <v>-2800</v>
      </c>
      <c r="DC44" s="141"/>
      <c r="DD44" s="141"/>
      <c r="DE44" s="142">
        <f t="shared" si="24"/>
        <v>0</v>
      </c>
      <c r="DF44" s="143">
        <v>2903180794</v>
      </c>
      <c r="DG44" s="143"/>
      <c r="DH44" s="143"/>
      <c r="DI44" s="146"/>
      <c r="DJ44" s="146"/>
      <c r="DK44" s="202">
        <f>+'C&amp;A'!I45+SINDICATO!E45</f>
        <v>2945.3738971313578</v>
      </c>
      <c r="DL44" s="142">
        <f t="shared" si="25"/>
        <v>0</v>
      </c>
      <c r="DM44" s="195">
        <f t="shared" si="26"/>
        <v>2945.3738971313578</v>
      </c>
      <c r="DN44" s="195">
        <f t="shared" si="27"/>
        <v>2945.3738971313578</v>
      </c>
      <c r="DO44" s="140">
        <f t="shared" si="28"/>
        <v>294.53738971313578</v>
      </c>
      <c r="DP44" s="140">
        <f t="shared" si="29"/>
        <v>0</v>
      </c>
      <c r="DQ44" s="34"/>
      <c r="DR44" s="34"/>
    </row>
    <row r="45" spans="1:122" ht="16.5" x14ac:dyDescent="0.3">
      <c r="A45" s="33" t="s">
        <v>102</v>
      </c>
      <c r="B45" s="34" t="s">
        <v>103</v>
      </c>
      <c r="C45" s="35">
        <v>3250</v>
      </c>
      <c r="D45" s="35">
        <v>0</v>
      </c>
      <c r="E45" s="35">
        <f t="shared" si="6"/>
        <v>0</v>
      </c>
      <c r="F45" s="35">
        <v>0</v>
      </c>
      <c r="G45" s="35">
        <v>0</v>
      </c>
      <c r="H45" s="35">
        <f>+((C45/15)/8)*24*2</f>
        <v>1300</v>
      </c>
      <c r="I45" s="35">
        <f>+C45/15*2</f>
        <v>433.33333333333331</v>
      </c>
      <c r="J45" s="197">
        <v>0</v>
      </c>
      <c r="K45" s="35">
        <v>0</v>
      </c>
      <c r="L45" s="35">
        <f t="shared" si="7"/>
        <v>0</v>
      </c>
      <c r="M45" s="35">
        <f t="shared" si="8"/>
        <v>0</v>
      </c>
      <c r="N45" s="35">
        <f t="shared" si="9"/>
        <v>0</v>
      </c>
      <c r="O45" s="35"/>
      <c r="P45" s="35">
        <f t="shared" si="10"/>
        <v>0</v>
      </c>
      <c r="Q45" s="35">
        <f t="shared" si="11"/>
        <v>498.33333333333331</v>
      </c>
      <c r="R45" s="35">
        <f t="shared" si="12"/>
        <v>4485</v>
      </c>
      <c r="S45" s="35">
        <f t="shared" si="13"/>
        <v>4983.333333333333</v>
      </c>
      <c r="T45" s="35">
        <v>0</v>
      </c>
      <c r="U45" s="35">
        <f>+'C&amp;A'!E46*0.02</f>
        <v>21.911999999999999</v>
      </c>
      <c r="V45" s="35">
        <f t="shared" si="14"/>
        <v>5005.2453333333333</v>
      </c>
      <c r="W45" s="35">
        <f t="shared" si="15"/>
        <v>800.83925333333332</v>
      </c>
      <c r="X45" s="35">
        <f t="shared" si="16"/>
        <v>5806.0845866666668</v>
      </c>
      <c r="Y45" s="40"/>
      <c r="Z45" s="13" t="s">
        <v>203</v>
      </c>
      <c r="AA45" s="13" t="s">
        <v>32</v>
      </c>
      <c r="AB45" s="14" t="s">
        <v>271</v>
      </c>
      <c r="AC45" s="11">
        <v>2800</v>
      </c>
      <c r="AD45" s="18">
        <v>145.38</v>
      </c>
      <c r="AE45" s="17">
        <f>+S44-'C&amp;A'!I45-SINDICATO!O45</f>
        <v>0</v>
      </c>
      <c r="AF45" s="34" t="str">
        <f t="shared" si="30"/>
        <v>SI</v>
      </c>
      <c r="AG45" s="70" t="s">
        <v>100</v>
      </c>
      <c r="AH45" s="71" t="s">
        <v>101</v>
      </c>
      <c r="AI45" s="72">
        <v>1095.5999999999999</v>
      </c>
      <c r="AJ45" s="72">
        <v>0</v>
      </c>
      <c r="AK45" s="72">
        <v>0</v>
      </c>
      <c r="AL45" s="72">
        <v>0</v>
      </c>
      <c r="AM45" s="72">
        <v>0</v>
      </c>
      <c r="AN45" s="72">
        <v>0</v>
      </c>
      <c r="AO45" s="72">
        <v>1095.5999999999999</v>
      </c>
      <c r="AP45" s="72">
        <v>0</v>
      </c>
      <c r="AQ45" s="72">
        <v>0</v>
      </c>
      <c r="AR45" s="72">
        <v>0</v>
      </c>
      <c r="AS45" s="73">
        <v>-200.74</v>
      </c>
      <c r="AT45" s="73">
        <v>-141.59</v>
      </c>
      <c r="AU45" s="72">
        <v>59.15</v>
      </c>
      <c r="AV45" s="72">
        <v>0</v>
      </c>
      <c r="AW45" s="72">
        <v>0</v>
      </c>
      <c r="AX45" s="73">
        <v>-0.01</v>
      </c>
      <c r="AY45" s="72">
        <v>0</v>
      </c>
      <c r="AZ45" s="72">
        <v>0</v>
      </c>
      <c r="BA45" s="72">
        <v>-141.6</v>
      </c>
      <c r="BB45" s="72">
        <v>1237.2</v>
      </c>
      <c r="BC45" s="69">
        <f t="shared" si="31"/>
        <v>2945.3738971313578</v>
      </c>
      <c r="BD45" s="35">
        <f t="shared" si="19"/>
        <v>294.53738971313578</v>
      </c>
      <c r="BE45" s="35">
        <f t="shared" si="20"/>
        <v>0</v>
      </c>
      <c r="BF45" s="35"/>
      <c r="BG45" s="69">
        <v>2945.38</v>
      </c>
      <c r="BH45" s="69">
        <v>0</v>
      </c>
      <c r="BI45" s="83">
        <v>2945.38</v>
      </c>
      <c r="BJ45" s="34"/>
      <c r="BK45" s="34"/>
      <c r="BL45" s="34"/>
      <c r="BM45" s="34"/>
      <c r="BN45" s="69">
        <v>0</v>
      </c>
      <c r="BO45" s="34"/>
      <c r="BP45" s="69">
        <v>2945.38</v>
      </c>
      <c r="BQ45" s="102">
        <v>0</v>
      </c>
      <c r="BR45" s="34"/>
      <c r="BS45" s="34"/>
      <c r="BT45" s="34"/>
      <c r="BU45" s="34"/>
      <c r="BV45" s="34"/>
      <c r="BW45" s="34"/>
      <c r="BX45" s="69" t="s">
        <v>458</v>
      </c>
      <c r="BY45" s="129" t="s">
        <v>341</v>
      </c>
      <c r="BZ45" s="129" t="s">
        <v>102</v>
      </c>
      <c r="CA45" s="129" t="s">
        <v>403</v>
      </c>
      <c r="CB45" s="130"/>
      <c r="CC45" s="130"/>
      <c r="CD45" s="129" t="s">
        <v>242</v>
      </c>
      <c r="CE45" s="144" t="s">
        <v>404</v>
      </c>
      <c r="CF45" s="144"/>
      <c r="CG45" s="132">
        <v>1237.2399999999998</v>
      </c>
      <c r="CH45" s="144">
        <f>1612.76+400</f>
        <v>2012.76</v>
      </c>
      <c r="CI45" s="132">
        <f t="shared" si="0"/>
        <v>3250</v>
      </c>
      <c r="CJ45" s="132"/>
      <c r="CK45" s="133"/>
      <c r="CL45" s="133"/>
      <c r="CM45" s="134"/>
      <c r="CN45" s="135">
        <f t="shared" si="1"/>
        <v>3250</v>
      </c>
      <c r="CO45" s="136"/>
      <c r="CP45" s="137"/>
      <c r="CQ45" s="137"/>
      <c r="CR45" s="137"/>
      <c r="CS45" s="138"/>
      <c r="CT45" s="129">
        <v>0</v>
      </c>
      <c r="CU45" s="135">
        <f t="shared" si="21"/>
        <v>3250</v>
      </c>
      <c r="CV45" s="139">
        <f t="shared" si="2"/>
        <v>0</v>
      </c>
      <c r="CW45" s="135">
        <f t="shared" si="22"/>
        <v>3250</v>
      </c>
      <c r="CX45" s="140">
        <f t="shared" si="3"/>
        <v>325</v>
      </c>
      <c r="CY45" s="139">
        <f t="shared" si="4"/>
        <v>24.744799999999998</v>
      </c>
      <c r="CZ45" s="135">
        <f t="shared" si="5"/>
        <v>3599.7447999999999</v>
      </c>
      <c r="DA45" s="141"/>
      <c r="DB45" s="142">
        <f t="shared" si="23"/>
        <v>-3250</v>
      </c>
      <c r="DC45" s="141"/>
      <c r="DD45" s="141"/>
      <c r="DE45" s="142">
        <f t="shared" si="24"/>
        <v>0</v>
      </c>
      <c r="DF45" s="143">
        <v>2631133012</v>
      </c>
      <c r="DG45" s="145" t="s">
        <v>405</v>
      </c>
      <c r="DH45" s="146"/>
      <c r="DI45" s="143"/>
      <c r="DJ45" s="143"/>
      <c r="DK45" s="202">
        <f>+'C&amp;A'!I46+SINDICATO!E46</f>
        <v>4983.333333333333</v>
      </c>
      <c r="DL45" s="142">
        <f t="shared" si="25"/>
        <v>0</v>
      </c>
      <c r="DM45" s="195">
        <f t="shared" si="26"/>
        <v>4983.333333333333</v>
      </c>
      <c r="DN45" s="195">
        <f t="shared" si="27"/>
        <v>4983.333333333333</v>
      </c>
      <c r="DO45" s="140">
        <f t="shared" si="28"/>
        <v>0</v>
      </c>
      <c r="DP45" s="140">
        <f t="shared" si="29"/>
        <v>498.33333333333331</v>
      </c>
      <c r="DQ45" s="34"/>
      <c r="DR45" s="34"/>
    </row>
    <row r="46" spans="1:122" ht="16.5" x14ac:dyDescent="0.3">
      <c r="A46" s="33" t="s">
        <v>104</v>
      </c>
      <c r="B46" s="34" t="s">
        <v>105</v>
      </c>
      <c r="C46" s="35">
        <v>3150</v>
      </c>
      <c r="D46" s="35">
        <v>125.12056780965156</v>
      </c>
      <c r="E46" s="35">
        <f t="shared" si="6"/>
        <v>0</v>
      </c>
      <c r="F46" s="35">
        <v>0</v>
      </c>
      <c r="G46" s="35">
        <v>0</v>
      </c>
      <c r="H46" s="35">
        <v>0</v>
      </c>
      <c r="I46" s="35">
        <v>0</v>
      </c>
      <c r="J46" s="197">
        <v>0</v>
      </c>
      <c r="K46" s="35">
        <v>0</v>
      </c>
      <c r="L46" s="35">
        <f t="shared" si="7"/>
        <v>0</v>
      </c>
      <c r="M46" s="35">
        <f t="shared" si="8"/>
        <v>0</v>
      </c>
      <c r="N46" s="35">
        <f t="shared" si="9"/>
        <v>0</v>
      </c>
      <c r="O46" s="35"/>
      <c r="P46" s="35">
        <f t="shared" si="10"/>
        <v>0</v>
      </c>
      <c r="Q46" s="35">
        <f t="shared" si="11"/>
        <v>0</v>
      </c>
      <c r="R46" s="35">
        <f t="shared" si="12"/>
        <v>3275.1205678096517</v>
      </c>
      <c r="S46" s="35">
        <f t="shared" si="13"/>
        <v>3275.1205678096517</v>
      </c>
      <c r="T46" s="35">
        <v>315</v>
      </c>
      <c r="U46" s="35">
        <f>+'C&amp;A'!E47*0.02</f>
        <v>21.911999999999999</v>
      </c>
      <c r="V46" s="35">
        <f t="shared" si="14"/>
        <v>3612.0325678096515</v>
      </c>
      <c r="W46" s="35">
        <f t="shared" si="15"/>
        <v>577.92521084954421</v>
      </c>
      <c r="X46" s="35">
        <f t="shared" si="16"/>
        <v>4189.9577786591954</v>
      </c>
      <c r="Y46" s="158"/>
      <c r="Z46" s="183" t="s">
        <v>204</v>
      </c>
      <c r="AA46" s="183" t="s">
        <v>205</v>
      </c>
      <c r="AB46" s="184" t="s">
        <v>242</v>
      </c>
      <c r="AC46" s="185">
        <v>2850</v>
      </c>
      <c r="AD46" s="180">
        <v>125.1</v>
      </c>
      <c r="AE46" s="162">
        <f>+S45-'C&amp;A'!I46-SINDICATO!O46</f>
        <v>498.33333333333348</v>
      </c>
      <c r="AF46" s="157" t="str">
        <f t="shared" si="30"/>
        <v>SI</v>
      </c>
      <c r="AG46" s="96" t="s">
        <v>102</v>
      </c>
      <c r="AH46" s="97" t="s">
        <v>103</v>
      </c>
      <c r="AI46" s="98">
        <v>1095.5999999999999</v>
      </c>
      <c r="AJ46" s="98">
        <v>0</v>
      </c>
      <c r="AK46" s="98">
        <v>0</v>
      </c>
      <c r="AL46" s="98">
        <v>0</v>
      </c>
      <c r="AM46" s="98">
        <v>0</v>
      </c>
      <c r="AN46" s="98">
        <v>0</v>
      </c>
      <c r="AO46" s="98">
        <v>1095.5999999999999</v>
      </c>
      <c r="AP46" s="98">
        <v>0</v>
      </c>
      <c r="AQ46" s="98">
        <v>0</v>
      </c>
      <c r="AR46" s="98">
        <v>0</v>
      </c>
      <c r="AS46" s="163">
        <v>-200.74</v>
      </c>
      <c r="AT46" s="163">
        <v>-141.59</v>
      </c>
      <c r="AU46" s="98">
        <v>59.15</v>
      </c>
      <c r="AV46" s="98">
        <v>0</v>
      </c>
      <c r="AW46" s="98">
        <v>0</v>
      </c>
      <c r="AX46" s="163">
        <v>-0.01</v>
      </c>
      <c r="AY46" s="98">
        <v>0</v>
      </c>
      <c r="AZ46" s="98">
        <v>0</v>
      </c>
      <c r="BA46" s="98">
        <v>-141.6</v>
      </c>
      <c r="BB46" s="98">
        <v>1237.2</v>
      </c>
      <c r="BC46" s="164">
        <f t="shared" si="31"/>
        <v>4983.333333333333</v>
      </c>
      <c r="BD46" s="99">
        <f t="shared" si="19"/>
        <v>498.33333333333331</v>
      </c>
      <c r="BE46" s="99">
        <f t="shared" si="20"/>
        <v>0</v>
      </c>
      <c r="BF46" s="99"/>
      <c r="BG46" s="164">
        <v>2975.1</v>
      </c>
      <c r="BH46" s="164">
        <v>0</v>
      </c>
      <c r="BI46" s="165">
        <v>2975.1</v>
      </c>
      <c r="BJ46" s="157"/>
      <c r="BK46" s="157"/>
      <c r="BL46" s="157"/>
      <c r="BM46" s="157"/>
      <c r="BN46" s="164">
        <v>0</v>
      </c>
      <c r="BO46" s="157"/>
      <c r="BP46" s="164">
        <v>2975.1</v>
      </c>
      <c r="BQ46" s="166">
        <v>0</v>
      </c>
      <c r="BR46" s="157"/>
      <c r="BS46" s="157"/>
      <c r="BT46" s="157"/>
      <c r="BU46" s="157"/>
      <c r="BV46" s="157"/>
      <c r="BW46" s="157"/>
      <c r="BX46" s="69" t="s">
        <v>460</v>
      </c>
      <c r="BY46" s="167" t="s">
        <v>370</v>
      </c>
      <c r="BZ46" s="167" t="s">
        <v>104</v>
      </c>
      <c r="CA46" s="167" t="s">
        <v>406</v>
      </c>
      <c r="CB46" s="168"/>
      <c r="CC46" s="168"/>
      <c r="CD46" s="167" t="s">
        <v>407</v>
      </c>
      <c r="CE46" s="168" t="s">
        <v>344</v>
      </c>
      <c r="CF46" s="168"/>
      <c r="CG46" s="169">
        <v>1237.2399999999998</v>
      </c>
      <c r="CH46" s="168">
        <v>1912.7600000000002</v>
      </c>
      <c r="CI46" s="169">
        <f t="shared" si="0"/>
        <v>3150</v>
      </c>
      <c r="CJ46" s="169"/>
      <c r="CK46" s="169"/>
      <c r="CL46" s="169"/>
      <c r="CM46" s="170"/>
      <c r="CN46" s="171">
        <f t="shared" si="1"/>
        <v>3150</v>
      </c>
      <c r="CO46" s="169"/>
      <c r="CP46" s="172"/>
      <c r="CQ46" s="172"/>
      <c r="CR46" s="172"/>
      <c r="CS46" s="173"/>
      <c r="CT46" s="167">
        <v>0</v>
      </c>
      <c r="CU46" s="171">
        <f t="shared" si="21"/>
        <v>3150</v>
      </c>
      <c r="CV46" s="172">
        <f t="shared" si="2"/>
        <v>0</v>
      </c>
      <c r="CW46" s="171">
        <f t="shared" si="22"/>
        <v>3150</v>
      </c>
      <c r="CX46" s="172">
        <f t="shared" si="3"/>
        <v>315</v>
      </c>
      <c r="CY46" s="172">
        <f t="shared" si="4"/>
        <v>24.744799999999998</v>
      </c>
      <c r="CZ46" s="171">
        <f t="shared" si="5"/>
        <v>3489.7447999999999</v>
      </c>
      <c r="DA46" s="174"/>
      <c r="DB46" s="175">
        <f t="shared" si="23"/>
        <v>-3150</v>
      </c>
      <c r="DC46" s="174"/>
      <c r="DD46" s="174"/>
      <c r="DE46" s="175">
        <f t="shared" si="24"/>
        <v>0</v>
      </c>
      <c r="DF46" s="146">
        <v>2948414130</v>
      </c>
      <c r="DG46" s="146"/>
      <c r="DH46" s="146"/>
      <c r="DI46" s="146"/>
      <c r="DJ46" s="146"/>
      <c r="DK46" s="202">
        <f>+'C&amp;A'!I47+SINDICATO!E47</f>
        <v>3275.1205678096517</v>
      </c>
      <c r="DL46" s="142">
        <f t="shared" si="25"/>
        <v>0</v>
      </c>
      <c r="DM46" s="195">
        <f t="shared" si="26"/>
        <v>3275.1205678096517</v>
      </c>
      <c r="DN46" s="195">
        <f t="shared" si="27"/>
        <v>3275.1205678096517</v>
      </c>
      <c r="DO46" s="140">
        <f t="shared" si="28"/>
        <v>327.51205678096517</v>
      </c>
      <c r="DP46" s="140">
        <f t="shared" si="29"/>
        <v>0</v>
      </c>
      <c r="DQ46" s="157"/>
      <c r="DR46" s="157"/>
    </row>
    <row r="47" spans="1:122" ht="16.5" x14ac:dyDescent="0.3">
      <c r="A47" s="33" t="s">
        <v>108</v>
      </c>
      <c r="B47" s="34" t="s">
        <v>109</v>
      </c>
      <c r="C47" s="35">
        <v>2500</v>
      </c>
      <c r="D47" s="35">
        <v>160.37636329558455</v>
      </c>
      <c r="E47" s="35">
        <f t="shared" si="6"/>
        <v>0</v>
      </c>
      <c r="F47" s="35">
        <v>0</v>
      </c>
      <c r="G47" s="35">
        <v>0</v>
      </c>
      <c r="H47" s="35">
        <v>0</v>
      </c>
      <c r="I47" s="35">
        <v>0</v>
      </c>
      <c r="J47" s="197">
        <v>0</v>
      </c>
      <c r="K47" s="35">
        <v>0</v>
      </c>
      <c r="L47" s="35">
        <f t="shared" si="7"/>
        <v>0</v>
      </c>
      <c r="M47" s="35">
        <f t="shared" si="8"/>
        <v>0</v>
      </c>
      <c r="N47" s="35">
        <f t="shared" si="9"/>
        <v>0</v>
      </c>
      <c r="O47" s="35"/>
      <c r="P47" s="35">
        <f t="shared" si="10"/>
        <v>0</v>
      </c>
      <c r="Q47" s="35">
        <f t="shared" si="11"/>
        <v>0</v>
      </c>
      <c r="R47" s="35">
        <f t="shared" si="12"/>
        <v>2660.3763632955847</v>
      </c>
      <c r="S47" s="35">
        <f t="shared" si="13"/>
        <v>2660.3763632955847</v>
      </c>
      <c r="T47" s="35">
        <v>250</v>
      </c>
      <c r="U47" s="35">
        <f>+'C&amp;A'!E48*0.02</f>
        <v>21.911999999999999</v>
      </c>
      <c r="V47" s="35">
        <f t="shared" si="14"/>
        <v>2932.2883632955845</v>
      </c>
      <c r="W47" s="35">
        <f t="shared" si="15"/>
        <v>469.16613812729355</v>
      </c>
      <c r="X47" s="35">
        <f t="shared" si="16"/>
        <v>3401.4545014228779</v>
      </c>
      <c r="Y47" s="158"/>
      <c r="Z47" s="183" t="s">
        <v>206</v>
      </c>
      <c r="AA47" s="183" t="s">
        <v>207</v>
      </c>
      <c r="AB47" s="184" t="s">
        <v>237</v>
      </c>
      <c r="AC47" s="186">
        <v>3150</v>
      </c>
      <c r="AD47" s="180">
        <v>125.1</v>
      </c>
      <c r="AE47" s="162">
        <f>+S46-'C&amp;A'!I47-SINDICATO!O47</f>
        <v>0</v>
      </c>
      <c r="AF47" s="157" t="str">
        <f t="shared" si="30"/>
        <v>SI</v>
      </c>
      <c r="AG47" s="96" t="s">
        <v>104</v>
      </c>
      <c r="AH47" s="97" t="s">
        <v>105</v>
      </c>
      <c r="AI47" s="98">
        <v>1095.5999999999999</v>
      </c>
      <c r="AJ47" s="98">
        <v>0</v>
      </c>
      <c r="AK47" s="98">
        <v>0</v>
      </c>
      <c r="AL47" s="98">
        <v>0</v>
      </c>
      <c r="AM47" s="98">
        <v>0</v>
      </c>
      <c r="AN47" s="98">
        <v>0</v>
      </c>
      <c r="AO47" s="98">
        <v>1095.5999999999999</v>
      </c>
      <c r="AP47" s="98">
        <v>0</v>
      </c>
      <c r="AQ47" s="98">
        <v>0</v>
      </c>
      <c r="AR47" s="98">
        <v>0</v>
      </c>
      <c r="AS47" s="163">
        <v>-200.74</v>
      </c>
      <c r="AT47" s="163">
        <v>-141.59</v>
      </c>
      <c r="AU47" s="98">
        <v>59.15</v>
      </c>
      <c r="AV47" s="98">
        <v>0</v>
      </c>
      <c r="AW47" s="98">
        <v>0</v>
      </c>
      <c r="AX47" s="163">
        <v>-0.01</v>
      </c>
      <c r="AY47" s="98">
        <v>0</v>
      </c>
      <c r="AZ47" s="98">
        <v>0</v>
      </c>
      <c r="BA47" s="98">
        <v>-141.6</v>
      </c>
      <c r="BB47" s="98">
        <v>1237.2</v>
      </c>
      <c r="BC47" s="164">
        <f t="shared" si="31"/>
        <v>3275.1205678096517</v>
      </c>
      <c r="BD47" s="99">
        <f t="shared" si="19"/>
        <v>327.51205678096517</v>
      </c>
      <c r="BE47" s="99">
        <f t="shared" si="20"/>
        <v>0</v>
      </c>
      <c r="BF47" s="99"/>
      <c r="BG47" s="164">
        <v>3275.1</v>
      </c>
      <c r="BH47" s="164">
        <v>0</v>
      </c>
      <c r="BI47" s="165">
        <v>3275.1</v>
      </c>
      <c r="BJ47" s="157"/>
      <c r="BK47" s="157"/>
      <c r="BL47" s="157"/>
      <c r="BM47" s="157"/>
      <c r="BN47" s="164">
        <v>0</v>
      </c>
      <c r="BO47" s="157"/>
      <c r="BP47" s="164">
        <v>3275.1</v>
      </c>
      <c r="BQ47" s="166">
        <v>0</v>
      </c>
      <c r="BR47" s="157"/>
      <c r="BS47" s="157"/>
      <c r="BT47" s="157"/>
      <c r="BU47" s="157"/>
      <c r="BV47" s="157"/>
      <c r="BW47" s="157"/>
      <c r="BX47" s="69" t="s">
        <v>458</v>
      </c>
      <c r="BY47" s="167" t="s">
        <v>410</v>
      </c>
      <c r="BZ47" s="167" t="s">
        <v>411</v>
      </c>
      <c r="CA47" s="167" t="s">
        <v>412</v>
      </c>
      <c r="CB47" s="176"/>
      <c r="CC47" s="176"/>
      <c r="CD47" s="167" t="s">
        <v>413</v>
      </c>
      <c r="CE47" s="168"/>
      <c r="CF47" s="168"/>
      <c r="CG47" s="169">
        <v>1237.2399999999998</v>
      </c>
      <c r="CH47" s="168">
        <v>1262.7600000000002</v>
      </c>
      <c r="CI47" s="169">
        <f>+CG47+CH47</f>
        <v>2500</v>
      </c>
      <c r="CJ47" s="169"/>
      <c r="CK47" s="169"/>
      <c r="CL47" s="169"/>
      <c r="CM47" s="170"/>
      <c r="CN47" s="171">
        <f>SUM(CI47:CL47)-CM47</f>
        <v>2500</v>
      </c>
      <c r="CO47" s="169"/>
      <c r="CP47" s="172"/>
      <c r="CQ47" s="172"/>
      <c r="CR47" s="172"/>
      <c r="CS47" s="173"/>
      <c r="CT47" s="167">
        <v>0</v>
      </c>
      <c r="CU47" s="171">
        <f>+CN47-SUM(CO47:CT47)</f>
        <v>2500</v>
      </c>
      <c r="CV47" s="172">
        <f>IF(CN47&gt;4500,CN47*0.1,0)</f>
        <v>0</v>
      </c>
      <c r="CW47" s="171">
        <f>+CU47-CV47</f>
        <v>2500</v>
      </c>
      <c r="CX47" s="172">
        <f>IF(CN47&lt;4500,CN47*0.1,0)</f>
        <v>250</v>
      </c>
      <c r="CY47" s="172">
        <f>CG47*0.02</f>
        <v>24.744799999999998</v>
      </c>
      <c r="CZ47" s="171">
        <f>+CN47+CX47+CY47</f>
        <v>2774.7447999999999</v>
      </c>
      <c r="DA47" s="174"/>
      <c r="DB47" s="175">
        <f>+DA47-CW47</f>
        <v>-2500</v>
      </c>
      <c r="DC47" s="174"/>
      <c r="DD47" s="174"/>
      <c r="DE47" s="175">
        <f>+DC47+DD47-DA47</f>
        <v>0</v>
      </c>
      <c r="DF47" s="146">
        <v>2912923548</v>
      </c>
      <c r="DG47" s="146"/>
      <c r="DH47" s="146"/>
      <c r="DI47" s="146"/>
      <c r="DJ47" s="146"/>
      <c r="DK47" s="202">
        <f>+'C&amp;A'!I48+SINDICATO!E48</f>
        <v>2660.3763632955847</v>
      </c>
      <c r="DL47" s="142">
        <f t="shared" si="25"/>
        <v>0</v>
      </c>
      <c r="DM47" s="195">
        <f t="shared" si="26"/>
        <v>2660.3763632955847</v>
      </c>
      <c r="DN47" s="195">
        <f t="shared" si="27"/>
        <v>2660.3763632955847</v>
      </c>
      <c r="DO47" s="140">
        <f t="shared" si="28"/>
        <v>266.0376363295585</v>
      </c>
      <c r="DP47" s="140">
        <f t="shared" si="29"/>
        <v>0</v>
      </c>
      <c r="DQ47" s="157"/>
      <c r="DR47" s="157"/>
    </row>
    <row r="48" spans="1:122" ht="16.5" x14ac:dyDescent="0.3">
      <c r="A48" s="33" t="s">
        <v>106</v>
      </c>
      <c r="B48" s="34" t="s">
        <v>107</v>
      </c>
      <c r="C48" s="35">
        <v>3750</v>
      </c>
      <c r="D48" s="35">
        <v>0</v>
      </c>
      <c r="E48" s="35">
        <f t="shared" si="6"/>
        <v>0</v>
      </c>
      <c r="F48" s="35">
        <v>0</v>
      </c>
      <c r="G48" s="35">
        <v>0</v>
      </c>
      <c r="H48" s="35">
        <v>0</v>
      </c>
      <c r="I48" s="35">
        <v>0</v>
      </c>
      <c r="J48" s="197">
        <v>0</v>
      </c>
      <c r="K48" s="35">
        <v>0</v>
      </c>
      <c r="L48" s="35">
        <f t="shared" si="7"/>
        <v>0</v>
      </c>
      <c r="M48" s="35">
        <f t="shared" si="8"/>
        <v>0</v>
      </c>
      <c r="N48" s="35">
        <f t="shared" si="9"/>
        <v>0</v>
      </c>
      <c r="O48" s="35"/>
      <c r="P48" s="35">
        <f t="shared" si="10"/>
        <v>539.66999999999996</v>
      </c>
      <c r="Q48" s="35">
        <f t="shared" si="11"/>
        <v>0</v>
      </c>
      <c r="R48" s="35">
        <f t="shared" si="12"/>
        <v>3210.33</v>
      </c>
      <c r="S48" s="35">
        <f t="shared" si="13"/>
        <v>3750</v>
      </c>
      <c r="T48" s="35">
        <v>375</v>
      </c>
      <c r="U48" s="35">
        <f>+'C&amp;A'!E49*0.02</f>
        <v>21.911999999999999</v>
      </c>
      <c r="V48" s="35">
        <f t="shared" si="14"/>
        <v>4146.9120000000003</v>
      </c>
      <c r="W48" s="35">
        <f t="shared" si="15"/>
        <v>663.50592000000006</v>
      </c>
      <c r="X48" s="35">
        <f t="shared" si="16"/>
        <v>4810.4179199999999</v>
      </c>
      <c r="Y48" s="158"/>
      <c r="Z48" s="183" t="s">
        <v>208</v>
      </c>
      <c r="AA48" s="183" t="s">
        <v>209</v>
      </c>
      <c r="AB48" s="184" t="s">
        <v>262</v>
      </c>
      <c r="AC48" s="186">
        <v>3750</v>
      </c>
      <c r="AD48" s="162"/>
      <c r="AE48" s="162">
        <f>+S47-'C&amp;A'!I48-SINDICATO!O48</f>
        <v>0</v>
      </c>
      <c r="AF48" s="157" t="str">
        <f t="shared" si="30"/>
        <v>SI</v>
      </c>
      <c r="AG48" s="96" t="s">
        <v>108</v>
      </c>
      <c r="AH48" s="97" t="s">
        <v>109</v>
      </c>
      <c r="AI48" s="98">
        <v>1095.5999999999999</v>
      </c>
      <c r="AJ48" s="98">
        <v>0</v>
      </c>
      <c r="AK48" s="98">
        <v>0</v>
      </c>
      <c r="AL48" s="98">
        <v>0</v>
      </c>
      <c r="AM48" s="98">
        <v>0</v>
      </c>
      <c r="AN48" s="98">
        <v>0</v>
      </c>
      <c r="AO48" s="98">
        <v>1095.5999999999999</v>
      </c>
      <c r="AP48" s="98">
        <v>0</v>
      </c>
      <c r="AQ48" s="98">
        <v>0</v>
      </c>
      <c r="AR48" s="98">
        <v>0</v>
      </c>
      <c r="AS48" s="163">
        <v>-200.74</v>
      </c>
      <c r="AT48" s="163">
        <v>-141.59</v>
      </c>
      <c r="AU48" s="98">
        <v>59.15</v>
      </c>
      <c r="AV48" s="98">
        <v>0</v>
      </c>
      <c r="AW48" s="98">
        <v>0</v>
      </c>
      <c r="AX48" s="163">
        <v>-0.01</v>
      </c>
      <c r="AY48" s="98">
        <v>0</v>
      </c>
      <c r="AZ48" s="98">
        <v>0</v>
      </c>
      <c r="BA48" s="98">
        <v>-141.6</v>
      </c>
      <c r="BB48" s="98">
        <v>1237.2</v>
      </c>
      <c r="BC48" s="164">
        <f t="shared" si="31"/>
        <v>2660.3763632955847</v>
      </c>
      <c r="BD48" s="99">
        <f t="shared" si="19"/>
        <v>266.0376363295585</v>
      </c>
      <c r="BE48" s="99">
        <f t="shared" si="20"/>
        <v>0</v>
      </c>
      <c r="BF48" s="99"/>
      <c r="BG48" s="164">
        <v>14102.811000000002</v>
      </c>
      <c r="BH48" s="164">
        <v>1566.9790000000012</v>
      </c>
      <c r="BI48" s="165">
        <v>14102.811000000002</v>
      </c>
      <c r="BJ48" s="157"/>
      <c r="BK48" s="157"/>
      <c r="BL48" s="157"/>
      <c r="BM48" s="157"/>
      <c r="BN48" s="164">
        <v>0</v>
      </c>
      <c r="BO48" s="157"/>
      <c r="BP48" s="164">
        <v>14102.811000000002</v>
      </c>
      <c r="BQ48" s="166">
        <v>0</v>
      </c>
      <c r="BR48" s="157"/>
      <c r="BS48" s="157"/>
      <c r="BT48" s="157"/>
      <c r="BU48" s="157"/>
      <c r="BV48" s="157"/>
      <c r="BW48" s="157"/>
      <c r="BX48" s="69" t="s">
        <v>458</v>
      </c>
      <c r="BY48" s="167" t="s">
        <v>359</v>
      </c>
      <c r="BZ48" s="167" t="s">
        <v>408</v>
      </c>
      <c r="CA48" s="167" t="s">
        <v>409</v>
      </c>
      <c r="CB48" s="176"/>
      <c r="CC48" s="176"/>
      <c r="CD48" s="167" t="s">
        <v>262</v>
      </c>
      <c r="CE48" s="168"/>
      <c r="CF48" s="168"/>
      <c r="CG48" s="169">
        <v>1237.2399999999998</v>
      </c>
      <c r="CH48" s="168">
        <v>2512.7600000000002</v>
      </c>
      <c r="CI48" s="169">
        <f>+CG48+CH48</f>
        <v>3750</v>
      </c>
      <c r="CJ48" s="169"/>
      <c r="CK48" s="169"/>
      <c r="CL48" s="169"/>
      <c r="CM48" s="170"/>
      <c r="CN48" s="171">
        <f>SUM(CI48:CL48)-CM48</f>
        <v>3750</v>
      </c>
      <c r="CO48" s="169"/>
      <c r="CP48" s="172"/>
      <c r="CQ48" s="172"/>
      <c r="CR48" s="172"/>
      <c r="CS48" s="173"/>
      <c r="CT48" s="167">
        <f>395.88+143.79</f>
        <v>539.66999999999996</v>
      </c>
      <c r="CU48" s="171">
        <f>+CN48-SUM(CO48:CT48)</f>
        <v>3210.33</v>
      </c>
      <c r="CV48" s="172">
        <f>IF(CN48&gt;4500,CN48*0.1,0)</f>
        <v>0</v>
      </c>
      <c r="CW48" s="171">
        <f>+CU48-CV48</f>
        <v>3210.33</v>
      </c>
      <c r="CX48" s="172">
        <f>IF(CN48&lt;4500,CN48*0.1,0)</f>
        <v>375</v>
      </c>
      <c r="CY48" s="172">
        <f>CG48*0.02</f>
        <v>24.744799999999998</v>
      </c>
      <c r="CZ48" s="171">
        <f>+CN48+CX48+CY48</f>
        <v>4149.7448000000004</v>
      </c>
      <c r="DA48" s="174"/>
      <c r="DB48" s="175">
        <f>+DA48-CW48</f>
        <v>-3210.33</v>
      </c>
      <c r="DC48" s="174"/>
      <c r="DD48" s="174"/>
      <c r="DE48" s="175">
        <f>+DC48+DD48-DA48</f>
        <v>0</v>
      </c>
      <c r="DF48" s="146">
        <v>2934137264</v>
      </c>
      <c r="DG48" s="146"/>
      <c r="DH48" s="146"/>
      <c r="DI48" s="146"/>
      <c r="DJ48" s="146"/>
      <c r="DK48" s="202">
        <f>+'C&amp;A'!I49+SINDICATO!E49</f>
        <v>3750</v>
      </c>
      <c r="DL48" s="142">
        <f t="shared" si="25"/>
        <v>0</v>
      </c>
      <c r="DM48" s="195">
        <f t="shared" si="26"/>
        <v>3750</v>
      </c>
      <c r="DN48" s="195">
        <f t="shared" si="27"/>
        <v>3750</v>
      </c>
      <c r="DO48" s="140">
        <f t="shared" si="28"/>
        <v>375</v>
      </c>
      <c r="DP48" s="140">
        <f t="shared" si="29"/>
        <v>0</v>
      </c>
      <c r="DQ48" s="157"/>
      <c r="DR48" s="157"/>
    </row>
    <row r="49" spans="1:122" ht="16.5" x14ac:dyDescent="0.3">
      <c r="A49" s="33" t="s">
        <v>110</v>
      </c>
      <c r="B49" s="34" t="s">
        <v>111</v>
      </c>
      <c r="C49" s="35">
        <v>3000</v>
      </c>
      <c r="D49" s="35">
        <v>145.37389713135775</v>
      </c>
      <c r="E49" s="35">
        <f t="shared" si="6"/>
        <v>0</v>
      </c>
      <c r="F49" s="35">
        <v>0</v>
      </c>
      <c r="G49" s="35">
        <v>0</v>
      </c>
      <c r="H49" s="35">
        <v>0</v>
      </c>
      <c r="I49" s="35">
        <v>0</v>
      </c>
      <c r="J49" s="197">
        <v>0</v>
      </c>
      <c r="K49" s="35">
        <v>0</v>
      </c>
      <c r="L49" s="35">
        <f t="shared" si="7"/>
        <v>0</v>
      </c>
      <c r="M49" s="35">
        <f t="shared" si="8"/>
        <v>0</v>
      </c>
      <c r="N49" s="35">
        <f t="shared" si="9"/>
        <v>0</v>
      </c>
      <c r="O49" s="35"/>
      <c r="P49" s="35">
        <f t="shared" si="10"/>
        <v>0</v>
      </c>
      <c r="Q49" s="35">
        <f t="shared" si="11"/>
        <v>0</v>
      </c>
      <c r="R49" s="35">
        <f t="shared" si="12"/>
        <v>3145.3738971313578</v>
      </c>
      <c r="S49" s="35">
        <f t="shared" si="13"/>
        <v>3145.3738971313578</v>
      </c>
      <c r="T49" s="35">
        <v>300</v>
      </c>
      <c r="U49" s="35">
        <f>+'C&amp;A'!E50*0.02</f>
        <v>21.911999999999999</v>
      </c>
      <c r="V49" s="35">
        <f t="shared" si="14"/>
        <v>3467.2858971313576</v>
      </c>
      <c r="W49" s="35">
        <f t="shared" si="15"/>
        <v>554.76574354101729</v>
      </c>
      <c r="X49" s="35">
        <f t="shared" si="16"/>
        <v>4022.051640672375</v>
      </c>
      <c r="Y49" s="158"/>
      <c r="Z49" s="187" t="s">
        <v>210</v>
      </c>
      <c r="AA49" s="187" t="s">
        <v>160</v>
      </c>
      <c r="AB49" s="188" t="s">
        <v>33</v>
      </c>
      <c r="AC49" s="189">
        <v>2500</v>
      </c>
      <c r="AD49" s="162">
        <v>160.30000000000001</v>
      </c>
      <c r="AE49" s="162">
        <f>+S48-'C&amp;A'!I49-SINDICATO!O49</f>
        <v>539.67000000000007</v>
      </c>
      <c r="AF49" s="157" t="str">
        <f t="shared" si="30"/>
        <v>SI</v>
      </c>
      <c r="AG49" s="96" t="s">
        <v>106</v>
      </c>
      <c r="AH49" s="97" t="s">
        <v>107</v>
      </c>
      <c r="AI49" s="98">
        <v>1095.5999999999999</v>
      </c>
      <c r="AJ49" s="98">
        <v>0</v>
      </c>
      <c r="AK49" s="98">
        <v>0</v>
      </c>
      <c r="AL49" s="98">
        <v>0</v>
      </c>
      <c r="AM49" s="98">
        <v>0</v>
      </c>
      <c r="AN49" s="98">
        <v>0</v>
      </c>
      <c r="AO49" s="98">
        <v>1095.5999999999999</v>
      </c>
      <c r="AP49" s="98">
        <v>0</v>
      </c>
      <c r="AQ49" s="98">
        <v>0</v>
      </c>
      <c r="AR49" s="98">
        <v>0</v>
      </c>
      <c r="AS49" s="163">
        <v>-200.74</v>
      </c>
      <c r="AT49" s="163">
        <v>-141.59</v>
      </c>
      <c r="AU49" s="98">
        <v>59.15</v>
      </c>
      <c r="AV49" s="98">
        <v>0</v>
      </c>
      <c r="AW49" s="98">
        <v>0</v>
      </c>
      <c r="AX49" s="163">
        <v>-0.01</v>
      </c>
      <c r="AY49" s="98">
        <v>0</v>
      </c>
      <c r="AZ49" s="98">
        <v>0</v>
      </c>
      <c r="BA49" s="98">
        <v>-141.6</v>
      </c>
      <c r="BB49" s="98">
        <v>1237.2</v>
      </c>
      <c r="BC49" s="164">
        <f t="shared" si="31"/>
        <v>3210.33</v>
      </c>
      <c r="BD49" s="99">
        <f t="shared" si="19"/>
        <v>321.03300000000002</v>
      </c>
      <c r="BE49" s="99">
        <f t="shared" si="20"/>
        <v>0</v>
      </c>
      <c r="BF49" s="99"/>
      <c r="BG49" s="164">
        <v>8863.2630000000008</v>
      </c>
      <c r="BH49" s="164">
        <v>1380.6870000000008</v>
      </c>
      <c r="BI49" s="165">
        <v>8863.262999999999</v>
      </c>
      <c r="BJ49" s="157"/>
      <c r="BK49" s="157"/>
      <c r="BL49" s="157"/>
      <c r="BM49" s="157"/>
      <c r="BN49" s="164">
        <v>0</v>
      </c>
      <c r="BO49" s="157"/>
      <c r="BP49" s="164">
        <v>8863.2630000000008</v>
      </c>
      <c r="BQ49" s="166">
        <v>0</v>
      </c>
      <c r="BR49" s="157"/>
      <c r="BS49" s="157"/>
      <c r="BT49" s="157"/>
      <c r="BU49" s="157"/>
      <c r="BV49" s="157"/>
      <c r="BW49" s="157"/>
      <c r="BX49" s="69" t="s">
        <v>456</v>
      </c>
      <c r="BY49" s="167" t="s">
        <v>370</v>
      </c>
      <c r="BZ49" s="167" t="s">
        <v>110</v>
      </c>
      <c r="CA49" s="167" t="s">
        <v>414</v>
      </c>
      <c r="CB49" s="168"/>
      <c r="CC49" s="168"/>
      <c r="CD49" s="167" t="s">
        <v>415</v>
      </c>
      <c r="CE49" s="168" t="s">
        <v>344</v>
      </c>
      <c r="CF49" s="168"/>
      <c r="CG49" s="169">
        <v>1237.2399999999998</v>
      </c>
      <c r="CH49" s="168">
        <v>1762.7600000000002</v>
      </c>
      <c r="CI49" s="169">
        <f t="shared" si="0"/>
        <v>3000</v>
      </c>
      <c r="CJ49" s="169"/>
      <c r="CK49" s="169"/>
      <c r="CL49" s="169"/>
      <c r="CM49" s="170"/>
      <c r="CN49" s="171">
        <f t="shared" si="1"/>
        <v>3000</v>
      </c>
      <c r="CO49" s="169"/>
      <c r="CP49" s="172"/>
      <c r="CQ49" s="172"/>
      <c r="CR49" s="172"/>
      <c r="CS49" s="173"/>
      <c r="CT49" s="167">
        <v>0</v>
      </c>
      <c r="CU49" s="171">
        <f t="shared" si="21"/>
        <v>3000</v>
      </c>
      <c r="CV49" s="172">
        <f t="shared" si="2"/>
        <v>0</v>
      </c>
      <c r="CW49" s="171">
        <f t="shared" si="22"/>
        <v>3000</v>
      </c>
      <c r="CX49" s="172">
        <f t="shared" si="3"/>
        <v>300</v>
      </c>
      <c r="CY49" s="172">
        <f t="shared" si="4"/>
        <v>24.744799999999998</v>
      </c>
      <c r="CZ49" s="171">
        <f t="shared" si="5"/>
        <v>3324.7447999999999</v>
      </c>
      <c r="DA49" s="174"/>
      <c r="DB49" s="175">
        <f t="shared" si="23"/>
        <v>-3000</v>
      </c>
      <c r="DC49" s="174"/>
      <c r="DD49" s="174"/>
      <c r="DE49" s="175">
        <f t="shared" si="24"/>
        <v>0</v>
      </c>
      <c r="DF49" s="146">
        <v>2985396239</v>
      </c>
      <c r="DG49" s="146"/>
      <c r="DH49" s="146"/>
      <c r="DI49" s="146"/>
      <c r="DJ49" s="146"/>
      <c r="DK49" s="202">
        <f>+'C&amp;A'!I50+SINDICATO!E50</f>
        <v>3145.3738971313578</v>
      </c>
      <c r="DL49" s="142">
        <f t="shared" si="25"/>
        <v>0</v>
      </c>
      <c r="DM49" s="195">
        <f t="shared" si="26"/>
        <v>3145.3738971313578</v>
      </c>
      <c r="DN49" s="195">
        <f t="shared" si="27"/>
        <v>3145.3738971313578</v>
      </c>
      <c r="DO49" s="140">
        <f t="shared" si="28"/>
        <v>314.53738971313578</v>
      </c>
      <c r="DP49" s="140">
        <f t="shared" si="29"/>
        <v>0</v>
      </c>
      <c r="DQ49" s="157"/>
      <c r="DR49" s="157"/>
    </row>
    <row r="50" spans="1:122" ht="16.5" x14ac:dyDescent="0.3">
      <c r="A50" s="33" t="s">
        <v>112</v>
      </c>
      <c r="B50" s="34" t="s">
        <v>113</v>
      </c>
      <c r="C50" s="35">
        <v>4500</v>
      </c>
      <c r="D50" s="35">
        <v>0</v>
      </c>
      <c r="E50" s="35">
        <f t="shared" si="6"/>
        <v>0</v>
      </c>
      <c r="F50" s="35">
        <v>0</v>
      </c>
      <c r="G50" s="35">
        <v>0</v>
      </c>
      <c r="H50" s="35">
        <v>0</v>
      </c>
      <c r="I50" s="35">
        <v>0</v>
      </c>
      <c r="J50" s="197">
        <v>0</v>
      </c>
      <c r="K50" s="35">
        <v>0</v>
      </c>
      <c r="L50" s="35">
        <f t="shared" si="7"/>
        <v>0</v>
      </c>
      <c r="M50" s="35">
        <f t="shared" si="8"/>
        <v>0</v>
      </c>
      <c r="N50" s="35">
        <f t="shared" si="9"/>
        <v>117.81</v>
      </c>
      <c r="O50" s="35"/>
      <c r="P50" s="35">
        <f t="shared" si="10"/>
        <v>0</v>
      </c>
      <c r="Q50" s="35">
        <f t="shared" si="11"/>
        <v>0</v>
      </c>
      <c r="R50" s="35">
        <f t="shared" si="12"/>
        <v>4382.1899999999996</v>
      </c>
      <c r="S50" s="35">
        <f t="shared" si="13"/>
        <v>4382.1899999999996</v>
      </c>
      <c r="T50" s="35">
        <v>0</v>
      </c>
      <c r="U50" s="35">
        <f>+'C&amp;A'!E51*0.02</f>
        <v>21.911999999999999</v>
      </c>
      <c r="V50" s="35">
        <f t="shared" si="14"/>
        <v>4404.1019999999999</v>
      </c>
      <c r="W50" s="35">
        <f t="shared" si="15"/>
        <v>704.65631999999994</v>
      </c>
      <c r="X50" s="35">
        <f t="shared" si="16"/>
        <v>5108.7583199999999</v>
      </c>
      <c r="Y50" s="158"/>
      <c r="Z50" s="177" t="s">
        <v>211</v>
      </c>
      <c r="AA50" s="177" t="s">
        <v>212</v>
      </c>
      <c r="AB50" s="178" t="s">
        <v>271</v>
      </c>
      <c r="AC50" s="179">
        <v>3000</v>
      </c>
      <c r="AD50" s="162">
        <v>145.38</v>
      </c>
      <c r="AE50" s="162">
        <f>+S49-'C&amp;A'!I50-SINDICATO!O50</f>
        <v>0</v>
      </c>
      <c r="AF50" s="157" t="str">
        <f t="shared" si="30"/>
        <v>SI</v>
      </c>
      <c r="AG50" s="96" t="s">
        <v>110</v>
      </c>
      <c r="AH50" s="97" t="s">
        <v>111</v>
      </c>
      <c r="AI50" s="98">
        <v>1095.5999999999999</v>
      </c>
      <c r="AJ50" s="98">
        <v>0</v>
      </c>
      <c r="AK50" s="98">
        <v>0</v>
      </c>
      <c r="AL50" s="98">
        <v>0</v>
      </c>
      <c r="AM50" s="98">
        <v>0</v>
      </c>
      <c r="AN50" s="98">
        <v>0</v>
      </c>
      <c r="AO50" s="98">
        <v>1095.5999999999999</v>
      </c>
      <c r="AP50" s="98">
        <v>0</v>
      </c>
      <c r="AQ50" s="98">
        <v>0</v>
      </c>
      <c r="AR50" s="98">
        <v>0</v>
      </c>
      <c r="AS50" s="163">
        <v>-200.74</v>
      </c>
      <c r="AT50" s="163">
        <v>-141.59</v>
      </c>
      <c r="AU50" s="98">
        <v>59.15</v>
      </c>
      <c r="AV50" s="98">
        <v>0</v>
      </c>
      <c r="AW50" s="98">
        <v>0</v>
      </c>
      <c r="AX50" s="163">
        <v>-0.01</v>
      </c>
      <c r="AY50" s="98">
        <v>0</v>
      </c>
      <c r="AZ50" s="98">
        <v>0</v>
      </c>
      <c r="BA50" s="98">
        <v>-141.6</v>
      </c>
      <c r="BB50" s="98">
        <v>1237.2</v>
      </c>
      <c r="BC50" s="164">
        <f t="shared" si="31"/>
        <v>3145.3738971313578</v>
      </c>
      <c r="BD50" s="99">
        <f t="shared" si="19"/>
        <v>314.53738971313578</v>
      </c>
      <c r="BE50" s="99">
        <f t="shared" si="20"/>
        <v>0</v>
      </c>
      <c r="BF50" s="99"/>
      <c r="BG50" s="164">
        <v>3145.38</v>
      </c>
      <c r="BH50" s="164">
        <v>0</v>
      </c>
      <c r="BI50" s="165">
        <v>3145.38</v>
      </c>
      <c r="BJ50" s="157"/>
      <c r="BK50" s="157"/>
      <c r="BL50" s="157"/>
      <c r="BM50" s="157"/>
      <c r="BN50" s="164">
        <v>0</v>
      </c>
      <c r="BO50" s="157"/>
      <c r="BP50" s="164">
        <v>3145.38</v>
      </c>
      <c r="BQ50" s="166">
        <v>0</v>
      </c>
      <c r="BR50" s="157"/>
      <c r="BS50" s="157"/>
      <c r="BT50" s="157"/>
      <c r="BU50" s="157"/>
      <c r="BV50" s="157"/>
      <c r="BW50" s="157"/>
      <c r="BX50" s="69" t="s">
        <v>458</v>
      </c>
      <c r="BY50" s="167" t="s">
        <v>362</v>
      </c>
      <c r="BZ50" s="167" t="s">
        <v>112</v>
      </c>
      <c r="CA50" s="167" t="s">
        <v>416</v>
      </c>
      <c r="CB50" s="176"/>
      <c r="CC50" s="176"/>
      <c r="CD50" s="167" t="s">
        <v>244</v>
      </c>
      <c r="CE50" s="168"/>
      <c r="CF50" s="168"/>
      <c r="CG50" s="169">
        <v>1237.2399999999998</v>
      </c>
      <c r="CH50" s="168">
        <v>3262.76</v>
      </c>
      <c r="CI50" s="169">
        <f t="shared" si="0"/>
        <v>4500</v>
      </c>
      <c r="CJ50" s="169"/>
      <c r="CK50" s="169"/>
      <c r="CL50" s="169"/>
      <c r="CM50" s="170"/>
      <c r="CN50" s="171">
        <f t="shared" si="1"/>
        <v>4500</v>
      </c>
      <c r="CO50" s="169"/>
      <c r="CP50" s="172">
        <v>117.81</v>
      </c>
      <c r="CQ50" s="172"/>
      <c r="CR50" s="172"/>
      <c r="CS50" s="173"/>
      <c r="CT50" s="167">
        <v>0</v>
      </c>
      <c r="CU50" s="171">
        <f t="shared" si="21"/>
        <v>4382.1899999999996</v>
      </c>
      <c r="CV50" s="172">
        <f t="shared" si="2"/>
        <v>0</v>
      </c>
      <c r="CW50" s="171">
        <f t="shared" si="22"/>
        <v>4382.1899999999996</v>
      </c>
      <c r="CX50" s="172">
        <f t="shared" si="3"/>
        <v>0</v>
      </c>
      <c r="CY50" s="172">
        <f t="shared" si="4"/>
        <v>24.744799999999998</v>
      </c>
      <c r="CZ50" s="171">
        <f t="shared" si="5"/>
        <v>4524.7448000000004</v>
      </c>
      <c r="DA50" s="174"/>
      <c r="DB50" s="175">
        <f t="shared" si="23"/>
        <v>-4382.1899999999996</v>
      </c>
      <c r="DC50" s="174"/>
      <c r="DD50" s="174"/>
      <c r="DE50" s="175">
        <f t="shared" si="24"/>
        <v>0</v>
      </c>
      <c r="DF50" s="146">
        <v>2893013472</v>
      </c>
      <c r="DG50" s="146"/>
      <c r="DH50" s="146"/>
      <c r="DI50" s="146"/>
      <c r="DJ50" s="146"/>
      <c r="DK50" s="202">
        <f>+'C&amp;A'!I51+SINDICATO!E51</f>
        <v>4500</v>
      </c>
      <c r="DL50" s="142">
        <f t="shared" si="25"/>
        <v>0</v>
      </c>
      <c r="DM50" s="195">
        <f t="shared" si="26"/>
        <v>4500</v>
      </c>
      <c r="DN50" s="195">
        <f t="shared" si="27"/>
        <v>4500</v>
      </c>
      <c r="DO50" s="140">
        <f t="shared" si="28"/>
        <v>0</v>
      </c>
      <c r="DP50" s="140">
        <f t="shared" si="29"/>
        <v>0</v>
      </c>
      <c r="DQ50" s="157"/>
      <c r="DR50" s="157"/>
    </row>
    <row r="51" spans="1:122" ht="16.5" x14ac:dyDescent="0.3">
      <c r="A51" s="33" t="s">
        <v>114</v>
      </c>
      <c r="B51" s="34" t="s">
        <v>115</v>
      </c>
      <c r="C51" s="35">
        <v>3000</v>
      </c>
      <c r="D51" s="35">
        <v>145.37389713135775</v>
      </c>
      <c r="E51" s="35">
        <f t="shared" si="6"/>
        <v>0</v>
      </c>
      <c r="F51" s="35">
        <v>0</v>
      </c>
      <c r="G51" s="35">
        <v>0</v>
      </c>
      <c r="H51" s="35">
        <v>0</v>
      </c>
      <c r="I51" s="35">
        <v>0</v>
      </c>
      <c r="J51" s="197">
        <v>0</v>
      </c>
      <c r="K51" s="35">
        <v>0</v>
      </c>
      <c r="L51" s="35">
        <f t="shared" si="7"/>
        <v>0</v>
      </c>
      <c r="M51" s="35">
        <f t="shared" si="8"/>
        <v>0</v>
      </c>
      <c r="N51" s="35">
        <f t="shared" si="9"/>
        <v>0</v>
      </c>
      <c r="O51" s="35"/>
      <c r="P51" s="35">
        <f t="shared" si="10"/>
        <v>0</v>
      </c>
      <c r="Q51" s="35">
        <f t="shared" si="11"/>
        <v>0</v>
      </c>
      <c r="R51" s="35">
        <f t="shared" si="12"/>
        <v>3145.3738971313578</v>
      </c>
      <c r="S51" s="35">
        <f t="shared" si="13"/>
        <v>3145.3738971313578</v>
      </c>
      <c r="T51" s="35">
        <v>300</v>
      </c>
      <c r="U51" s="35">
        <f>+'C&amp;A'!E52*0.02</f>
        <v>21.911999999999999</v>
      </c>
      <c r="V51" s="35">
        <f t="shared" si="14"/>
        <v>3467.2858971313576</v>
      </c>
      <c r="W51" s="35">
        <f t="shared" si="15"/>
        <v>554.76574354101729</v>
      </c>
      <c r="X51" s="35">
        <f t="shared" si="16"/>
        <v>4022.051640672375</v>
      </c>
      <c r="Y51" s="158"/>
      <c r="Z51" s="177" t="s">
        <v>213</v>
      </c>
      <c r="AA51" s="177" t="s">
        <v>214</v>
      </c>
      <c r="AB51" s="178" t="s">
        <v>244</v>
      </c>
      <c r="AC51" s="190">
        <v>4500</v>
      </c>
      <c r="AD51" s="180"/>
      <c r="AE51" s="162">
        <f>+S50-'C&amp;A'!I51-SINDICATO!O51</f>
        <v>0</v>
      </c>
      <c r="AF51" s="157" t="str">
        <f t="shared" si="30"/>
        <v>SI</v>
      </c>
      <c r="AG51" s="96" t="s">
        <v>112</v>
      </c>
      <c r="AH51" s="97" t="s">
        <v>113</v>
      </c>
      <c r="AI51" s="98">
        <v>1095.5999999999999</v>
      </c>
      <c r="AJ51" s="98">
        <v>0</v>
      </c>
      <c r="AK51" s="98">
        <v>0</v>
      </c>
      <c r="AL51" s="98">
        <v>0</v>
      </c>
      <c r="AM51" s="98">
        <v>0</v>
      </c>
      <c r="AN51" s="98">
        <v>0</v>
      </c>
      <c r="AO51" s="98">
        <v>1095.5999999999999</v>
      </c>
      <c r="AP51" s="98">
        <v>0</v>
      </c>
      <c r="AQ51" s="98">
        <v>0</v>
      </c>
      <c r="AR51" s="98">
        <v>0</v>
      </c>
      <c r="AS51" s="163">
        <v>-200.74</v>
      </c>
      <c r="AT51" s="163">
        <v>-141.59</v>
      </c>
      <c r="AU51" s="98">
        <v>59.15</v>
      </c>
      <c r="AV51" s="98">
        <v>0</v>
      </c>
      <c r="AW51" s="98">
        <v>0</v>
      </c>
      <c r="AX51" s="163">
        <v>-0.01</v>
      </c>
      <c r="AY51" s="98">
        <v>0</v>
      </c>
      <c r="AZ51" s="98">
        <v>0</v>
      </c>
      <c r="BA51" s="98">
        <v>-141.6</v>
      </c>
      <c r="BB51" s="98">
        <v>1237.2</v>
      </c>
      <c r="BC51" s="164">
        <f t="shared" si="31"/>
        <v>4382.1899999999996</v>
      </c>
      <c r="BD51" s="99">
        <f t="shared" si="19"/>
        <v>438.21899999999999</v>
      </c>
      <c r="BE51" s="99">
        <f t="shared" si="20"/>
        <v>0</v>
      </c>
      <c r="BF51" s="99"/>
      <c r="BG51" s="164">
        <v>6709.3829999999998</v>
      </c>
      <c r="BH51" s="164">
        <v>745.48700000000008</v>
      </c>
      <c r="BI51" s="165">
        <v>6709.3829999999998</v>
      </c>
      <c r="BJ51" s="157"/>
      <c r="BK51" s="157"/>
      <c r="BL51" s="157"/>
      <c r="BM51" s="157"/>
      <c r="BN51" s="164">
        <v>0</v>
      </c>
      <c r="BO51" s="157"/>
      <c r="BP51" s="164">
        <v>6709.3829999999998</v>
      </c>
      <c r="BQ51" s="166">
        <v>0</v>
      </c>
      <c r="BR51" s="157"/>
      <c r="BS51" s="157"/>
      <c r="BT51" s="157"/>
      <c r="BU51" s="157"/>
      <c r="BV51" s="157"/>
      <c r="BW51" s="157"/>
      <c r="BX51" s="69" t="s">
        <v>458</v>
      </c>
      <c r="BY51" s="167" t="s">
        <v>341</v>
      </c>
      <c r="BZ51" s="167" t="s">
        <v>114</v>
      </c>
      <c r="CA51" s="167" t="s">
        <v>417</v>
      </c>
      <c r="CB51" s="176"/>
      <c r="CC51" s="176"/>
      <c r="CD51" s="167" t="s">
        <v>418</v>
      </c>
      <c r="CE51" s="168" t="s">
        <v>419</v>
      </c>
      <c r="CF51" s="168"/>
      <c r="CG51" s="169">
        <v>1237.2399999999998</v>
      </c>
      <c r="CH51" s="168">
        <f>1612.76+150</f>
        <v>1762.76</v>
      </c>
      <c r="CI51" s="169">
        <f t="shared" si="0"/>
        <v>3000</v>
      </c>
      <c r="CJ51" s="169"/>
      <c r="CK51" s="169"/>
      <c r="CL51" s="169"/>
      <c r="CM51" s="170"/>
      <c r="CN51" s="171">
        <f t="shared" si="1"/>
        <v>3000</v>
      </c>
      <c r="CO51" s="169"/>
      <c r="CP51" s="172"/>
      <c r="CQ51" s="172"/>
      <c r="CR51" s="172"/>
      <c r="CS51" s="173"/>
      <c r="CT51" s="167">
        <v>0</v>
      </c>
      <c r="CU51" s="171">
        <f t="shared" si="21"/>
        <v>3000</v>
      </c>
      <c r="CV51" s="172">
        <f t="shared" si="2"/>
        <v>0</v>
      </c>
      <c r="CW51" s="171">
        <f t="shared" si="22"/>
        <v>3000</v>
      </c>
      <c r="CX51" s="172">
        <f t="shared" si="3"/>
        <v>300</v>
      </c>
      <c r="CY51" s="172">
        <f t="shared" si="4"/>
        <v>24.744799999999998</v>
      </c>
      <c r="CZ51" s="171">
        <f t="shared" si="5"/>
        <v>3324.7447999999999</v>
      </c>
      <c r="DA51" s="174"/>
      <c r="DB51" s="175">
        <f t="shared" si="23"/>
        <v>-3000</v>
      </c>
      <c r="DC51" s="174"/>
      <c r="DD51" s="174"/>
      <c r="DE51" s="175">
        <f t="shared" si="24"/>
        <v>0</v>
      </c>
      <c r="DF51" s="146">
        <v>2836126510</v>
      </c>
      <c r="DG51" s="146"/>
      <c r="DH51" s="146"/>
      <c r="DI51" s="146"/>
      <c r="DJ51" s="146"/>
      <c r="DK51" s="202">
        <f>+'C&amp;A'!I52+SINDICATO!E52</f>
        <v>3145.3738971313578</v>
      </c>
      <c r="DL51" s="142">
        <f t="shared" si="25"/>
        <v>0</v>
      </c>
      <c r="DM51" s="195">
        <f t="shared" si="26"/>
        <v>3145.3738971313578</v>
      </c>
      <c r="DN51" s="195">
        <f t="shared" si="27"/>
        <v>3145.3738971313578</v>
      </c>
      <c r="DO51" s="140">
        <f t="shared" si="28"/>
        <v>314.53738971313578</v>
      </c>
      <c r="DP51" s="140">
        <f t="shared" si="29"/>
        <v>0</v>
      </c>
      <c r="DQ51" s="157"/>
      <c r="DR51" s="157"/>
    </row>
    <row r="52" spans="1:122" ht="16.5" x14ac:dyDescent="0.3">
      <c r="A52" s="33" t="s">
        <v>116</v>
      </c>
      <c r="B52" s="34" t="s">
        <v>117</v>
      </c>
      <c r="C52" s="35">
        <v>4500</v>
      </c>
      <c r="D52" s="35">
        <v>0</v>
      </c>
      <c r="E52" s="35">
        <f t="shared" si="6"/>
        <v>1500</v>
      </c>
      <c r="F52" s="35">
        <v>0</v>
      </c>
      <c r="G52" s="35">
        <v>0</v>
      </c>
      <c r="H52" s="35">
        <v>0</v>
      </c>
      <c r="I52" s="35">
        <v>0</v>
      </c>
      <c r="J52" s="197">
        <v>0</v>
      </c>
      <c r="K52" s="35">
        <v>0</v>
      </c>
      <c r="L52" s="35">
        <f t="shared" si="7"/>
        <v>0</v>
      </c>
      <c r="M52" s="35">
        <f t="shared" si="8"/>
        <v>0</v>
      </c>
      <c r="N52" s="35">
        <f t="shared" si="9"/>
        <v>0</v>
      </c>
      <c r="O52" s="35"/>
      <c r="P52" s="35">
        <f t="shared" si="10"/>
        <v>0</v>
      </c>
      <c r="Q52" s="35">
        <f t="shared" si="11"/>
        <v>600</v>
      </c>
      <c r="R52" s="35">
        <f t="shared" si="12"/>
        <v>5400</v>
      </c>
      <c r="S52" s="35">
        <f t="shared" si="13"/>
        <v>6000</v>
      </c>
      <c r="T52" s="35">
        <v>0</v>
      </c>
      <c r="U52" s="35">
        <f>+'C&amp;A'!E53*0.02</f>
        <v>21.911999999999999</v>
      </c>
      <c r="V52" s="35">
        <f t="shared" si="14"/>
        <v>6021.9120000000003</v>
      </c>
      <c r="W52" s="35">
        <f t="shared" si="15"/>
        <v>963.50592000000006</v>
      </c>
      <c r="X52" s="35">
        <f t="shared" si="16"/>
        <v>6985.4179199999999</v>
      </c>
      <c r="Y52" s="158"/>
      <c r="Z52" s="177" t="s">
        <v>215</v>
      </c>
      <c r="AA52" s="177" t="s">
        <v>245</v>
      </c>
      <c r="AB52" s="178" t="s">
        <v>242</v>
      </c>
      <c r="AC52" s="179">
        <v>2850</v>
      </c>
      <c r="AD52" s="180">
        <v>145.38</v>
      </c>
      <c r="AE52" s="162">
        <f>+S51-'C&amp;A'!I52-SINDICATO!O52</f>
        <v>0</v>
      </c>
      <c r="AF52" s="157" t="str">
        <f t="shared" si="30"/>
        <v>SI</v>
      </c>
      <c r="AG52" s="96" t="s">
        <v>114</v>
      </c>
      <c r="AH52" s="97" t="s">
        <v>115</v>
      </c>
      <c r="AI52" s="98">
        <v>1095.5999999999999</v>
      </c>
      <c r="AJ52" s="98">
        <v>0</v>
      </c>
      <c r="AK52" s="98">
        <v>0</v>
      </c>
      <c r="AL52" s="98">
        <v>0</v>
      </c>
      <c r="AM52" s="98">
        <v>0</v>
      </c>
      <c r="AN52" s="98">
        <v>0</v>
      </c>
      <c r="AO52" s="98">
        <v>1095.5999999999999</v>
      </c>
      <c r="AP52" s="98">
        <v>0</v>
      </c>
      <c r="AQ52" s="98">
        <v>0</v>
      </c>
      <c r="AR52" s="98">
        <v>0</v>
      </c>
      <c r="AS52" s="163">
        <v>-200.74</v>
      </c>
      <c r="AT52" s="163">
        <v>-141.59</v>
      </c>
      <c r="AU52" s="98">
        <v>59.15</v>
      </c>
      <c r="AV52" s="98">
        <v>0</v>
      </c>
      <c r="AW52" s="98">
        <v>0</v>
      </c>
      <c r="AX52" s="163">
        <v>-0.01</v>
      </c>
      <c r="AY52" s="98">
        <v>0</v>
      </c>
      <c r="AZ52" s="98">
        <v>0</v>
      </c>
      <c r="BA52" s="98">
        <v>-141.6</v>
      </c>
      <c r="BB52" s="98">
        <v>1237.2</v>
      </c>
      <c r="BC52" s="164">
        <f t="shared" si="31"/>
        <v>3145.3738971313578</v>
      </c>
      <c r="BD52" s="99">
        <f t="shared" si="19"/>
        <v>314.53738971313578</v>
      </c>
      <c r="BE52" s="99">
        <f t="shared" si="20"/>
        <v>0</v>
      </c>
      <c r="BF52" s="99"/>
      <c r="BG52" s="164">
        <v>2950.25</v>
      </c>
      <c r="BH52" s="164">
        <v>0</v>
      </c>
      <c r="BI52" s="165">
        <v>2950.25</v>
      </c>
      <c r="BJ52" s="157"/>
      <c r="BK52" s="157"/>
      <c r="BL52" s="157"/>
      <c r="BM52" s="157"/>
      <c r="BN52" s="164">
        <v>0</v>
      </c>
      <c r="BO52" s="157"/>
      <c r="BP52" s="164">
        <v>2950.25</v>
      </c>
      <c r="BQ52" s="166">
        <v>0</v>
      </c>
      <c r="BR52" s="157"/>
      <c r="BS52" s="157"/>
      <c r="BT52" s="157"/>
      <c r="BU52" s="157"/>
      <c r="BV52" s="157"/>
      <c r="BW52" s="157"/>
      <c r="BX52" s="69" t="s">
        <v>456</v>
      </c>
      <c r="BY52" s="167" t="s">
        <v>370</v>
      </c>
      <c r="BZ52" s="167" t="s">
        <v>116</v>
      </c>
      <c r="CA52" s="167" t="s">
        <v>420</v>
      </c>
      <c r="CB52" s="176"/>
      <c r="CC52" s="176"/>
      <c r="CD52" s="167" t="s">
        <v>356</v>
      </c>
      <c r="CE52" s="168"/>
      <c r="CF52" s="168"/>
      <c r="CG52" s="169">
        <v>1237.2399999999998</v>
      </c>
      <c r="CH52" s="168">
        <v>3262.76</v>
      </c>
      <c r="CI52" s="169">
        <f t="shared" si="0"/>
        <v>4500</v>
      </c>
      <c r="CJ52" s="169">
        <v>1500</v>
      </c>
      <c r="CK52" s="169"/>
      <c r="CL52" s="169"/>
      <c r="CM52" s="170"/>
      <c r="CN52" s="171">
        <f t="shared" si="1"/>
        <v>6000</v>
      </c>
      <c r="CO52" s="169"/>
      <c r="CP52" s="172"/>
      <c r="CQ52" s="172"/>
      <c r="CR52" s="172"/>
      <c r="CS52" s="173"/>
      <c r="CT52" s="167">
        <v>0</v>
      </c>
      <c r="CU52" s="171">
        <f t="shared" si="21"/>
        <v>6000</v>
      </c>
      <c r="CV52" s="172">
        <f t="shared" si="2"/>
        <v>600</v>
      </c>
      <c r="CW52" s="171">
        <f t="shared" si="22"/>
        <v>5400</v>
      </c>
      <c r="CX52" s="172">
        <f t="shared" si="3"/>
        <v>0</v>
      </c>
      <c r="CY52" s="172">
        <f t="shared" si="4"/>
        <v>24.744799999999998</v>
      </c>
      <c r="CZ52" s="171">
        <f t="shared" si="5"/>
        <v>6024.7448000000004</v>
      </c>
      <c r="DA52" s="174"/>
      <c r="DB52" s="175">
        <f t="shared" si="23"/>
        <v>-5400</v>
      </c>
      <c r="DC52" s="174"/>
      <c r="DD52" s="174"/>
      <c r="DE52" s="175">
        <f t="shared" si="24"/>
        <v>0</v>
      </c>
      <c r="DF52" s="146">
        <v>2894923057</v>
      </c>
      <c r="DG52" s="146"/>
      <c r="DH52" s="146"/>
      <c r="DI52" s="146"/>
      <c r="DJ52" s="146"/>
      <c r="DK52" s="202">
        <f>+'C&amp;A'!I53+SINDICATO!E53</f>
        <v>6000</v>
      </c>
      <c r="DL52" s="142">
        <f t="shared" si="25"/>
        <v>0</v>
      </c>
      <c r="DM52" s="195">
        <f t="shared" si="26"/>
        <v>6000</v>
      </c>
      <c r="DN52" s="195">
        <f t="shared" si="27"/>
        <v>6000</v>
      </c>
      <c r="DO52" s="140">
        <f t="shared" si="28"/>
        <v>0</v>
      </c>
      <c r="DP52" s="140">
        <f t="shared" si="29"/>
        <v>600</v>
      </c>
      <c r="DQ52" s="157"/>
      <c r="DR52" s="157"/>
    </row>
    <row r="53" spans="1:122" ht="16.5" x14ac:dyDescent="0.3">
      <c r="A53" s="33" t="s">
        <v>118</v>
      </c>
      <c r="B53" s="34" t="s">
        <v>119</v>
      </c>
      <c r="C53" s="35">
        <v>4000</v>
      </c>
      <c r="D53" s="35">
        <v>0</v>
      </c>
      <c r="E53" s="35">
        <f t="shared" si="6"/>
        <v>0</v>
      </c>
      <c r="F53" s="35">
        <v>0</v>
      </c>
      <c r="G53" s="35">
        <v>0</v>
      </c>
      <c r="H53" s="35">
        <v>0</v>
      </c>
      <c r="I53" s="35">
        <v>0</v>
      </c>
      <c r="J53" s="197">
        <v>0</v>
      </c>
      <c r="K53" s="35">
        <v>0</v>
      </c>
      <c r="L53" s="35">
        <f t="shared" si="7"/>
        <v>0</v>
      </c>
      <c r="M53" s="35">
        <f t="shared" si="8"/>
        <v>0</v>
      </c>
      <c r="N53" s="35">
        <f t="shared" si="9"/>
        <v>0</v>
      </c>
      <c r="O53" s="35"/>
      <c r="P53" s="35">
        <f t="shared" si="10"/>
        <v>1437.81</v>
      </c>
      <c r="Q53" s="35">
        <f t="shared" si="11"/>
        <v>0</v>
      </c>
      <c r="R53" s="35">
        <f t="shared" si="12"/>
        <v>2562.19</v>
      </c>
      <c r="S53" s="35">
        <f t="shared" si="13"/>
        <v>4000</v>
      </c>
      <c r="T53" s="35">
        <v>400</v>
      </c>
      <c r="U53" s="35">
        <f>+'C&amp;A'!E54*0.02</f>
        <v>21.911999999999999</v>
      </c>
      <c r="V53" s="35">
        <f t="shared" si="14"/>
        <v>4421.9120000000003</v>
      </c>
      <c r="W53" s="35">
        <f t="shared" si="15"/>
        <v>707.50592000000006</v>
      </c>
      <c r="X53" s="35">
        <f t="shared" si="16"/>
        <v>5129.4179199999999</v>
      </c>
      <c r="Y53" s="158"/>
      <c r="Z53" s="177" t="s">
        <v>216</v>
      </c>
      <c r="AA53" s="177" t="s">
        <v>214</v>
      </c>
      <c r="AB53" s="178" t="s">
        <v>238</v>
      </c>
      <c r="AC53" s="179">
        <v>4500</v>
      </c>
      <c r="AD53" s="162"/>
      <c r="AE53" s="162">
        <f>+S52-'C&amp;A'!I53-SINDICATO!O53</f>
        <v>600</v>
      </c>
      <c r="AF53" s="157" t="str">
        <f t="shared" si="30"/>
        <v>SI</v>
      </c>
      <c r="AG53" s="96" t="s">
        <v>116</v>
      </c>
      <c r="AH53" s="97" t="s">
        <v>117</v>
      </c>
      <c r="AI53" s="98">
        <v>1095.5999999999999</v>
      </c>
      <c r="AJ53" s="98">
        <v>0</v>
      </c>
      <c r="AK53" s="98">
        <v>0</v>
      </c>
      <c r="AL53" s="98">
        <v>0</v>
      </c>
      <c r="AM53" s="98">
        <v>0</v>
      </c>
      <c r="AN53" s="98">
        <v>0</v>
      </c>
      <c r="AO53" s="98">
        <v>1095.5999999999999</v>
      </c>
      <c r="AP53" s="98">
        <v>0</v>
      </c>
      <c r="AQ53" s="98">
        <v>0</v>
      </c>
      <c r="AR53" s="98">
        <v>0</v>
      </c>
      <c r="AS53" s="163">
        <v>-200.74</v>
      </c>
      <c r="AT53" s="163">
        <v>-141.59</v>
      </c>
      <c r="AU53" s="98">
        <v>59.15</v>
      </c>
      <c r="AV53" s="98">
        <v>0</v>
      </c>
      <c r="AW53" s="98">
        <v>0</v>
      </c>
      <c r="AX53" s="163">
        <v>-0.01</v>
      </c>
      <c r="AY53" s="98">
        <v>0</v>
      </c>
      <c r="AZ53" s="98">
        <v>0</v>
      </c>
      <c r="BA53" s="98">
        <v>-141.6</v>
      </c>
      <c r="BB53" s="98">
        <v>1237.2</v>
      </c>
      <c r="BC53" s="164">
        <f t="shared" si="31"/>
        <v>6000</v>
      </c>
      <c r="BD53" s="99">
        <f t="shared" si="19"/>
        <v>0</v>
      </c>
      <c r="BE53" s="99">
        <f t="shared" si="20"/>
        <v>600</v>
      </c>
      <c r="BF53" s="99"/>
      <c r="BG53" s="164">
        <v>4549.3829999999998</v>
      </c>
      <c r="BH53" s="164">
        <v>505.48700000000008</v>
      </c>
      <c r="BI53" s="165">
        <v>4549.3829999999998</v>
      </c>
      <c r="BJ53" s="157"/>
      <c r="BK53" s="157"/>
      <c r="BL53" s="157"/>
      <c r="BM53" s="157"/>
      <c r="BN53" s="164">
        <v>0</v>
      </c>
      <c r="BO53" s="157"/>
      <c r="BP53" s="164">
        <v>4549.3829999999998</v>
      </c>
      <c r="BQ53" s="166">
        <v>0</v>
      </c>
      <c r="BR53" s="157"/>
      <c r="BS53" s="157"/>
      <c r="BT53" s="157"/>
      <c r="BU53" s="157"/>
      <c r="BV53" s="157"/>
      <c r="BW53" s="157"/>
      <c r="BX53" s="69" t="s">
        <v>455</v>
      </c>
      <c r="BY53" s="167" t="s">
        <v>341</v>
      </c>
      <c r="BZ53" s="167" t="s">
        <v>118</v>
      </c>
      <c r="CA53" s="167" t="s">
        <v>421</v>
      </c>
      <c r="CB53" s="176"/>
      <c r="CC53" s="176"/>
      <c r="CD53" s="167" t="s">
        <v>238</v>
      </c>
      <c r="CE53" s="168" t="s">
        <v>344</v>
      </c>
      <c r="CF53" s="168"/>
      <c r="CG53" s="169">
        <v>1237.2399999999998</v>
      </c>
      <c r="CH53" s="168">
        <v>2762.76</v>
      </c>
      <c r="CI53" s="169">
        <f t="shared" si="0"/>
        <v>4000</v>
      </c>
      <c r="CJ53" s="169"/>
      <c r="CK53" s="169"/>
      <c r="CL53" s="169"/>
      <c r="CM53" s="170"/>
      <c r="CN53" s="171">
        <f t="shared" si="1"/>
        <v>4000</v>
      </c>
      <c r="CO53" s="169"/>
      <c r="CP53" s="172"/>
      <c r="CQ53" s="172"/>
      <c r="CR53" s="172"/>
      <c r="CS53" s="173"/>
      <c r="CT53" s="182">
        <f>1303.11+134.7</f>
        <v>1437.81</v>
      </c>
      <c r="CU53" s="171">
        <f t="shared" si="21"/>
        <v>2562.19</v>
      </c>
      <c r="CV53" s="172">
        <f t="shared" si="2"/>
        <v>0</v>
      </c>
      <c r="CW53" s="171">
        <f t="shared" si="22"/>
        <v>2562.19</v>
      </c>
      <c r="CX53" s="172">
        <f t="shared" si="3"/>
        <v>400</v>
      </c>
      <c r="CY53" s="172">
        <f t="shared" si="4"/>
        <v>24.744799999999998</v>
      </c>
      <c r="CZ53" s="171">
        <f t="shared" si="5"/>
        <v>4424.7448000000004</v>
      </c>
      <c r="DA53" s="174"/>
      <c r="DB53" s="175">
        <f t="shared" si="23"/>
        <v>-2562.19</v>
      </c>
      <c r="DC53" s="174"/>
      <c r="DD53" s="174"/>
      <c r="DE53" s="175">
        <f t="shared" si="24"/>
        <v>0</v>
      </c>
      <c r="DF53" s="146">
        <v>2914530241</v>
      </c>
      <c r="DG53" s="146"/>
      <c r="DH53" s="146"/>
      <c r="DI53" s="146"/>
      <c r="DJ53" s="146"/>
      <c r="DK53" s="202">
        <f>+'C&amp;A'!I54+SINDICATO!E54</f>
        <v>4000</v>
      </c>
      <c r="DL53" s="142">
        <f t="shared" si="25"/>
        <v>0</v>
      </c>
      <c r="DM53" s="195">
        <f t="shared" si="26"/>
        <v>4000</v>
      </c>
      <c r="DN53" s="195">
        <f t="shared" si="27"/>
        <v>4000</v>
      </c>
      <c r="DO53" s="140">
        <f t="shared" si="28"/>
        <v>400</v>
      </c>
      <c r="DP53" s="140">
        <f t="shared" si="29"/>
        <v>0</v>
      </c>
      <c r="DQ53" s="157"/>
      <c r="DR53" s="157"/>
    </row>
    <row r="54" spans="1:122" ht="16.5" x14ac:dyDescent="0.3">
      <c r="A54" s="33" t="s">
        <v>120</v>
      </c>
      <c r="B54" s="34" t="s">
        <v>121</v>
      </c>
      <c r="C54" s="35">
        <v>3250</v>
      </c>
      <c r="D54" s="35">
        <v>125.12056780965156</v>
      </c>
      <c r="E54" s="35">
        <f t="shared" si="6"/>
        <v>0</v>
      </c>
      <c r="F54" s="35">
        <v>0</v>
      </c>
      <c r="G54" s="35">
        <v>0</v>
      </c>
      <c r="H54" s="35">
        <v>0</v>
      </c>
      <c r="I54" s="35">
        <v>0</v>
      </c>
      <c r="J54" s="197">
        <v>0</v>
      </c>
      <c r="K54" s="35">
        <v>0</v>
      </c>
      <c r="L54" s="35">
        <f t="shared" si="7"/>
        <v>0</v>
      </c>
      <c r="M54" s="35">
        <f t="shared" si="8"/>
        <v>0</v>
      </c>
      <c r="N54" s="35">
        <f t="shared" si="9"/>
        <v>117.81</v>
      </c>
      <c r="O54" s="35"/>
      <c r="P54" s="35">
        <f t="shared" si="10"/>
        <v>1041.05</v>
      </c>
      <c r="Q54" s="35">
        <f t="shared" si="11"/>
        <v>0</v>
      </c>
      <c r="R54" s="35">
        <f t="shared" si="12"/>
        <v>2216.2605678096515</v>
      </c>
      <c r="S54" s="35">
        <f t="shared" si="13"/>
        <v>3257.3105678096517</v>
      </c>
      <c r="T54" s="35">
        <v>325</v>
      </c>
      <c r="U54" s="35">
        <f>+'C&amp;A'!E55*0.02</f>
        <v>21.911999999999999</v>
      </c>
      <c r="V54" s="35">
        <f t="shared" si="14"/>
        <v>3604.2225678096515</v>
      </c>
      <c r="W54" s="35">
        <f t="shared" si="15"/>
        <v>576.67561084954423</v>
      </c>
      <c r="X54" s="35">
        <f t="shared" si="16"/>
        <v>4180.8981786591958</v>
      </c>
      <c r="Y54" s="158"/>
      <c r="Z54" s="177" t="s">
        <v>217</v>
      </c>
      <c r="AA54" s="177" t="s">
        <v>218</v>
      </c>
      <c r="AB54" s="178" t="s">
        <v>238</v>
      </c>
      <c r="AC54" s="179">
        <v>400</v>
      </c>
      <c r="AD54" s="162"/>
      <c r="AE54" s="162">
        <f>+S53-'C&amp;A'!I54-SINDICATO!O54</f>
        <v>1437.81</v>
      </c>
      <c r="AF54" s="157" t="str">
        <f t="shared" si="30"/>
        <v>SI</v>
      </c>
      <c r="AG54" s="96" t="s">
        <v>118</v>
      </c>
      <c r="AH54" s="97" t="s">
        <v>119</v>
      </c>
      <c r="AI54" s="98">
        <v>1095.5999999999999</v>
      </c>
      <c r="AJ54" s="98">
        <v>0</v>
      </c>
      <c r="AK54" s="98">
        <v>0</v>
      </c>
      <c r="AL54" s="98">
        <v>0</v>
      </c>
      <c r="AM54" s="98">
        <v>0</v>
      </c>
      <c r="AN54" s="98">
        <v>0</v>
      </c>
      <c r="AO54" s="98">
        <v>1095.5999999999999</v>
      </c>
      <c r="AP54" s="98">
        <v>0</v>
      </c>
      <c r="AQ54" s="98">
        <v>0</v>
      </c>
      <c r="AR54" s="98">
        <v>0</v>
      </c>
      <c r="AS54" s="163">
        <v>-200.74</v>
      </c>
      <c r="AT54" s="163">
        <v>-141.59</v>
      </c>
      <c r="AU54" s="98">
        <v>59.15</v>
      </c>
      <c r="AV54" s="98">
        <v>0</v>
      </c>
      <c r="AW54" s="98">
        <v>0</v>
      </c>
      <c r="AX54" s="163">
        <v>-0.01</v>
      </c>
      <c r="AY54" s="98">
        <v>0</v>
      </c>
      <c r="AZ54" s="98">
        <v>0</v>
      </c>
      <c r="BA54" s="98">
        <v>-141.6</v>
      </c>
      <c r="BB54" s="98">
        <v>1237.2</v>
      </c>
      <c r="BC54" s="164">
        <f t="shared" si="31"/>
        <v>2562.19</v>
      </c>
      <c r="BD54" s="99">
        <f t="shared" si="19"/>
        <v>256.21899999999999</v>
      </c>
      <c r="BE54" s="99">
        <f t="shared" si="20"/>
        <v>0</v>
      </c>
      <c r="BF54" s="99"/>
      <c r="BG54" s="164">
        <v>2696.8900000000003</v>
      </c>
      <c r="BH54" s="164">
        <v>1303.1099999999999</v>
      </c>
      <c r="BI54" s="165">
        <v>2696.8900000000003</v>
      </c>
      <c r="BJ54" s="157"/>
      <c r="BK54" s="157"/>
      <c r="BL54" s="157"/>
      <c r="BM54" s="157"/>
      <c r="BN54" s="164">
        <v>0</v>
      </c>
      <c r="BO54" s="157"/>
      <c r="BP54" s="164">
        <v>2696.8900000000003</v>
      </c>
      <c r="BQ54" s="166">
        <v>0</v>
      </c>
      <c r="BR54" s="157"/>
      <c r="BS54" s="157"/>
      <c r="BT54" s="157"/>
      <c r="BU54" s="157"/>
      <c r="BV54" s="157"/>
      <c r="BW54" s="157"/>
      <c r="BX54" s="69" t="s">
        <v>456</v>
      </c>
      <c r="BY54" s="167" t="s">
        <v>370</v>
      </c>
      <c r="BZ54" s="167" t="s">
        <v>120</v>
      </c>
      <c r="CA54" s="167" t="s">
        <v>422</v>
      </c>
      <c r="CB54" s="176"/>
      <c r="CC54" s="176"/>
      <c r="CD54" s="167" t="s">
        <v>380</v>
      </c>
      <c r="CE54" s="168"/>
      <c r="CF54" s="168"/>
      <c r="CG54" s="169">
        <v>1237.2399999999998</v>
      </c>
      <c r="CH54" s="168">
        <v>2012.7600000000002</v>
      </c>
      <c r="CI54" s="169">
        <f t="shared" si="0"/>
        <v>3250</v>
      </c>
      <c r="CJ54" s="169"/>
      <c r="CK54" s="169"/>
      <c r="CL54" s="169"/>
      <c r="CM54" s="170"/>
      <c r="CN54" s="171">
        <f t="shared" si="1"/>
        <v>3250</v>
      </c>
      <c r="CO54" s="169"/>
      <c r="CP54" s="172">
        <v>117.81</v>
      </c>
      <c r="CQ54" s="172"/>
      <c r="CR54" s="172"/>
      <c r="CS54" s="173"/>
      <c r="CT54" s="182">
        <v>1041.05</v>
      </c>
      <c r="CU54" s="171">
        <f t="shared" si="21"/>
        <v>2091.1400000000003</v>
      </c>
      <c r="CV54" s="172">
        <f t="shared" si="2"/>
        <v>0</v>
      </c>
      <c r="CW54" s="171">
        <f t="shared" si="22"/>
        <v>2091.1400000000003</v>
      </c>
      <c r="CX54" s="172">
        <f t="shared" si="3"/>
        <v>325</v>
      </c>
      <c r="CY54" s="172">
        <f t="shared" si="4"/>
        <v>24.744799999999998</v>
      </c>
      <c r="CZ54" s="171">
        <f t="shared" si="5"/>
        <v>3599.7447999999999</v>
      </c>
      <c r="DA54" s="174"/>
      <c r="DB54" s="175">
        <f t="shared" si="23"/>
        <v>-2091.1400000000003</v>
      </c>
      <c r="DC54" s="174"/>
      <c r="DD54" s="174"/>
      <c r="DE54" s="175">
        <f t="shared" si="24"/>
        <v>0</v>
      </c>
      <c r="DF54" s="146">
        <v>1413691810</v>
      </c>
      <c r="DG54" s="146"/>
      <c r="DH54" s="146"/>
      <c r="DI54" s="146"/>
      <c r="DJ54" s="146"/>
      <c r="DK54" s="202">
        <f>+'C&amp;A'!I55+SINDICATO!E55</f>
        <v>3375.1205678096517</v>
      </c>
      <c r="DL54" s="142">
        <f t="shared" si="25"/>
        <v>0</v>
      </c>
      <c r="DM54" s="195">
        <f t="shared" si="26"/>
        <v>3375.1205678096517</v>
      </c>
      <c r="DN54" s="195">
        <f t="shared" si="27"/>
        <v>3375.1205678096517</v>
      </c>
      <c r="DO54" s="140">
        <f t="shared" si="28"/>
        <v>337.51205678096517</v>
      </c>
      <c r="DP54" s="140">
        <f t="shared" si="29"/>
        <v>0</v>
      </c>
      <c r="DQ54" s="157"/>
      <c r="DR54" s="157"/>
    </row>
    <row r="55" spans="1:122" ht="16.5" x14ac:dyDescent="0.3">
      <c r="A55" s="33" t="s">
        <v>122</v>
      </c>
      <c r="B55" s="34" t="s">
        <v>123</v>
      </c>
      <c r="C55" s="35">
        <v>2500</v>
      </c>
      <c r="D55" s="35">
        <v>125.12056780965156</v>
      </c>
      <c r="E55" s="35">
        <f t="shared" si="6"/>
        <v>720</v>
      </c>
      <c r="F55" s="35">
        <v>0</v>
      </c>
      <c r="G55" s="35">
        <v>0</v>
      </c>
      <c r="H55" s="35">
        <v>0</v>
      </c>
      <c r="I55" s="35">
        <v>0</v>
      </c>
      <c r="J55" s="197">
        <v>0</v>
      </c>
      <c r="K55" s="35">
        <v>0</v>
      </c>
      <c r="L55" s="35">
        <f t="shared" si="7"/>
        <v>0</v>
      </c>
      <c r="M55" s="35">
        <f t="shared" si="8"/>
        <v>0</v>
      </c>
      <c r="N55" s="35">
        <f t="shared" si="9"/>
        <v>76.56</v>
      </c>
      <c r="O55" s="35"/>
      <c r="P55" s="35">
        <f t="shared" si="10"/>
        <v>0</v>
      </c>
      <c r="Q55" s="35">
        <f t="shared" si="11"/>
        <v>0</v>
      </c>
      <c r="R55" s="35">
        <f t="shared" si="12"/>
        <v>3268.5605678096517</v>
      </c>
      <c r="S55" s="35">
        <f t="shared" si="13"/>
        <v>3268.5605678096517</v>
      </c>
      <c r="T55" s="35">
        <v>322</v>
      </c>
      <c r="U55" s="35">
        <f>+'C&amp;A'!E56*0.02</f>
        <v>21.911999999999999</v>
      </c>
      <c r="V55" s="35">
        <f t="shared" si="14"/>
        <v>3612.4725678096515</v>
      </c>
      <c r="W55" s="35">
        <f t="shared" si="15"/>
        <v>577.99561084954428</v>
      </c>
      <c r="X55" s="35">
        <f t="shared" si="16"/>
        <v>4190.4681786591955</v>
      </c>
      <c r="Y55" s="158"/>
      <c r="Z55" s="177" t="s">
        <v>219</v>
      </c>
      <c r="AA55" s="177" t="s">
        <v>220</v>
      </c>
      <c r="AB55" s="178" t="s">
        <v>239</v>
      </c>
      <c r="AC55" s="179">
        <v>3250</v>
      </c>
      <c r="AD55" s="162">
        <v>125.1</v>
      </c>
      <c r="AE55" s="162">
        <f>+S54-'C&amp;A'!I55-SINDICATO!O55</f>
        <v>1041.05</v>
      </c>
      <c r="AF55" s="157" t="str">
        <f t="shared" si="30"/>
        <v>SI</v>
      </c>
      <c r="AG55" s="96" t="s">
        <v>120</v>
      </c>
      <c r="AH55" s="97" t="s">
        <v>121</v>
      </c>
      <c r="AI55" s="98">
        <v>1095.5999999999999</v>
      </c>
      <c r="AJ55" s="98">
        <v>0</v>
      </c>
      <c r="AK55" s="98">
        <v>0</v>
      </c>
      <c r="AL55" s="98">
        <v>0</v>
      </c>
      <c r="AM55" s="98">
        <v>0</v>
      </c>
      <c r="AN55" s="98">
        <v>0</v>
      </c>
      <c r="AO55" s="98">
        <v>1095.5999999999999</v>
      </c>
      <c r="AP55" s="98">
        <v>0</v>
      </c>
      <c r="AQ55" s="98">
        <v>0</v>
      </c>
      <c r="AR55" s="98">
        <v>0</v>
      </c>
      <c r="AS55" s="163">
        <v>-200.74</v>
      </c>
      <c r="AT55" s="163">
        <v>-141.59</v>
      </c>
      <c r="AU55" s="98">
        <v>59.15</v>
      </c>
      <c r="AV55" s="98">
        <v>0</v>
      </c>
      <c r="AW55" s="98">
        <v>0</v>
      </c>
      <c r="AX55" s="163">
        <v>-0.01</v>
      </c>
      <c r="AY55" s="98">
        <v>0</v>
      </c>
      <c r="AZ55" s="98">
        <v>0</v>
      </c>
      <c r="BA55" s="98">
        <v>-141.6</v>
      </c>
      <c r="BB55" s="98">
        <v>1237.2</v>
      </c>
      <c r="BC55" s="164">
        <f t="shared" si="31"/>
        <v>2216.2605678096515</v>
      </c>
      <c r="BD55" s="99">
        <f t="shared" si="19"/>
        <v>221.62605678096517</v>
      </c>
      <c r="BE55" s="99">
        <f t="shared" si="20"/>
        <v>0</v>
      </c>
      <c r="BF55" s="99"/>
      <c r="BG55" s="164">
        <v>5923.7280000000001</v>
      </c>
      <c r="BH55" s="164">
        <v>1699.2420000000002</v>
      </c>
      <c r="BI55" s="165">
        <v>5923.7280000000001</v>
      </c>
      <c r="BJ55" s="157"/>
      <c r="BK55" s="157"/>
      <c r="BL55" s="157"/>
      <c r="BM55" s="157"/>
      <c r="BN55" s="164">
        <v>0</v>
      </c>
      <c r="BO55" s="157"/>
      <c r="BP55" s="164">
        <v>5923.7280000000001</v>
      </c>
      <c r="BQ55" s="166">
        <v>0</v>
      </c>
      <c r="BR55" s="157"/>
      <c r="BS55" s="157"/>
      <c r="BT55" s="157"/>
      <c r="BU55" s="157"/>
      <c r="BV55" s="157"/>
      <c r="BW55" s="157"/>
      <c r="BX55" s="69" t="s">
        <v>458</v>
      </c>
      <c r="BY55" s="167" t="s">
        <v>359</v>
      </c>
      <c r="BZ55" s="167" t="s">
        <v>423</v>
      </c>
      <c r="CA55" s="167" t="s">
        <v>424</v>
      </c>
      <c r="CB55" s="176"/>
      <c r="CC55" s="176"/>
      <c r="CD55" s="167" t="s">
        <v>264</v>
      </c>
      <c r="CE55" s="168"/>
      <c r="CF55" s="168"/>
      <c r="CG55" s="169">
        <v>1237.2399999999998</v>
      </c>
      <c r="CH55" s="168">
        <v>1262.7600000000002</v>
      </c>
      <c r="CI55" s="169">
        <f t="shared" si="0"/>
        <v>2500</v>
      </c>
      <c r="CJ55" s="169">
        <v>720</v>
      </c>
      <c r="CK55" s="169"/>
      <c r="CL55" s="169"/>
      <c r="CM55" s="170"/>
      <c r="CN55" s="171">
        <f t="shared" si="1"/>
        <v>3220</v>
      </c>
      <c r="CO55" s="169"/>
      <c r="CP55" s="172">
        <v>76.56</v>
      </c>
      <c r="CQ55" s="172"/>
      <c r="CR55" s="172"/>
      <c r="CS55" s="173"/>
      <c r="CT55" s="167">
        <v>0</v>
      </c>
      <c r="CU55" s="171">
        <f t="shared" si="21"/>
        <v>3143.44</v>
      </c>
      <c r="CV55" s="172">
        <f t="shared" si="2"/>
        <v>0</v>
      </c>
      <c r="CW55" s="171">
        <f t="shared" si="22"/>
        <v>3143.44</v>
      </c>
      <c r="CX55" s="172">
        <f t="shared" si="3"/>
        <v>322</v>
      </c>
      <c r="CY55" s="172">
        <f t="shared" si="4"/>
        <v>24.744799999999998</v>
      </c>
      <c r="CZ55" s="171">
        <f t="shared" si="5"/>
        <v>3566.7447999999999</v>
      </c>
      <c r="DA55" s="174"/>
      <c r="DB55" s="175">
        <f t="shared" si="23"/>
        <v>-3143.44</v>
      </c>
      <c r="DC55" s="174"/>
      <c r="DD55" s="174"/>
      <c r="DE55" s="175">
        <f t="shared" si="24"/>
        <v>0</v>
      </c>
      <c r="DF55" s="146">
        <v>2965106850</v>
      </c>
      <c r="DG55" s="146"/>
      <c r="DH55" s="175"/>
      <c r="DI55" s="146"/>
      <c r="DJ55" s="146"/>
      <c r="DK55" s="202">
        <f>+'C&amp;A'!I56+SINDICATO!E56</f>
        <v>3345.1205678096517</v>
      </c>
      <c r="DL55" s="142">
        <f t="shared" si="25"/>
        <v>0</v>
      </c>
      <c r="DM55" s="195">
        <f t="shared" si="26"/>
        <v>3345.1205678096517</v>
      </c>
      <c r="DN55" s="195">
        <f t="shared" si="27"/>
        <v>3345.1205678096517</v>
      </c>
      <c r="DO55" s="140">
        <f t="shared" si="28"/>
        <v>334.51205678096517</v>
      </c>
      <c r="DP55" s="140">
        <f t="shared" si="29"/>
        <v>0</v>
      </c>
      <c r="DQ55" s="157"/>
      <c r="DR55" s="157"/>
    </row>
    <row r="56" spans="1:122" ht="16.5" x14ac:dyDescent="0.3">
      <c r="A56" s="33" t="s">
        <v>124</v>
      </c>
      <c r="B56" s="34" t="s">
        <v>125</v>
      </c>
      <c r="C56" s="35">
        <v>3500</v>
      </c>
      <c r="D56" s="35">
        <v>125.12056780965156</v>
      </c>
      <c r="E56" s="35">
        <f t="shared" si="6"/>
        <v>0</v>
      </c>
      <c r="F56" s="35">
        <v>0</v>
      </c>
      <c r="G56" s="35">
        <v>0</v>
      </c>
      <c r="H56" s="35">
        <v>0</v>
      </c>
      <c r="I56" s="35">
        <v>0</v>
      </c>
      <c r="J56" s="197">
        <v>0</v>
      </c>
      <c r="K56" s="35">
        <v>0</v>
      </c>
      <c r="L56" s="35">
        <f t="shared" si="7"/>
        <v>0</v>
      </c>
      <c r="M56" s="35">
        <f t="shared" si="8"/>
        <v>0</v>
      </c>
      <c r="N56" s="35">
        <f t="shared" si="9"/>
        <v>0</v>
      </c>
      <c r="O56" s="35"/>
      <c r="P56" s="35">
        <f t="shared" si="10"/>
        <v>604.87</v>
      </c>
      <c r="Q56" s="35">
        <f t="shared" si="11"/>
        <v>0</v>
      </c>
      <c r="R56" s="35">
        <f t="shared" si="12"/>
        <v>3020.2505678096518</v>
      </c>
      <c r="S56" s="35">
        <f t="shared" si="13"/>
        <v>3625.1205678096517</v>
      </c>
      <c r="T56" s="35">
        <v>350</v>
      </c>
      <c r="U56" s="35">
        <f>+'C&amp;A'!E57*0.02</f>
        <v>21.911999999999999</v>
      </c>
      <c r="V56" s="35">
        <f t="shared" si="14"/>
        <v>3997.0325678096515</v>
      </c>
      <c r="W56" s="35">
        <f t="shared" si="15"/>
        <v>639.52521084954424</v>
      </c>
      <c r="X56" s="35">
        <f t="shared" si="16"/>
        <v>4636.5577786591957</v>
      </c>
      <c r="Y56" s="158"/>
      <c r="Z56" s="177" t="s">
        <v>221</v>
      </c>
      <c r="AA56" s="177" t="s">
        <v>20</v>
      </c>
      <c r="AB56" s="178" t="s">
        <v>264</v>
      </c>
      <c r="AC56" s="179">
        <v>2500</v>
      </c>
      <c r="AD56" s="162">
        <v>160.30000000000001</v>
      </c>
      <c r="AE56" s="162">
        <f>+S55-'C&amp;A'!I56-SINDICATO!O56</f>
        <v>0</v>
      </c>
      <c r="AF56" s="157" t="str">
        <f t="shared" si="30"/>
        <v>SI</v>
      </c>
      <c r="AG56" s="96" t="s">
        <v>122</v>
      </c>
      <c r="AH56" s="97" t="s">
        <v>123</v>
      </c>
      <c r="AI56" s="98">
        <v>1095.5999999999999</v>
      </c>
      <c r="AJ56" s="98">
        <v>0</v>
      </c>
      <c r="AK56" s="98">
        <v>0</v>
      </c>
      <c r="AL56" s="98">
        <v>0</v>
      </c>
      <c r="AM56" s="98">
        <v>0</v>
      </c>
      <c r="AN56" s="98">
        <v>0</v>
      </c>
      <c r="AO56" s="98">
        <v>1095.5999999999999</v>
      </c>
      <c r="AP56" s="98">
        <v>0</v>
      </c>
      <c r="AQ56" s="98">
        <v>0</v>
      </c>
      <c r="AR56" s="98">
        <v>0</v>
      </c>
      <c r="AS56" s="163">
        <v>-200.74</v>
      </c>
      <c r="AT56" s="163">
        <v>-141.59</v>
      </c>
      <c r="AU56" s="98">
        <v>59.15</v>
      </c>
      <c r="AV56" s="98">
        <v>0</v>
      </c>
      <c r="AW56" s="98">
        <v>0</v>
      </c>
      <c r="AX56" s="163">
        <v>-0.01</v>
      </c>
      <c r="AY56" s="98">
        <v>0</v>
      </c>
      <c r="AZ56" s="98">
        <v>0</v>
      </c>
      <c r="BA56" s="98">
        <v>-141.6</v>
      </c>
      <c r="BB56" s="98">
        <v>1237.2</v>
      </c>
      <c r="BC56" s="164">
        <f t="shared" si="31"/>
        <v>3268.5605678096517</v>
      </c>
      <c r="BD56" s="99">
        <f t="shared" si="19"/>
        <v>326.85605678096522</v>
      </c>
      <c r="BE56" s="99">
        <f t="shared" si="20"/>
        <v>0</v>
      </c>
      <c r="BF56" s="99"/>
      <c r="BG56" s="164">
        <v>3114.27</v>
      </c>
      <c r="BH56" s="164">
        <v>506.02999999999975</v>
      </c>
      <c r="BI56" s="165">
        <v>1674.2700000000004</v>
      </c>
      <c r="BJ56" s="157">
        <v>2180.3000000000002</v>
      </c>
      <c r="BK56" s="157">
        <v>1743.23</v>
      </c>
      <c r="BL56" s="157">
        <v>3620.3</v>
      </c>
      <c r="BM56" s="157">
        <v>-1440</v>
      </c>
      <c r="BN56" s="164">
        <v>0</v>
      </c>
      <c r="BO56" s="157"/>
      <c r="BP56" s="164">
        <v>3114.27</v>
      </c>
      <c r="BQ56" s="166">
        <v>0</v>
      </c>
      <c r="BR56" s="157"/>
      <c r="BS56" s="157"/>
      <c r="BT56" s="157"/>
      <c r="BU56" s="157"/>
      <c r="BV56" s="157"/>
      <c r="BW56" s="157"/>
      <c r="BX56" s="69" t="s">
        <v>455</v>
      </c>
      <c r="BY56" s="167" t="s">
        <v>338</v>
      </c>
      <c r="BZ56" s="167" t="s">
        <v>124</v>
      </c>
      <c r="CA56" s="167" t="s">
        <v>425</v>
      </c>
      <c r="CB56" s="176"/>
      <c r="CC56" s="176"/>
      <c r="CD56" s="167" t="s">
        <v>356</v>
      </c>
      <c r="CE56" s="168"/>
      <c r="CF56" s="168"/>
      <c r="CG56" s="169">
        <v>1237.2399999999998</v>
      </c>
      <c r="CH56" s="168">
        <v>2262.7600000000002</v>
      </c>
      <c r="CI56" s="169">
        <f t="shared" si="0"/>
        <v>3500</v>
      </c>
      <c r="CJ56" s="169"/>
      <c r="CK56" s="169"/>
      <c r="CL56" s="169"/>
      <c r="CM56" s="170"/>
      <c r="CN56" s="171">
        <f t="shared" si="1"/>
        <v>3500</v>
      </c>
      <c r="CO56" s="169"/>
      <c r="CP56" s="172"/>
      <c r="CQ56" s="172"/>
      <c r="CR56" s="172"/>
      <c r="CS56" s="173"/>
      <c r="CT56" s="167">
        <f>462.61+142.26</f>
        <v>604.87</v>
      </c>
      <c r="CU56" s="171">
        <f t="shared" si="21"/>
        <v>2895.13</v>
      </c>
      <c r="CV56" s="172">
        <f t="shared" si="2"/>
        <v>0</v>
      </c>
      <c r="CW56" s="171">
        <f t="shared" si="22"/>
        <v>2895.13</v>
      </c>
      <c r="CX56" s="172">
        <f t="shared" si="3"/>
        <v>350</v>
      </c>
      <c r="CY56" s="172">
        <f t="shared" si="4"/>
        <v>24.744799999999998</v>
      </c>
      <c r="CZ56" s="171">
        <f t="shared" si="5"/>
        <v>3874.7447999999999</v>
      </c>
      <c r="DA56" s="174"/>
      <c r="DB56" s="175">
        <f t="shared" si="23"/>
        <v>-2895.13</v>
      </c>
      <c r="DC56" s="174"/>
      <c r="DD56" s="174"/>
      <c r="DE56" s="175">
        <f t="shared" si="24"/>
        <v>0</v>
      </c>
      <c r="DF56" s="146">
        <v>2729733183</v>
      </c>
      <c r="DG56" s="146"/>
      <c r="DH56" s="146"/>
      <c r="DI56" s="146"/>
      <c r="DJ56" s="146"/>
      <c r="DK56" s="202">
        <f>+'C&amp;A'!I57+SINDICATO!E57</f>
        <v>3625.1205678096517</v>
      </c>
      <c r="DL56" s="142">
        <f t="shared" si="25"/>
        <v>0</v>
      </c>
      <c r="DM56" s="195">
        <f t="shared" si="26"/>
        <v>3625.1205678096517</v>
      </c>
      <c r="DN56" s="195">
        <f t="shared" si="27"/>
        <v>3625.1205678096517</v>
      </c>
      <c r="DO56" s="140">
        <f t="shared" si="28"/>
        <v>362.51205678096517</v>
      </c>
      <c r="DP56" s="140">
        <f t="shared" si="29"/>
        <v>0</v>
      </c>
      <c r="DQ56" s="157"/>
      <c r="DR56" s="157"/>
    </row>
    <row r="57" spans="1:122" ht="16.5" x14ac:dyDescent="0.3">
      <c r="A57" s="33" t="s">
        <v>126</v>
      </c>
      <c r="B57" s="34" t="s">
        <v>127</v>
      </c>
      <c r="C57" s="35">
        <v>2800</v>
      </c>
      <c r="D57" s="35">
        <v>145.37389713135775</v>
      </c>
      <c r="E57" s="35">
        <f t="shared" si="6"/>
        <v>0</v>
      </c>
      <c r="F57" s="35">
        <v>0</v>
      </c>
      <c r="G57" s="35">
        <v>0</v>
      </c>
      <c r="H57" s="35">
        <v>0</v>
      </c>
      <c r="I57" s="35">
        <v>0</v>
      </c>
      <c r="J57" s="197">
        <v>0</v>
      </c>
      <c r="K57" s="35">
        <v>0</v>
      </c>
      <c r="L57" s="35">
        <f t="shared" si="7"/>
        <v>0</v>
      </c>
      <c r="M57" s="35">
        <f t="shared" si="8"/>
        <v>0</v>
      </c>
      <c r="N57" s="35">
        <f t="shared" si="9"/>
        <v>0</v>
      </c>
      <c r="O57" s="35"/>
      <c r="P57" s="35">
        <f t="shared" si="10"/>
        <v>0</v>
      </c>
      <c r="Q57" s="35">
        <f t="shared" si="11"/>
        <v>0</v>
      </c>
      <c r="R57" s="35">
        <f t="shared" si="12"/>
        <v>2945.3738971313578</v>
      </c>
      <c r="S57" s="35">
        <f t="shared" si="13"/>
        <v>2945.3738971313578</v>
      </c>
      <c r="T57" s="35">
        <v>280</v>
      </c>
      <c r="U57" s="35">
        <f>+'C&amp;A'!E58*0.02</f>
        <v>21.911999999999999</v>
      </c>
      <c r="V57" s="35">
        <f t="shared" si="14"/>
        <v>3247.2858971313576</v>
      </c>
      <c r="W57" s="35">
        <f t="shared" si="15"/>
        <v>519.56574354101724</v>
      </c>
      <c r="X57" s="35">
        <f t="shared" si="16"/>
        <v>3766.8516406723747</v>
      </c>
      <c r="Y57" s="158"/>
      <c r="Z57" s="183" t="s">
        <v>222</v>
      </c>
      <c r="AA57" s="183" t="s">
        <v>223</v>
      </c>
      <c r="AB57" s="184" t="s">
        <v>239</v>
      </c>
      <c r="AC57" s="186">
        <v>3500</v>
      </c>
      <c r="AD57" s="180">
        <v>125.1</v>
      </c>
      <c r="AE57" s="162">
        <f>+S56-'C&amp;A'!I57-SINDICATO!O57</f>
        <v>604.86999999999989</v>
      </c>
      <c r="AF57" s="157" t="str">
        <f t="shared" si="30"/>
        <v>SI</v>
      </c>
      <c r="AG57" s="96" t="s">
        <v>124</v>
      </c>
      <c r="AH57" s="97" t="s">
        <v>125</v>
      </c>
      <c r="AI57" s="98">
        <v>1095.5999999999999</v>
      </c>
      <c r="AJ57" s="98">
        <v>0</v>
      </c>
      <c r="AK57" s="98">
        <v>0</v>
      </c>
      <c r="AL57" s="98">
        <v>0</v>
      </c>
      <c r="AM57" s="98">
        <v>0</v>
      </c>
      <c r="AN57" s="98">
        <v>0</v>
      </c>
      <c r="AO57" s="98">
        <v>1095.5999999999999</v>
      </c>
      <c r="AP57" s="98">
        <v>0</v>
      </c>
      <c r="AQ57" s="98">
        <v>0</v>
      </c>
      <c r="AR57" s="98">
        <v>0</v>
      </c>
      <c r="AS57" s="163">
        <v>-200.74</v>
      </c>
      <c r="AT57" s="163">
        <v>-141.59</v>
      </c>
      <c r="AU57" s="98">
        <v>59.15</v>
      </c>
      <c r="AV57" s="98">
        <v>0</v>
      </c>
      <c r="AW57" s="98">
        <v>0</v>
      </c>
      <c r="AX57" s="163">
        <v>-0.01</v>
      </c>
      <c r="AY57" s="98">
        <v>0</v>
      </c>
      <c r="AZ57" s="98">
        <v>0</v>
      </c>
      <c r="BA57" s="98">
        <v>-141.6</v>
      </c>
      <c r="BB57" s="98">
        <v>1237.2</v>
      </c>
      <c r="BC57" s="164">
        <f t="shared" si="31"/>
        <v>3020.2505678096518</v>
      </c>
      <c r="BD57" s="99">
        <f t="shared" si="19"/>
        <v>302.0250567809652</v>
      </c>
      <c r="BE57" s="99">
        <f t="shared" si="20"/>
        <v>0</v>
      </c>
      <c r="BF57" s="99"/>
      <c r="BG57" s="164">
        <v>15896.240999999998</v>
      </c>
      <c r="BH57" s="164">
        <v>2228.8590000000004</v>
      </c>
      <c r="BI57" s="165">
        <v>15896.240999999998</v>
      </c>
      <c r="BJ57" s="157"/>
      <c r="BK57" s="157"/>
      <c r="BL57" s="157"/>
      <c r="BM57" s="157"/>
      <c r="BN57" s="164">
        <v>0</v>
      </c>
      <c r="BO57" s="157"/>
      <c r="BP57" s="164">
        <v>15896.240999999998</v>
      </c>
      <c r="BQ57" s="166">
        <v>0</v>
      </c>
      <c r="BR57" s="157"/>
      <c r="BS57" s="157"/>
      <c r="BT57" s="157"/>
      <c r="BU57" s="157"/>
      <c r="BV57" s="157"/>
      <c r="BW57" s="157"/>
      <c r="BX57" s="69" t="s">
        <v>456</v>
      </c>
      <c r="BY57" s="167" t="s">
        <v>370</v>
      </c>
      <c r="BZ57" s="167" t="s">
        <v>426</v>
      </c>
      <c r="CA57" s="167" t="s">
        <v>427</v>
      </c>
      <c r="CB57" s="168"/>
      <c r="CC57" s="168"/>
      <c r="CD57" s="167" t="s">
        <v>428</v>
      </c>
      <c r="CE57" s="168" t="s">
        <v>344</v>
      </c>
      <c r="CF57" s="168"/>
      <c r="CG57" s="169">
        <v>1237.2399999999998</v>
      </c>
      <c r="CH57" s="168">
        <v>1562.7600000000002</v>
      </c>
      <c r="CI57" s="169">
        <f t="shared" si="0"/>
        <v>2800</v>
      </c>
      <c r="CJ57" s="169"/>
      <c r="CK57" s="169"/>
      <c r="CL57" s="169"/>
      <c r="CM57" s="170"/>
      <c r="CN57" s="171">
        <f t="shared" si="1"/>
        <v>2800</v>
      </c>
      <c r="CO57" s="169"/>
      <c r="CP57" s="172"/>
      <c r="CQ57" s="172"/>
      <c r="CR57" s="172"/>
      <c r="CS57" s="173"/>
      <c r="CT57" s="167">
        <v>0</v>
      </c>
      <c r="CU57" s="171">
        <f t="shared" si="21"/>
        <v>2800</v>
      </c>
      <c r="CV57" s="172">
        <f t="shared" si="2"/>
        <v>0</v>
      </c>
      <c r="CW57" s="171">
        <f t="shared" si="22"/>
        <v>2800</v>
      </c>
      <c r="CX57" s="172">
        <f t="shared" si="3"/>
        <v>280</v>
      </c>
      <c r="CY57" s="172">
        <f t="shared" si="4"/>
        <v>24.744799999999998</v>
      </c>
      <c r="CZ57" s="171">
        <f t="shared" si="5"/>
        <v>3104.7447999999999</v>
      </c>
      <c r="DA57" s="174"/>
      <c r="DB57" s="175">
        <f t="shared" si="23"/>
        <v>-2800</v>
      </c>
      <c r="DC57" s="174"/>
      <c r="DD57" s="174"/>
      <c r="DE57" s="175">
        <f t="shared" si="24"/>
        <v>0</v>
      </c>
      <c r="DF57" s="146">
        <v>2929389652</v>
      </c>
      <c r="DG57" s="146"/>
      <c r="DH57" s="146"/>
      <c r="DI57" s="146"/>
      <c r="DJ57" s="146"/>
      <c r="DK57" s="202">
        <f>+'C&amp;A'!I58+SINDICATO!E58</f>
        <v>2945.3738971313578</v>
      </c>
      <c r="DL57" s="142">
        <f t="shared" si="25"/>
        <v>0</v>
      </c>
      <c r="DM57" s="195">
        <f t="shared" si="26"/>
        <v>2945.3738971313578</v>
      </c>
      <c r="DN57" s="195">
        <f t="shared" si="27"/>
        <v>2945.3738971313578</v>
      </c>
      <c r="DO57" s="140">
        <f t="shared" si="28"/>
        <v>294.53738971313578</v>
      </c>
      <c r="DP57" s="140">
        <f t="shared" si="29"/>
        <v>0</v>
      </c>
      <c r="DQ57" s="157"/>
      <c r="DR57" s="157"/>
    </row>
    <row r="58" spans="1:122" ht="16.5" x14ac:dyDescent="0.3">
      <c r="A58" s="33" t="s">
        <v>128</v>
      </c>
      <c r="B58" s="34" t="s">
        <v>129</v>
      </c>
      <c r="C58" s="35">
        <v>6500</v>
      </c>
      <c r="D58" s="35">
        <v>0</v>
      </c>
      <c r="E58" s="35">
        <f t="shared" si="6"/>
        <v>0</v>
      </c>
      <c r="F58" s="35">
        <v>0</v>
      </c>
      <c r="G58" s="35">
        <v>0</v>
      </c>
      <c r="H58" s="35">
        <v>0</v>
      </c>
      <c r="I58" s="35">
        <v>0</v>
      </c>
      <c r="J58" s="197">
        <v>0</v>
      </c>
      <c r="K58" s="35">
        <v>0</v>
      </c>
      <c r="L58" s="35">
        <f t="shared" si="7"/>
        <v>0</v>
      </c>
      <c r="M58" s="35">
        <f t="shared" si="8"/>
        <v>0</v>
      </c>
      <c r="N58" s="35">
        <f t="shared" si="9"/>
        <v>0</v>
      </c>
      <c r="O58" s="35"/>
      <c r="P58" s="35">
        <f t="shared" si="10"/>
        <v>0</v>
      </c>
      <c r="Q58" s="35">
        <f t="shared" si="11"/>
        <v>650</v>
      </c>
      <c r="R58" s="35">
        <f t="shared" si="12"/>
        <v>5850</v>
      </c>
      <c r="S58" s="35">
        <f t="shared" si="13"/>
        <v>6500</v>
      </c>
      <c r="T58" s="35">
        <v>0</v>
      </c>
      <c r="U58" s="35">
        <f>+'C&amp;A'!E59*0.02</f>
        <v>21.911999999999999</v>
      </c>
      <c r="V58" s="35">
        <f t="shared" si="14"/>
        <v>6521.9120000000003</v>
      </c>
      <c r="W58" s="35">
        <f t="shared" si="15"/>
        <v>1043.5059200000001</v>
      </c>
      <c r="X58" s="35">
        <f t="shared" si="16"/>
        <v>7565.4179199999999</v>
      </c>
      <c r="Y58" s="158"/>
      <c r="Z58" s="183" t="s">
        <v>224</v>
      </c>
      <c r="AA58" s="183" t="s">
        <v>225</v>
      </c>
      <c r="AB58" s="184" t="s">
        <v>266</v>
      </c>
      <c r="AC58" s="186">
        <v>2800</v>
      </c>
      <c r="AD58" s="180">
        <v>145.38</v>
      </c>
      <c r="AE58" s="162">
        <f>+S57-'C&amp;A'!I58-SINDICATO!O58</f>
        <v>0</v>
      </c>
      <c r="AF58" s="157" t="str">
        <f t="shared" si="30"/>
        <v>SI</v>
      </c>
      <c r="AG58" s="96" t="s">
        <v>126</v>
      </c>
      <c r="AH58" s="97" t="s">
        <v>127</v>
      </c>
      <c r="AI58" s="98">
        <v>1095.5999999999999</v>
      </c>
      <c r="AJ58" s="98">
        <v>0</v>
      </c>
      <c r="AK58" s="98">
        <v>0</v>
      </c>
      <c r="AL58" s="98">
        <v>0</v>
      </c>
      <c r="AM58" s="98">
        <v>0</v>
      </c>
      <c r="AN58" s="98">
        <v>0</v>
      </c>
      <c r="AO58" s="98">
        <v>1095.5999999999999</v>
      </c>
      <c r="AP58" s="98">
        <v>0</v>
      </c>
      <c r="AQ58" s="98">
        <v>0</v>
      </c>
      <c r="AR58" s="98">
        <v>0</v>
      </c>
      <c r="AS58" s="163">
        <v>-200.74</v>
      </c>
      <c r="AT58" s="163">
        <v>-141.59</v>
      </c>
      <c r="AU58" s="98">
        <v>59.15</v>
      </c>
      <c r="AV58" s="98">
        <v>0</v>
      </c>
      <c r="AW58" s="98">
        <v>0</v>
      </c>
      <c r="AX58" s="163">
        <v>-0.01</v>
      </c>
      <c r="AY58" s="98">
        <v>0</v>
      </c>
      <c r="AZ58" s="98">
        <v>0</v>
      </c>
      <c r="BA58" s="98">
        <v>-141.6</v>
      </c>
      <c r="BB58" s="98">
        <v>1237.2</v>
      </c>
      <c r="BC58" s="164">
        <f t="shared" si="31"/>
        <v>2945.3738971313578</v>
      </c>
      <c r="BD58" s="99">
        <f t="shared" si="19"/>
        <v>294.53738971313578</v>
      </c>
      <c r="BE58" s="99">
        <f t="shared" si="20"/>
        <v>0</v>
      </c>
      <c r="BF58" s="99"/>
      <c r="BG58" s="164">
        <v>2945.38</v>
      </c>
      <c r="BH58" s="164">
        <v>0</v>
      </c>
      <c r="BI58" s="165">
        <v>2945.38</v>
      </c>
      <c r="BJ58" s="157"/>
      <c r="BK58" s="157"/>
      <c r="BL58" s="157"/>
      <c r="BM58" s="157"/>
      <c r="BN58" s="164">
        <v>0</v>
      </c>
      <c r="BO58" s="157"/>
      <c r="BP58" s="164">
        <v>2945.38</v>
      </c>
      <c r="BQ58" s="166">
        <v>0</v>
      </c>
      <c r="BR58" s="157"/>
      <c r="BS58" s="157"/>
      <c r="BT58" s="157"/>
      <c r="BU58" s="157"/>
      <c r="BV58" s="157"/>
      <c r="BW58" s="157"/>
      <c r="BX58" s="69" t="s">
        <v>457</v>
      </c>
      <c r="BY58" s="167" t="s">
        <v>359</v>
      </c>
      <c r="BZ58" s="167" t="s">
        <v>128</v>
      </c>
      <c r="CA58" s="167" t="s">
        <v>429</v>
      </c>
      <c r="CB58" s="176"/>
      <c r="CC58" s="176"/>
      <c r="CD58" s="167" t="s">
        <v>265</v>
      </c>
      <c r="CE58" s="168" t="s">
        <v>344</v>
      </c>
      <c r="CF58" s="168"/>
      <c r="CG58" s="169">
        <v>1237.2399999999998</v>
      </c>
      <c r="CH58" s="168">
        <v>5262.76</v>
      </c>
      <c r="CI58" s="169">
        <f t="shared" si="0"/>
        <v>6500</v>
      </c>
      <c r="CJ58" s="169"/>
      <c r="CK58" s="169"/>
      <c r="CL58" s="169"/>
      <c r="CM58" s="170"/>
      <c r="CN58" s="171">
        <f t="shared" si="1"/>
        <v>6500</v>
      </c>
      <c r="CO58" s="169"/>
      <c r="CP58" s="172"/>
      <c r="CQ58" s="172"/>
      <c r="CR58" s="172"/>
      <c r="CS58" s="173"/>
      <c r="CT58" s="167">
        <v>0</v>
      </c>
      <c r="CU58" s="171">
        <f t="shared" si="21"/>
        <v>6500</v>
      </c>
      <c r="CV58" s="172">
        <f t="shared" si="2"/>
        <v>650</v>
      </c>
      <c r="CW58" s="171">
        <f t="shared" si="22"/>
        <v>5850</v>
      </c>
      <c r="CX58" s="172">
        <f t="shared" si="3"/>
        <v>0</v>
      </c>
      <c r="CY58" s="172">
        <f t="shared" si="4"/>
        <v>24.744799999999998</v>
      </c>
      <c r="CZ58" s="171">
        <f t="shared" si="5"/>
        <v>6524.7448000000004</v>
      </c>
      <c r="DA58" s="174"/>
      <c r="DB58" s="175">
        <f t="shared" si="23"/>
        <v>-5850</v>
      </c>
      <c r="DC58" s="174"/>
      <c r="DD58" s="174"/>
      <c r="DE58" s="175">
        <f t="shared" si="24"/>
        <v>0</v>
      </c>
      <c r="DF58" s="146" t="s">
        <v>430</v>
      </c>
      <c r="DG58" s="146"/>
      <c r="DH58" s="146"/>
      <c r="DI58" s="146"/>
      <c r="DJ58" s="146"/>
      <c r="DK58" s="202">
        <f>+'C&amp;A'!I59+SINDICATO!E59</f>
        <v>6500</v>
      </c>
      <c r="DL58" s="142">
        <f t="shared" si="25"/>
        <v>0</v>
      </c>
      <c r="DM58" s="195">
        <f t="shared" si="26"/>
        <v>6500</v>
      </c>
      <c r="DN58" s="195">
        <f t="shared" si="27"/>
        <v>6500</v>
      </c>
      <c r="DO58" s="140">
        <f t="shared" si="28"/>
        <v>0</v>
      </c>
      <c r="DP58" s="140">
        <f t="shared" si="29"/>
        <v>650</v>
      </c>
      <c r="DQ58" s="157"/>
      <c r="DR58" s="157"/>
    </row>
    <row r="59" spans="1:122" ht="16.5" x14ac:dyDescent="0.3">
      <c r="A59" s="33" t="s">
        <v>130</v>
      </c>
      <c r="B59" s="34" t="s">
        <v>131</v>
      </c>
      <c r="C59" s="35">
        <v>3000</v>
      </c>
      <c r="D59" s="35">
        <v>145.37389713135775</v>
      </c>
      <c r="E59" s="35">
        <f t="shared" si="6"/>
        <v>0</v>
      </c>
      <c r="F59" s="35">
        <v>0</v>
      </c>
      <c r="G59" s="35">
        <v>0</v>
      </c>
      <c r="H59" s="35">
        <v>0</v>
      </c>
      <c r="I59" s="35">
        <v>0</v>
      </c>
      <c r="J59" s="197">
        <v>0</v>
      </c>
      <c r="K59" s="35">
        <v>0</v>
      </c>
      <c r="L59" s="35">
        <f t="shared" si="7"/>
        <v>0</v>
      </c>
      <c r="M59" s="35">
        <f t="shared" si="8"/>
        <v>0</v>
      </c>
      <c r="N59" s="35">
        <f t="shared" si="9"/>
        <v>117.81</v>
      </c>
      <c r="O59" s="35">
        <f>+(413.13+222.48)/2</f>
        <v>317.80500000000001</v>
      </c>
      <c r="P59" s="35">
        <f t="shared" si="10"/>
        <v>0</v>
      </c>
      <c r="Q59" s="35">
        <f t="shared" si="11"/>
        <v>0</v>
      </c>
      <c r="R59" s="35">
        <f t="shared" si="12"/>
        <v>2709.758897131358</v>
      </c>
      <c r="S59" s="35">
        <f t="shared" si="13"/>
        <v>3027.5638971313579</v>
      </c>
      <c r="T59" s="35">
        <v>300</v>
      </c>
      <c r="U59" s="35">
        <f>+'C&amp;A'!E60*0.02</f>
        <v>21.911999999999999</v>
      </c>
      <c r="V59" s="35">
        <f t="shared" si="14"/>
        <v>3349.4758971313577</v>
      </c>
      <c r="W59" s="35">
        <f t="shared" si="15"/>
        <v>535.91614354101728</v>
      </c>
      <c r="X59" s="35">
        <f t="shared" si="16"/>
        <v>3885.3920406723751</v>
      </c>
      <c r="Y59" s="158" t="s">
        <v>275</v>
      </c>
      <c r="Z59" s="183" t="s">
        <v>226</v>
      </c>
      <c r="AA59" s="183" t="s">
        <v>227</v>
      </c>
      <c r="AB59" s="184" t="s">
        <v>265</v>
      </c>
      <c r="AC59" s="186">
        <v>6500</v>
      </c>
      <c r="AD59" s="191"/>
      <c r="AE59" s="162">
        <f>+S58-'C&amp;A'!I59-SINDICATO!O59</f>
        <v>650</v>
      </c>
      <c r="AF59" s="157" t="str">
        <f t="shared" si="30"/>
        <v>SI</v>
      </c>
      <c r="AG59" s="96" t="s">
        <v>128</v>
      </c>
      <c r="AH59" s="97" t="s">
        <v>129</v>
      </c>
      <c r="AI59" s="98">
        <v>1095.5999999999999</v>
      </c>
      <c r="AJ59" s="98">
        <v>0</v>
      </c>
      <c r="AK59" s="98">
        <v>0</v>
      </c>
      <c r="AL59" s="98">
        <v>0</v>
      </c>
      <c r="AM59" s="98">
        <v>0</v>
      </c>
      <c r="AN59" s="98">
        <v>0</v>
      </c>
      <c r="AO59" s="98">
        <v>1095.5999999999999</v>
      </c>
      <c r="AP59" s="98">
        <v>0</v>
      </c>
      <c r="AQ59" s="98">
        <v>0</v>
      </c>
      <c r="AR59" s="98">
        <v>0</v>
      </c>
      <c r="AS59" s="163">
        <v>-200.74</v>
      </c>
      <c r="AT59" s="163">
        <v>-141.59</v>
      </c>
      <c r="AU59" s="98">
        <v>59.15</v>
      </c>
      <c r="AV59" s="98">
        <v>0</v>
      </c>
      <c r="AW59" s="98">
        <v>0</v>
      </c>
      <c r="AX59" s="163">
        <v>-0.01</v>
      </c>
      <c r="AY59" s="98">
        <v>0</v>
      </c>
      <c r="AZ59" s="98">
        <v>0</v>
      </c>
      <c r="BA59" s="98">
        <v>-141.6</v>
      </c>
      <c r="BB59" s="98">
        <v>1237.2</v>
      </c>
      <c r="BC59" s="164">
        <f t="shared" si="31"/>
        <v>6500</v>
      </c>
      <c r="BD59" s="99">
        <f t="shared" si="19"/>
        <v>0</v>
      </c>
      <c r="BE59" s="99">
        <f t="shared" si="20"/>
        <v>650</v>
      </c>
      <c r="BF59" s="99"/>
      <c r="BG59" s="164">
        <v>6709.3829999999998</v>
      </c>
      <c r="BH59" s="164">
        <v>745.48700000000008</v>
      </c>
      <c r="BI59" s="165">
        <v>6709.3829999999998</v>
      </c>
      <c r="BJ59" s="157"/>
      <c r="BK59" s="157"/>
      <c r="BL59" s="157"/>
      <c r="BM59" s="157"/>
      <c r="BN59" s="164">
        <v>0</v>
      </c>
      <c r="BO59" s="157"/>
      <c r="BP59" s="164">
        <v>6709.3829999999998</v>
      </c>
      <c r="BQ59" s="166">
        <v>0</v>
      </c>
      <c r="BR59" s="157"/>
      <c r="BS59" s="157"/>
      <c r="BT59" s="157"/>
      <c r="BU59" s="157"/>
      <c r="BV59" s="157"/>
      <c r="BW59" s="157"/>
      <c r="BX59" s="69" t="s">
        <v>459</v>
      </c>
      <c r="BY59" s="167" t="s">
        <v>341</v>
      </c>
      <c r="BZ59" s="167" t="s">
        <v>130</v>
      </c>
      <c r="CA59" s="167" t="s">
        <v>431</v>
      </c>
      <c r="CB59" s="176"/>
      <c r="CC59" s="176"/>
      <c r="CD59" s="167" t="s">
        <v>432</v>
      </c>
      <c r="CE59" s="168"/>
      <c r="CF59" s="168"/>
      <c r="CG59" s="169">
        <v>1237.2399999999998</v>
      </c>
      <c r="CH59" s="168">
        <v>1762.7600000000002</v>
      </c>
      <c r="CI59" s="169">
        <f t="shared" si="0"/>
        <v>3000</v>
      </c>
      <c r="CJ59" s="169"/>
      <c r="CK59" s="169"/>
      <c r="CL59" s="169"/>
      <c r="CM59" s="170"/>
      <c r="CN59" s="171">
        <f t="shared" si="1"/>
        <v>3000</v>
      </c>
      <c r="CO59" s="169"/>
      <c r="CP59" s="172">
        <v>117.81</v>
      </c>
      <c r="CQ59" s="172"/>
      <c r="CR59" s="172"/>
      <c r="CS59" s="173"/>
      <c r="CT59" s="167">
        <v>0</v>
      </c>
      <c r="CU59" s="171">
        <f t="shared" si="21"/>
        <v>2882.19</v>
      </c>
      <c r="CV59" s="172">
        <f t="shared" si="2"/>
        <v>0</v>
      </c>
      <c r="CW59" s="171">
        <f t="shared" si="22"/>
        <v>2882.19</v>
      </c>
      <c r="CX59" s="172">
        <f t="shared" si="3"/>
        <v>300</v>
      </c>
      <c r="CY59" s="172">
        <f t="shared" si="4"/>
        <v>24.744799999999998</v>
      </c>
      <c r="CZ59" s="171">
        <f t="shared" si="5"/>
        <v>3324.7447999999999</v>
      </c>
      <c r="DA59" s="174"/>
      <c r="DB59" s="175">
        <f t="shared" si="23"/>
        <v>-2882.19</v>
      </c>
      <c r="DC59" s="174"/>
      <c r="DD59" s="174"/>
      <c r="DE59" s="175">
        <f t="shared" si="24"/>
        <v>0</v>
      </c>
      <c r="DF59" s="146">
        <v>1405570565</v>
      </c>
      <c r="DG59" s="146"/>
      <c r="DH59" s="146"/>
      <c r="DI59" s="146"/>
      <c r="DJ59" s="146"/>
      <c r="DK59" s="202">
        <f>+'C&amp;A'!I60+SINDICATO!E60</f>
        <v>3145.3738971313578</v>
      </c>
      <c r="DL59" s="142">
        <f t="shared" si="25"/>
        <v>0</v>
      </c>
      <c r="DM59" s="195">
        <f t="shared" si="26"/>
        <v>3145.3738971313578</v>
      </c>
      <c r="DN59" s="195">
        <f t="shared" si="27"/>
        <v>3145.3738971313578</v>
      </c>
      <c r="DO59" s="140">
        <f t="shared" si="28"/>
        <v>314.53738971313578</v>
      </c>
      <c r="DP59" s="140">
        <f t="shared" si="29"/>
        <v>0</v>
      </c>
      <c r="DQ59" s="157"/>
      <c r="DR59" s="157"/>
    </row>
    <row r="60" spans="1:122" ht="16.5" x14ac:dyDescent="0.3">
      <c r="A60" s="33" t="s">
        <v>132</v>
      </c>
      <c r="B60" s="34" t="s">
        <v>133</v>
      </c>
      <c r="C60" s="35">
        <v>4000</v>
      </c>
      <c r="D60" s="35">
        <v>0</v>
      </c>
      <c r="E60" s="35">
        <f t="shared" si="6"/>
        <v>0</v>
      </c>
      <c r="F60" s="35">
        <f>+(C60/15)*0.25*6</f>
        <v>400</v>
      </c>
      <c r="G60" s="35">
        <v>0</v>
      </c>
      <c r="H60" s="35">
        <v>0</v>
      </c>
      <c r="I60" s="35">
        <v>0</v>
      </c>
      <c r="J60" s="197">
        <v>0</v>
      </c>
      <c r="K60" s="35">
        <v>0</v>
      </c>
      <c r="L60" s="35">
        <f t="shared" si="7"/>
        <v>0</v>
      </c>
      <c r="M60" s="35">
        <f t="shared" si="8"/>
        <v>0</v>
      </c>
      <c r="N60" s="35">
        <f t="shared" si="9"/>
        <v>0</v>
      </c>
      <c r="O60" s="35"/>
      <c r="P60" s="35">
        <f>+CT60</f>
        <v>1967.75</v>
      </c>
      <c r="Q60" s="35">
        <f t="shared" si="11"/>
        <v>0</v>
      </c>
      <c r="R60" s="35">
        <f t="shared" si="12"/>
        <v>2432.25</v>
      </c>
      <c r="S60" s="35">
        <f t="shared" si="13"/>
        <v>4400</v>
      </c>
      <c r="T60" s="35">
        <v>440</v>
      </c>
      <c r="U60" s="35">
        <f>+'C&amp;A'!E61*0.02</f>
        <v>21.911999999999999</v>
      </c>
      <c r="V60" s="35">
        <f t="shared" si="14"/>
        <v>4861.9120000000003</v>
      </c>
      <c r="W60" s="35">
        <f t="shared" si="15"/>
        <v>777.90592000000004</v>
      </c>
      <c r="X60" s="35">
        <f t="shared" si="16"/>
        <v>5639.8179200000004</v>
      </c>
      <c r="Y60" s="158"/>
      <c r="Z60" s="183" t="s">
        <v>228</v>
      </c>
      <c r="AA60" s="183" t="s">
        <v>229</v>
      </c>
      <c r="AB60" s="184" t="s">
        <v>239</v>
      </c>
      <c r="AC60" s="186">
        <v>3000</v>
      </c>
      <c r="AD60" s="162">
        <v>145.38</v>
      </c>
      <c r="AE60" s="162">
        <f>+S59-'C&amp;A'!I60-SINDICATO!O60</f>
        <v>317.80500000000006</v>
      </c>
      <c r="AF60" s="157" t="str">
        <f t="shared" si="30"/>
        <v>SI</v>
      </c>
      <c r="AG60" s="96" t="s">
        <v>130</v>
      </c>
      <c r="AH60" s="97" t="s">
        <v>131</v>
      </c>
      <c r="AI60" s="98">
        <v>1095.5999999999999</v>
      </c>
      <c r="AJ60" s="98">
        <v>0</v>
      </c>
      <c r="AK60" s="98">
        <v>0</v>
      </c>
      <c r="AL60" s="98">
        <v>0</v>
      </c>
      <c r="AM60" s="98">
        <v>0</v>
      </c>
      <c r="AN60" s="98">
        <v>0</v>
      </c>
      <c r="AO60" s="98">
        <v>1095.5999999999999</v>
      </c>
      <c r="AP60" s="98">
        <v>0</v>
      </c>
      <c r="AQ60" s="98">
        <v>0</v>
      </c>
      <c r="AR60" s="98">
        <v>0</v>
      </c>
      <c r="AS60" s="163">
        <v>-200.74</v>
      </c>
      <c r="AT60" s="163">
        <v>-141.59</v>
      </c>
      <c r="AU60" s="98">
        <v>59.15</v>
      </c>
      <c r="AV60" s="98">
        <v>0</v>
      </c>
      <c r="AW60" s="98">
        <v>0</v>
      </c>
      <c r="AX60" s="163">
        <v>-0.01</v>
      </c>
      <c r="AY60" s="98">
        <v>0</v>
      </c>
      <c r="AZ60" s="98">
        <v>0</v>
      </c>
      <c r="BA60" s="98">
        <v>-141.6</v>
      </c>
      <c r="BB60" s="98">
        <v>1237.2</v>
      </c>
      <c r="BC60" s="164">
        <f t="shared" si="31"/>
        <v>3027.5638971313579</v>
      </c>
      <c r="BD60" s="99">
        <f t="shared" si="19"/>
        <v>302.75638971313577</v>
      </c>
      <c r="BE60" s="99">
        <f t="shared" si="20"/>
        <v>0</v>
      </c>
      <c r="BF60" s="99"/>
      <c r="BG60" s="164">
        <v>3145.38</v>
      </c>
      <c r="BH60" s="164">
        <v>0</v>
      </c>
      <c r="BI60" s="165">
        <v>3145.38</v>
      </c>
      <c r="BJ60" s="157"/>
      <c r="BK60" s="157"/>
      <c r="BL60" s="157"/>
      <c r="BM60" s="157"/>
      <c r="BN60" s="164">
        <v>0</v>
      </c>
      <c r="BO60" s="157"/>
      <c r="BP60" s="164">
        <v>3145.38</v>
      </c>
      <c r="BQ60" s="166">
        <v>0</v>
      </c>
      <c r="BR60" s="157"/>
      <c r="BS60" s="157"/>
      <c r="BT60" s="157"/>
      <c r="BU60" s="157"/>
      <c r="BV60" s="157"/>
      <c r="BW60" s="157"/>
      <c r="BX60" s="69" t="s">
        <v>457</v>
      </c>
      <c r="BY60" s="167" t="s">
        <v>346</v>
      </c>
      <c r="BZ60" s="167" t="s">
        <v>132</v>
      </c>
      <c r="CA60" s="167" t="s">
        <v>433</v>
      </c>
      <c r="CB60" s="176"/>
      <c r="CC60" s="176"/>
      <c r="CD60" s="167" t="s">
        <v>434</v>
      </c>
      <c r="CE60" s="168" t="s">
        <v>344</v>
      </c>
      <c r="CF60" s="168"/>
      <c r="CG60" s="169">
        <v>1237.2399999999998</v>
      </c>
      <c r="CH60" s="168">
        <v>2762.76</v>
      </c>
      <c r="CI60" s="169">
        <f t="shared" si="0"/>
        <v>4000</v>
      </c>
      <c r="CJ60" s="169"/>
      <c r="CK60" s="169"/>
      <c r="CL60" s="169"/>
      <c r="CM60" s="170"/>
      <c r="CN60" s="171">
        <f t="shared" si="1"/>
        <v>4000</v>
      </c>
      <c r="CO60" s="169"/>
      <c r="CP60" s="172"/>
      <c r="CQ60" s="172"/>
      <c r="CR60" s="172"/>
      <c r="CS60" s="173"/>
      <c r="CT60" s="182">
        <f>1309.77+657.98</f>
        <v>1967.75</v>
      </c>
      <c r="CU60" s="171">
        <f t="shared" si="21"/>
        <v>2032.25</v>
      </c>
      <c r="CV60" s="172">
        <f t="shared" si="2"/>
        <v>0</v>
      </c>
      <c r="CW60" s="171">
        <f t="shared" si="22"/>
        <v>2032.25</v>
      </c>
      <c r="CX60" s="172">
        <f t="shared" si="3"/>
        <v>400</v>
      </c>
      <c r="CY60" s="172">
        <f t="shared" si="4"/>
        <v>24.744799999999998</v>
      </c>
      <c r="CZ60" s="171">
        <f t="shared" si="5"/>
        <v>4424.7448000000004</v>
      </c>
      <c r="DA60" s="174"/>
      <c r="DB60" s="175">
        <f t="shared" si="23"/>
        <v>-2032.25</v>
      </c>
      <c r="DC60" s="174"/>
      <c r="DD60" s="174"/>
      <c r="DE60" s="175">
        <f t="shared" si="24"/>
        <v>0</v>
      </c>
      <c r="DF60" s="146">
        <v>2937082010</v>
      </c>
      <c r="DG60" s="145" t="s">
        <v>345</v>
      </c>
      <c r="DH60" s="146" t="s">
        <v>435</v>
      </c>
      <c r="DI60" s="146"/>
      <c r="DJ60" s="146"/>
      <c r="DK60" s="202">
        <f>+'C&amp;A'!I61+SINDICATO!E61</f>
        <v>4400</v>
      </c>
      <c r="DL60" s="142">
        <f t="shared" si="25"/>
        <v>0</v>
      </c>
      <c r="DM60" s="195">
        <f t="shared" si="26"/>
        <v>4400</v>
      </c>
      <c r="DN60" s="195">
        <f t="shared" si="27"/>
        <v>4400</v>
      </c>
      <c r="DO60" s="140">
        <f t="shared" si="28"/>
        <v>440</v>
      </c>
      <c r="DP60" s="140">
        <f t="shared" si="29"/>
        <v>0</v>
      </c>
      <c r="DQ60" s="157"/>
      <c r="DR60" s="157"/>
    </row>
    <row r="61" spans="1:122" ht="16.5" x14ac:dyDescent="0.3">
      <c r="A61" s="70" t="s">
        <v>283</v>
      </c>
      <c r="B61" s="34" t="s">
        <v>16</v>
      </c>
      <c r="C61" s="35">
        <v>5556</v>
      </c>
      <c r="D61" s="35">
        <v>0</v>
      </c>
      <c r="E61" s="35">
        <f t="shared" si="6"/>
        <v>0</v>
      </c>
      <c r="F61" s="35">
        <v>0</v>
      </c>
      <c r="G61" s="35">
        <v>0</v>
      </c>
      <c r="H61" s="35">
        <v>0</v>
      </c>
      <c r="I61" s="35">
        <v>0</v>
      </c>
      <c r="J61" s="197">
        <v>0</v>
      </c>
      <c r="K61" s="35">
        <v>0</v>
      </c>
      <c r="L61" s="35">
        <f t="shared" si="7"/>
        <v>0</v>
      </c>
      <c r="M61" s="35">
        <f t="shared" si="8"/>
        <v>0</v>
      </c>
      <c r="N61" s="35">
        <f t="shared" si="9"/>
        <v>0</v>
      </c>
      <c r="O61" s="35"/>
      <c r="P61" s="35">
        <f t="shared" si="10"/>
        <v>0</v>
      </c>
      <c r="Q61" s="35">
        <f t="shared" si="11"/>
        <v>555.6</v>
      </c>
      <c r="R61" s="35">
        <f t="shared" si="12"/>
        <v>5000.3999999999996</v>
      </c>
      <c r="S61" s="35">
        <f t="shared" si="13"/>
        <v>5556</v>
      </c>
      <c r="T61" s="35">
        <v>0</v>
      </c>
      <c r="U61" s="35">
        <f>+'C&amp;A'!E62*0.02</f>
        <v>21.911999999999999</v>
      </c>
      <c r="V61" s="35">
        <f t="shared" si="14"/>
        <v>5577.9120000000003</v>
      </c>
      <c r="W61" s="35">
        <f t="shared" si="15"/>
        <v>892.4659200000001</v>
      </c>
      <c r="X61" s="35">
        <f t="shared" si="16"/>
        <v>6470.3779200000008</v>
      </c>
      <c r="Y61" s="158"/>
      <c r="Z61" s="183" t="s">
        <v>230</v>
      </c>
      <c r="AA61" s="183" t="s">
        <v>231</v>
      </c>
      <c r="AB61" s="184" t="s">
        <v>246</v>
      </c>
      <c r="AC61" s="192">
        <v>4000</v>
      </c>
      <c r="AD61" s="180"/>
      <c r="AE61" s="162">
        <f>+S60-'C&amp;A'!I61-SINDICATO!O61</f>
        <v>1967.75</v>
      </c>
      <c r="AF61" s="157" t="str">
        <f t="shared" si="30"/>
        <v>SI</v>
      </c>
      <c r="AG61" s="96" t="s">
        <v>132</v>
      </c>
      <c r="AH61" s="97" t="s">
        <v>133</v>
      </c>
      <c r="AI61" s="98">
        <v>1095.5999999999999</v>
      </c>
      <c r="AJ61" s="98">
        <v>0</v>
      </c>
      <c r="AK61" s="98">
        <v>0</v>
      </c>
      <c r="AL61" s="98">
        <v>0</v>
      </c>
      <c r="AM61" s="98">
        <v>0</v>
      </c>
      <c r="AN61" s="98">
        <v>0</v>
      </c>
      <c r="AO61" s="98">
        <v>1095.5999999999999</v>
      </c>
      <c r="AP61" s="98">
        <v>0</v>
      </c>
      <c r="AQ61" s="98">
        <v>0</v>
      </c>
      <c r="AR61" s="98">
        <v>0</v>
      </c>
      <c r="AS61" s="163">
        <v>-200.74</v>
      </c>
      <c r="AT61" s="163">
        <v>-141.59</v>
      </c>
      <c r="AU61" s="98">
        <v>59.15</v>
      </c>
      <c r="AV61" s="98">
        <v>0</v>
      </c>
      <c r="AW61" s="98">
        <v>0</v>
      </c>
      <c r="AX61" s="98">
        <v>0.19</v>
      </c>
      <c r="AY61" s="98">
        <v>0</v>
      </c>
      <c r="AZ61" s="98">
        <v>0</v>
      </c>
      <c r="BA61" s="98">
        <v>-141.4</v>
      </c>
      <c r="BB61" s="98">
        <v>1237</v>
      </c>
      <c r="BC61" s="164">
        <f t="shared" si="31"/>
        <v>2432.25</v>
      </c>
      <c r="BD61" s="99">
        <f t="shared" si="19"/>
        <v>243.22500000000002</v>
      </c>
      <c r="BE61" s="99">
        <f t="shared" si="20"/>
        <v>0</v>
      </c>
      <c r="BF61" s="99"/>
      <c r="BG61" s="164">
        <v>2645.1</v>
      </c>
      <c r="BH61" s="164">
        <v>1309.77</v>
      </c>
      <c r="BI61" s="165">
        <v>2645.1</v>
      </c>
      <c r="BJ61" s="157"/>
      <c r="BK61" s="157"/>
      <c r="BL61" s="157"/>
      <c r="BM61" s="157"/>
      <c r="BN61" s="164">
        <v>0</v>
      </c>
      <c r="BO61" s="157"/>
      <c r="BP61" s="164">
        <v>2645.1</v>
      </c>
      <c r="BQ61" s="166">
        <v>0</v>
      </c>
      <c r="BR61" s="157"/>
      <c r="BS61" s="157"/>
      <c r="BT61" s="157"/>
      <c r="BU61" s="157"/>
      <c r="BV61" s="157"/>
      <c r="BW61" s="157"/>
      <c r="BX61" s="69" t="s">
        <v>457</v>
      </c>
      <c r="BY61" s="167" t="s">
        <v>341</v>
      </c>
      <c r="BZ61" s="167" t="s">
        <v>436</v>
      </c>
      <c r="CA61" s="167" t="s">
        <v>437</v>
      </c>
      <c r="CB61" s="176"/>
      <c r="CC61" s="176"/>
      <c r="CD61" s="167" t="s">
        <v>438</v>
      </c>
      <c r="CE61" s="168" t="s">
        <v>344</v>
      </c>
      <c r="CF61" s="168"/>
      <c r="CG61" s="169">
        <v>1237.2399999999998</v>
      </c>
      <c r="CH61" s="168">
        <f>3762.76+500+56</f>
        <v>4318.76</v>
      </c>
      <c r="CI61" s="169">
        <f t="shared" si="0"/>
        <v>5556</v>
      </c>
      <c r="CJ61" s="169"/>
      <c r="CK61" s="169"/>
      <c r="CL61" s="169"/>
      <c r="CM61" s="170"/>
      <c r="CN61" s="171">
        <f t="shared" si="1"/>
        <v>5556</v>
      </c>
      <c r="CO61" s="169"/>
      <c r="CP61" s="172"/>
      <c r="CQ61" s="172"/>
      <c r="CR61" s="172"/>
      <c r="CS61" s="173"/>
      <c r="CT61" s="167">
        <v>0</v>
      </c>
      <c r="CU61" s="171">
        <f t="shared" si="21"/>
        <v>5556</v>
      </c>
      <c r="CV61" s="172">
        <f t="shared" si="2"/>
        <v>555.6</v>
      </c>
      <c r="CW61" s="171">
        <f t="shared" si="22"/>
        <v>5000.3999999999996</v>
      </c>
      <c r="CX61" s="172">
        <f t="shared" si="3"/>
        <v>0</v>
      </c>
      <c r="CY61" s="172">
        <f t="shared" si="4"/>
        <v>24.744799999999998</v>
      </c>
      <c r="CZ61" s="171">
        <f t="shared" si="5"/>
        <v>5580.7448000000004</v>
      </c>
      <c r="DA61" s="174"/>
      <c r="DB61" s="175">
        <f t="shared" si="23"/>
        <v>-5000.3999999999996</v>
      </c>
      <c r="DC61" s="174"/>
      <c r="DD61" s="174"/>
      <c r="DE61" s="175">
        <f t="shared" si="24"/>
        <v>0</v>
      </c>
      <c r="DF61" s="146">
        <v>2952243423</v>
      </c>
      <c r="DG61" s="146"/>
      <c r="DH61" s="146"/>
      <c r="DI61" s="146"/>
      <c r="DJ61" s="146"/>
      <c r="DK61" s="202">
        <f>+'C&amp;A'!I62+SINDICATO!E62</f>
        <v>5556</v>
      </c>
      <c r="DL61" s="142">
        <f t="shared" si="25"/>
        <v>0</v>
      </c>
      <c r="DM61" s="195">
        <f t="shared" si="26"/>
        <v>5556</v>
      </c>
      <c r="DN61" s="195">
        <f t="shared" si="27"/>
        <v>5556</v>
      </c>
      <c r="DO61" s="140">
        <f t="shared" si="28"/>
        <v>0</v>
      </c>
      <c r="DP61" s="140">
        <f t="shared" si="29"/>
        <v>555.6</v>
      </c>
      <c r="DQ61" s="157"/>
      <c r="DR61" s="157"/>
    </row>
    <row r="62" spans="1:122" ht="16.5" x14ac:dyDescent="0.3">
      <c r="A62" s="33" t="s">
        <v>134</v>
      </c>
      <c r="B62" s="34" t="s">
        <v>135</v>
      </c>
      <c r="C62" s="35">
        <v>3125</v>
      </c>
      <c r="D62" s="35">
        <v>0</v>
      </c>
      <c r="E62" s="35">
        <f t="shared" si="6"/>
        <v>3810</v>
      </c>
      <c r="F62" s="35">
        <v>0</v>
      </c>
      <c r="G62" s="35">
        <v>0</v>
      </c>
      <c r="H62" s="35">
        <v>0</v>
      </c>
      <c r="I62" s="35">
        <v>0</v>
      </c>
      <c r="J62" s="197">
        <v>0</v>
      </c>
      <c r="K62" s="35">
        <v>0</v>
      </c>
      <c r="L62" s="35">
        <f t="shared" si="7"/>
        <v>0</v>
      </c>
      <c r="M62" s="35">
        <f t="shared" si="8"/>
        <v>0</v>
      </c>
      <c r="N62" s="35">
        <f t="shared" si="9"/>
        <v>0</v>
      </c>
      <c r="O62" s="35"/>
      <c r="P62" s="35">
        <f t="shared" si="10"/>
        <v>909.93</v>
      </c>
      <c r="Q62" s="35">
        <f t="shared" si="11"/>
        <v>693.5</v>
      </c>
      <c r="R62" s="35">
        <f t="shared" si="12"/>
        <v>5331.57</v>
      </c>
      <c r="S62" s="35">
        <f t="shared" si="13"/>
        <v>6935</v>
      </c>
      <c r="T62" s="35">
        <v>0</v>
      </c>
      <c r="U62" s="35">
        <f>+'C&amp;A'!E63*0.02</f>
        <v>21.911999999999999</v>
      </c>
      <c r="V62" s="35">
        <f t="shared" si="14"/>
        <v>6956.9120000000003</v>
      </c>
      <c r="W62" s="35">
        <f t="shared" si="15"/>
        <v>1113.10592</v>
      </c>
      <c r="X62" s="35">
        <f t="shared" si="16"/>
        <v>8070.0179200000002</v>
      </c>
      <c r="Y62" s="158"/>
      <c r="Z62" s="183" t="s">
        <v>232</v>
      </c>
      <c r="AA62" s="183" t="s">
        <v>233</v>
      </c>
      <c r="AB62" s="184" t="s">
        <v>270</v>
      </c>
      <c r="AC62" s="186">
        <v>3125</v>
      </c>
      <c r="AD62" s="162"/>
      <c r="AE62" s="162">
        <f>+S61-'C&amp;A'!I62-SINDICATO!O62</f>
        <v>555.59999999999991</v>
      </c>
      <c r="AF62" s="157" t="str">
        <f t="shared" si="30"/>
        <v>SI</v>
      </c>
      <c r="AG62" s="96" t="s">
        <v>283</v>
      </c>
      <c r="AH62" s="97" t="s">
        <v>16</v>
      </c>
      <c r="AI62" s="98">
        <v>1095.5999999999999</v>
      </c>
      <c r="AJ62" s="98">
        <v>0</v>
      </c>
      <c r="AK62" s="98">
        <v>0</v>
      </c>
      <c r="AL62" s="98">
        <v>0</v>
      </c>
      <c r="AM62" s="98">
        <v>0</v>
      </c>
      <c r="AN62" s="98">
        <v>0</v>
      </c>
      <c r="AO62" s="98">
        <v>1095.5999999999999</v>
      </c>
      <c r="AP62" s="98">
        <v>0</v>
      </c>
      <c r="AQ62" s="98">
        <v>0</v>
      </c>
      <c r="AR62" s="98">
        <v>0</v>
      </c>
      <c r="AS62" s="163">
        <v>-200.74</v>
      </c>
      <c r="AT62" s="163">
        <v>-141.59</v>
      </c>
      <c r="AU62" s="98">
        <v>59.15</v>
      </c>
      <c r="AV62" s="98">
        <v>0</v>
      </c>
      <c r="AW62" s="98">
        <v>0</v>
      </c>
      <c r="AX62" s="163">
        <v>-0.01</v>
      </c>
      <c r="AY62" s="98">
        <v>0</v>
      </c>
      <c r="AZ62" s="98">
        <v>0</v>
      </c>
      <c r="BA62" s="98">
        <v>-141.6</v>
      </c>
      <c r="BB62" s="98">
        <v>1237.2</v>
      </c>
      <c r="BC62" s="164">
        <f t="shared" si="31"/>
        <v>5556</v>
      </c>
      <c r="BD62" s="99">
        <f t="shared" si="19"/>
        <v>0</v>
      </c>
      <c r="BE62" s="99">
        <f t="shared" si="20"/>
        <v>555.6</v>
      </c>
      <c r="BF62" s="99"/>
      <c r="BG62" s="164">
        <v>5000</v>
      </c>
      <c r="BH62" s="164">
        <v>500</v>
      </c>
      <c r="BI62" s="165">
        <v>4500</v>
      </c>
      <c r="BJ62" s="157"/>
      <c r="BK62" s="157"/>
      <c r="BL62" s="157"/>
      <c r="BM62" s="157"/>
      <c r="BN62" s="164">
        <v>0</v>
      </c>
      <c r="BO62" s="157"/>
      <c r="BP62" s="164">
        <v>5000</v>
      </c>
      <c r="BQ62" s="166">
        <v>0</v>
      </c>
      <c r="BR62" s="157"/>
      <c r="BS62" s="157"/>
      <c r="BT62" s="157"/>
      <c r="BU62" s="157"/>
      <c r="BV62" s="157"/>
      <c r="BW62" s="157"/>
      <c r="BX62" s="69" t="s">
        <v>456</v>
      </c>
      <c r="BY62" s="167" t="s">
        <v>349</v>
      </c>
      <c r="BZ62" s="167" t="s">
        <v>134</v>
      </c>
      <c r="CA62" s="167" t="s">
        <v>439</v>
      </c>
      <c r="CB62" s="168"/>
      <c r="CC62" s="168"/>
      <c r="CD62" s="167" t="s">
        <v>270</v>
      </c>
      <c r="CE62" s="168"/>
      <c r="CF62" s="168"/>
      <c r="CG62" s="169">
        <v>1237.2399999999998</v>
      </c>
      <c r="CH62" s="168">
        <v>1887.7600000000002</v>
      </c>
      <c r="CI62" s="169">
        <f t="shared" si="0"/>
        <v>3125</v>
      </c>
      <c r="CJ62" s="169">
        <v>3810</v>
      </c>
      <c r="CK62" s="169"/>
      <c r="CL62" s="169"/>
      <c r="CM62" s="170"/>
      <c r="CN62" s="171">
        <f t="shared" si="1"/>
        <v>6935</v>
      </c>
      <c r="CO62" s="169"/>
      <c r="CP62" s="172"/>
      <c r="CQ62" s="172"/>
      <c r="CR62" s="172"/>
      <c r="CS62" s="173"/>
      <c r="CT62" s="167">
        <f>288.38+621.55</f>
        <v>909.93</v>
      </c>
      <c r="CU62" s="171">
        <f t="shared" si="21"/>
        <v>6025.07</v>
      </c>
      <c r="CV62" s="172">
        <f t="shared" si="2"/>
        <v>693.5</v>
      </c>
      <c r="CW62" s="171">
        <f t="shared" si="22"/>
        <v>5331.57</v>
      </c>
      <c r="CX62" s="172">
        <f t="shared" si="3"/>
        <v>0</v>
      </c>
      <c r="CY62" s="172">
        <f t="shared" si="4"/>
        <v>24.744799999999998</v>
      </c>
      <c r="CZ62" s="171">
        <f t="shared" si="5"/>
        <v>6959.7448000000004</v>
      </c>
      <c r="DA62" s="174"/>
      <c r="DB62" s="175">
        <f t="shared" si="23"/>
        <v>-5331.57</v>
      </c>
      <c r="DC62" s="174"/>
      <c r="DD62" s="174"/>
      <c r="DE62" s="175">
        <f t="shared" si="24"/>
        <v>0</v>
      </c>
      <c r="DF62" s="146">
        <v>1435597188</v>
      </c>
      <c r="DG62" s="146"/>
      <c r="DH62" s="146"/>
      <c r="DI62" s="146"/>
      <c r="DJ62" s="146"/>
      <c r="DK62" s="202">
        <f>+'C&amp;A'!I63+SINDICATO!E63</f>
        <v>6935</v>
      </c>
      <c r="DL62" s="142">
        <f t="shared" si="25"/>
        <v>0</v>
      </c>
      <c r="DM62" s="195">
        <f t="shared" si="26"/>
        <v>6935</v>
      </c>
      <c r="DN62" s="195">
        <f t="shared" si="27"/>
        <v>6935</v>
      </c>
      <c r="DO62" s="140">
        <f t="shared" si="28"/>
        <v>0</v>
      </c>
      <c r="DP62" s="140">
        <f t="shared" si="29"/>
        <v>693.5</v>
      </c>
      <c r="DQ62" s="193"/>
      <c r="DR62" s="193"/>
    </row>
    <row r="63" spans="1:122" s="36" customFormat="1" ht="16.5" x14ac:dyDescent="0.3">
      <c r="A63" s="33" t="s">
        <v>136</v>
      </c>
      <c r="B63" s="34" t="s">
        <v>137</v>
      </c>
      <c r="C63" s="35">
        <v>20000</v>
      </c>
      <c r="D63" s="35">
        <v>0</v>
      </c>
      <c r="E63" s="35">
        <f t="shared" si="6"/>
        <v>0</v>
      </c>
      <c r="F63" s="35">
        <v>0</v>
      </c>
      <c r="G63" s="35">
        <v>0</v>
      </c>
      <c r="H63" s="35">
        <v>0</v>
      </c>
      <c r="I63" s="35">
        <v>0</v>
      </c>
      <c r="J63" s="197">
        <v>0</v>
      </c>
      <c r="K63" s="35">
        <v>0</v>
      </c>
      <c r="L63" s="35">
        <f t="shared" si="7"/>
        <v>0</v>
      </c>
      <c r="M63" s="35">
        <f t="shared" si="8"/>
        <v>491.57</v>
      </c>
      <c r="N63" s="35">
        <f t="shared" si="9"/>
        <v>0</v>
      </c>
      <c r="O63" s="35"/>
      <c r="P63" s="35">
        <f t="shared" si="10"/>
        <v>120.42999999999999</v>
      </c>
      <c r="Q63" s="35">
        <f t="shared" si="11"/>
        <v>2000</v>
      </c>
      <c r="R63" s="35">
        <f t="shared" si="12"/>
        <v>17388</v>
      </c>
      <c r="S63" s="35">
        <f>+C63+D63+E63+F63+G63+H63+I63-J63-K63-L63-M63-N63</f>
        <v>19508.43</v>
      </c>
      <c r="T63" s="35">
        <v>0</v>
      </c>
      <c r="U63" s="35">
        <f>+'C&amp;A'!E64*0.02</f>
        <v>21.911999999999999</v>
      </c>
      <c r="V63" s="35">
        <f t="shared" si="14"/>
        <v>19530.342000000001</v>
      </c>
      <c r="W63" s="35">
        <f t="shared" si="15"/>
        <v>3124.8547200000003</v>
      </c>
      <c r="X63" s="35">
        <f t="shared" si="16"/>
        <v>22655.19672</v>
      </c>
      <c r="Y63" s="158"/>
      <c r="Z63" s="183" t="s">
        <v>248</v>
      </c>
      <c r="AA63" s="183" t="s">
        <v>234</v>
      </c>
      <c r="AB63" s="184" t="s">
        <v>236</v>
      </c>
      <c r="AC63" s="186">
        <v>5000</v>
      </c>
      <c r="AD63" s="162"/>
      <c r="AE63" s="162">
        <f>+S62-'C&amp;A'!I63-SINDICATO!O63</f>
        <v>1603.4299999999998</v>
      </c>
      <c r="AF63" s="157" t="str">
        <f t="shared" si="30"/>
        <v>SI</v>
      </c>
      <c r="AG63" s="96" t="s">
        <v>134</v>
      </c>
      <c r="AH63" s="97" t="s">
        <v>135</v>
      </c>
      <c r="AI63" s="98">
        <v>1095.5999999999999</v>
      </c>
      <c r="AJ63" s="98">
        <v>0</v>
      </c>
      <c r="AK63" s="98">
        <v>0</v>
      </c>
      <c r="AL63" s="98">
        <v>0</v>
      </c>
      <c r="AM63" s="98">
        <v>0</v>
      </c>
      <c r="AN63" s="98">
        <v>0</v>
      </c>
      <c r="AO63" s="98">
        <v>1095.5999999999999</v>
      </c>
      <c r="AP63" s="98">
        <v>0</v>
      </c>
      <c r="AQ63" s="98">
        <v>0</v>
      </c>
      <c r="AR63" s="98">
        <v>0</v>
      </c>
      <c r="AS63" s="163">
        <v>-200.74</v>
      </c>
      <c r="AT63" s="163">
        <v>-141.59</v>
      </c>
      <c r="AU63" s="98">
        <v>59.15</v>
      </c>
      <c r="AV63" s="98">
        <v>0</v>
      </c>
      <c r="AW63" s="98">
        <v>0</v>
      </c>
      <c r="AX63" s="163">
        <v>-0.01</v>
      </c>
      <c r="AY63" s="98">
        <v>0</v>
      </c>
      <c r="AZ63" s="98">
        <v>0</v>
      </c>
      <c r="BA63" s="98">
        <v>-141.6</v>
      </c>
      <c r="BB63" s="98">
        <v>1237.2</v>
      </c>
      <c r="BC63" s="164">
        <f t="shared" si="31"/>
        <v>6025.07</v>
      </c>
      <c r="BD63" s="99">
        <f t="shared" si="19"/>
        <v>0</v>
      </c>
      <c r="BE63" s="99">
        <f t="shared" si="20"/>
        <v>602.50699999999995</v>
      </c>
      <c r="BF63" s="99"/>
      <c r="BG63" s="164">
        <v>6162.9480000000003</v>
      </c>
      <c r="BH63" s="164">
        <v>973.15200000000004</v>
      </c>
      <c r="BI63" s="165">
        <v>6162.9480000000003</v>
      </c>
      <c r="BJ63" s="193"/>
      <c r="BK63" s="193"/>
      <c r="BL63" s="193"/>
      <c r="BM63" s="193"/>
      <c r="BN63" s="164">
        <v>0</v>
      </c>
      <c r="BO63" s="193"/>
      <c r="BP63" s="164">
        <v>6162.9480000000003</v>
      </c>
      <c r="BQ63" s="166">
        <v>0</v>
      </c>
      <c r="BR63" s="193"/>
      <c r="BS63" s="193"/>
      <c r="BT63" s="193"/>
      <c r="BU63" s="193"/>
      <c r="BV63" s="193"/>
      <c r="BW63" s="193"/>
      <c r="BX63" s="69" t="s">
        <v>456</v>
      </c>
      <c r="BY63" s="167" t="s">
        <v>341</v>
      </c>
      <c r="BZ63" s="167" t="s">
        <v>136</v>
      </c>
      <c r="CA63" s="167" t="s">
        <v>440</v>
      </c>
      <c r="CB63" s="176"/>
      <c r="CC63" s="176"/>
      <c r="CD63" s="167" t="s">
        <v>441</v>
      </c>
      <c r="CE63" s="168"/>
      <c r="CF63" s="168"/>
      <c r="CG63" s="169">
        <v>1237.2399999999998</v>
      </c>
      <c r="CH63" s="168">
        <v>18762.760000000002</v>
      </c>
      <c r="CI63" s="169">
        <f t="shared" si="0"/>
        <v>20000</v>
      </c>
      <c r="CJ63" s="169"/>
      <c r="CK63" s="169"/>
      <c r="CL63" s="169"/>
      <c r="CM63" s="170"/>
      <c r="CN63" s="171">
        <f t="shared" si="1"/>
        <v>20000</v>
      </c>
      <c r="CO63" s="169"/>
      <c r="CP63" s="172"/>
      <c r="CQ63" s="172"/>
      <c r="CR63" s="172"/>
      <c r="CS63" s="167">
        <v>491.57</v>
      </c>
      <c r="CT63" s="167">
        <f>92.96+27.47</f>
        <v>120.42999999999999</v>
      </c>
      <c r="CU63" s="171">
        <f t="shared" si="21"/>
        <v>19388</v>
      </c>
      <c r="CV63" s="172">
        <f t="shared" si="2"/>
        <v>2000</v>
      </c>
      <c r="CW63" s="171">
        <f t="shared" si="22"/>
        <v>17388</v>
      </c>
      <c r="CX63" s="172">
        <f t="shared" si="3"/>
        <v>0</v>
      </c>
      <c r="CY63" s="172">
        <f t="shared" si="4"/>
        <v>24.744799999999998</v>
      </c>
      <c r="CZ63" s="171">
        <f t="shared" si="5"/>
        <v>20024.7448</v>
      </c>
      <c r="DA63" s="174"/>
      <c r="DB63" s="175">
        <f t="shared" si="23"/>
        <v>-17388</v>
      </c>
      <c r="DC63" s="174"/>
      <c r="DD63" s="174"/>
      <c r="DE63" s="175">
        <f t="shared" si="24"/>
        <v>0</v>
      </c>
      <c r="DF63" s="146">
        <v>1110345261</v>
      </c>
      <c r="DG63" s="146"/>
      <c r="DH63" s="146"/>
      <c r="DI63" s="146"/>
      <c r="DJ63" s="146"/>
      <c r="DK63" s="202">
        <f>+'C&amp;A'!I64+SINDICATO!E64</f>
        <v>20000</v>
      </c>
      <c r="DL63" s="142">
        <f t="shared" si="25"/>
        <v>0</v>
      </c>
      <c r="DM63" s="195">
        <f t="shared" si="26"/>
        <v>20000</v>
      </c>
      <c r="DN63" s="195">
        <f t="shared" si="27"/>
        <v>20000</v>
      </c>
      <c r="DO63" s="140">
        <f t="shared" si="28"/>
        <v>0</v>
      </c>
      <c r="DP63" s="140">
        <f t="shared" si="29"/>
        <v>2000</v>
      </c>
      <c r="DQ63" s="194"/>
      <c r="DR63" s="194"/>
    </row>
    <row r="64" spans="1:122" s="37" customFormat="1" ht="16.5" x14ac:dyDescent="0.3">
      <c r="A64" s="33"/>
      <c r="B64" s="34"/>
      <c r="C64" s="35"/>
      <c r="D64" s="35"/>
      <c r="E64" s="35"/>
      <c r="F64" s="35"/>
      <c r="G64" s="35"/>
      <c r="H64" s="35"/>
      <c r="I64" s="35"/>
      <c r="J64" s="197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40" t="s">
        <v>274</v>
      </c>
      <c r="Z64" s="13" t="s">
        <v>235</v>
      </c>
      <c r="AA64" s="13" t="s">
        <v>32</v>
      </c>
      <c r="AB64" s="14" t="s">
        <v>247</v>
      </c>
      <c r="AC64" s="15">
        <v>20000</v>
      </c>
      <c r="AD64" s="17"/>
      <c r="AE64" s="17">
        <f>+S63-'C&amp;A'!I64-SINDICATO!O64</f>
        <v>2120.4300000000003</v>
      </c>
      <c r="AF64" s="34" t="str">
        <f t="shared" si="30"/>
        <v>SI</v>
      </c>
      <c r="AG64" s="70" t="s">
        <v>136</v>
      </c>
      <c r="AH64" s="71" t="s">
        <v>137</v>
      </c>
      <c r="AI64" s="72">
        <v>1095.5999999999999</v>
      </c>
      <c r="AJ64" s="72">
        <v>0</v>
      </c>
      <c r="AK64" s="72">
        <v>0</v>
      </c>
      <c r="AL64" s="72">
        <v>0</v>
      </c>
      <c r="AM64" s="72">
        <v>0</v>
      </c>
      <c r="AN64" s="72">
        <v>0</v>
      </c>
      <c r="AO64" s="72">
        <v>1095.5999999999999</v>
      </c>
      <c r="AP64" s="72">
        <v>0</v>
      </c>
      <c r="AQ64" s="72">
        <v>0</v>
      </c>
      <c r="AR64" s="72">
        <v>0</v>
      </c>
      <c r="AS64" s="73">
        <v>-200.74</v>
      </c>
      <c r="AT64" s="73">
        <v>-141.59</v>
      </c>
      <c r="AU64" s="72">
        <v>59.15</v>
      </c>
      <c r="AV64" s="72">
        <v>0</v>
      </c>
      <c r="AW64" s="72">
        <v>0</v>
      </c>
      <c r="AX64" s="73">
        <v>-0.01</v>
      </c>
      <c r="AY64" s="72">
        <v>0</v>
      </c>
      <c r="AZ64" s="72">
        <v>0</v>
      </c>
      <c r="BA64" s="72">
        <v>-141.6</v>
      </c>
      <c r="BB64" s="72">
        <v>1237.2</v>
      </c>
      <c r="BC64" s="69">
        <f t="shared" ref="BC64" si="32">+S63-P63</f>
        <v>19388</v>
      </c>
      <c r="BD64" s="35">
        <f t="shared" si="19"/>
        <v>0</v>
      </c>
      <c r="BE64" s="35">
        <f t="shared" ref="BE64" si="33">IF(BC64&gt;=5000,BC64*0.1,0)</f>
        <v>1938.8000000000002</v>
      </c>
      <c r="BF64" s="35"/>
      <c r="BG64" s="69">
        <v>132746.755</v>
      </c>
      <c r="BH64" s="69">
        <v>14398.154999999999</v>
      </c>
      <c r="BI64" s="83">
        <v>132746.755</v>
      </c>
      <c r="BN64" s="69">
        <v>0</v>
      </c>
      <c r="BP64" s="69">
        <v>132746.755</v>
      </c>
      <c r="BQ64" s="103"/>
      <c r="BY64" s="144"/>
      <c r="BZ64" s="144"/>
      <c r="CA64" s="144"/>
      <c r="CB64" s="144"/>
      <c r="CC64" s="144"/>
      <c r="CD64" s="144"/>
      <c r="CE64" s="131"/>
      <c r="CF64" s="131"/>
      <c r="CG64" s="132"/>
      <c r="CH64" s="131"/>
      <c r="CI64" s="135">
        <f t="shared" ref="CI64:CM64" si="34">SUM(CI9:CI63)</f>
        <v>202936.5</v>
      </c>
      <c r="CJ64" s="135">
        <f t="shared" si="34"/>
        <v>12940</v>
      </c>
      <c r="CK64" s="135">
        <f t="shared" si="34"/>
        <v>0</v>
      </c>
      <c r="CL64" s="135">
        <f t="shared" si="34"/>
        <v>0</v>
      </c>
      <c r="CM64" s="135">
        <f t="shared" si="34"/>
        <v>0</v>
      </c>
      <c r="CN64" s="135">
        <f>SUM(CN9:CN63)</f>
        <v>215876.5</v>
      </c>
      <c r="CO64" s="135">
        <f t="shared" ref="CO64:CZ64" si="35">SUM(CO9:CO63)</f>
        <v>0</v>
      </c>
      <c r="CP64" s="135">
        <f t="shared" si="35"/>
        <v>1554.3399999999995</v>
      </c>
      <c r="CQ64" s="135">
        <f t="shared" si="35"/>
        <v>0</v>
      </c>
      <c r="CR64" s="135">
        <f t="shared" si="35"/>
        <v>0</v>
      </c>
      <c r="CS64" s="135">
        <f t="shared" si="35"/>
        <v>1720.54</v>
      </c>
      <c r="CT64" s="135">
        <f t="shared" si="35"/>
        <v>19223.739999999998</v>
      </c>
      <c r="CU64" s="135">
        <f t="shared" si="35"/>
        <v>193377.88</v>
      </c>
      <c r="CV64" s="135">
        <f>SUM(CV9:CV63)</f>
        <v>7684.7000000000007</v>
      </c>
      <c r="CW64" s="135">
        <f t="shared" si="35"/>
        <v>185693.18000000002</v>
      </c>
      <c r="CX64" s="135">
        <f t="shared" si="35"/>
        <v>13452.949999999999</v>
      </c>
      <c r="CY64" s="135">
        <f t="shared" si="35"/>
        <v>1360.9639999999979</v>
      </c>
      <c r="CZ64" s="135">
        <f t="shared" si="35"/>
        <v>230690.41399999976</v>
      </c>
      <c r="DA64" s="143"/>
      <c r="DB64" s="142">
        <f t="shared" si="23"/>
        <v>-185693.18000000002</v>
      </c>
      <c r="DC64" s="141"/>
      <c r="DD64" s="141"/>
      <c r="DE64" s="142">
        <f t="shared" si="24"/>
        <v>0</v>
      </c>
      <c r="DF64" s="143"/>
      <c r="DG64" s="143"/>
      <c r="DH64" s="143"/>
      <c r="DI64" s="143"/>
      <c r="DJ64" s="143"/>
      <c r="DK64" s="202"/>
      <c r="DL64" s="143"/>
      <c r="DM64" s="143"/>
      <c r="DN64" s="143"/>
      <c r="DO64" s="155"/>
      <c r="DP64" s="34"/>
      <c r="DQ64" s="34"/>
      <c r="DR64" s="34"/>
    </row>
    <row r="65" spans="1:122" ht="16.5" thickBot="1" x14ac:dyDescent="0.3">
      <c r="A65" s="38" t="s">
        <v>18</v>
      </c>
      <c r="B65" s="37" t="s">
        <v>19</v>
      </c>
      <c r="C65" s="39">
        <f>SUM(C9:C63)</f>
        <v>202936.5</v>
      </c>
      <c r="D65" s="39">
        <f t="shared" ref="D65:W65" si="36">SUM(D9:D63)</f>
        <v>5132.6437241052754</v>
      </c>
      <c r="E65" s="39">
        <f t="shared" si="36"/>
        <v>12940</v>
      </c>
      <c r="F65" s="39">
        <f t="shared" si="36"/>
        <v>1075</v>
      </c>
      <c r="G65" s="39">
        <f t="shared" si="36"/>
        <v>11040</v>
      </c>
      <c r="H65" s="39">
        <f t="shared" si="36"/>
        <v>1300</v>
      </c>
      <c r="I65" s="39">
        <f t="shared" si="36"/>
        <v>433.33333333333331</v>
      </c>
      <c r="J65" s="198">
        <f>SUM(J9:J63)</f>
        <v>1400</v>
      </c>
      <c r="K65" s="39">
        <f t="shared" si="36"/>
        <v>200</v>
      </c>
      <c r="L65" s="39">
        <f t="shared" si="36"/>
        <v>0</v>
      </c>
      <c r="M65" s="39">
        <f t="shared" si="36"/>
        <v>1720.54</v>
      </c>
      <c r="N65" s="39">
        <f t="shared" si="36"/>
        <v>1554.3399999999995</v>
      </c>
      <c r="O65" s="39">
        <f t="shared" si="36"/>
        <v>317.80500000000001</v>
      </c>
      <c r="P65" s="39">
        <f t="shared" si="36"/>
        <v>19223.739999999998</v>
      </c>
      <c r="Q65" s="39">
        <f t="shared" si="36"/>
        <v>9727.0333333333328</v>
      </c>
      <c r="R65" s="39">
        <f>SUM(R9:R63)</f>
        <v>200714.01872410529</v>
      </c>
      <c r="S65" s="39">
        <f t="shared" si="36"/>
        <v>229982.59705743863</v>
      </c>
      <c r="T65" s="39">
        <f t="shared" si="36"/>
        <v>12795.45</v>
      </c>
      <c r="U65" s="39">
        <f t="shared" si="36"/>
        <v>1205.1600000000008</v>
      </c>
      <c r="V65" s="39">
        <f t="shared" si="36"/>
        <v>243983.20705743873</v>
      </c>
      <c r="W65" s="39">
        <f t="shared" si="36"/>
        <v>39037.313129190181</v>
      </c>
      <c r="X65" s="39">
        <f>SUM(X9:X63)</f>
        <v>283020.5201866288</v>
      </c>
      <c r="Y65" s="39">
        <f t="shared" ref="Y65:BO65" si="37">SUM(Y9:Y63)</f>
        <v>0</v>
      </c>
      <c r="Z65" s="39">
        <f t="shared" si="37"/>
        <v>0</v>
      </c>
      <c r="AA65" s="39">
        <f t="shared" si="37"/>
        <v>0</v>
      </c>
      <c r="AB65" s="39">
        <f t="shared" si="37"/>
        <v>0</v>
      </c>
      <c r="AC65" s="39">
        <f t="shared" si="37"/>
        <v>176200</v>
      </c>
      <c r="AD65" s="39">
        <f t="shared" si="37"/>
        <v>5294.2600000000029</v>
      </c>
      <c r="AE65" s="39">
        <f t="shared" si="37"/>
        <v>27148.148333333334</v>
      </c>
      <c r="AF65" s="39">
        <f t="shared" si="37"/>
        <v>0</v>
      </c>
      <c r="AG65" s="39">
        <f t="shared" si="37"/>
        <v>0</v>
      </c>
      <c r="AH65" s="39">
        <f t="shared" si="37"/>
        <v>0</v>
      </c>
      <c r="AI65" s="39">
        <f t="shared" si="37"/>
        <v>59162.399999999951</v>
      </c>
      <c r="AJ65" s="39">
        <f t="shared" si="37"/>
        <v>0</v>
      </c>
      <c r="AK65" s="39">
        <f t="shared" si="37"/>
        <v>0</v>
      </c>
      <c r="AL65" s="39">
        <f t="shared" si="37"/>
        <v>0</v>
      </c>
      <c r="AM65" s="39">
        <f t="shared" si="37"/>
        <v>0</v>
      </c>
      <c r="AN65" s="39">
        <f t="shared" si="37"/>
        <v>0</v>
      </c>
      <c r="AO65" s="39">
        <f t="shared" si="37"/>
        <v>59162.399999999951</v>
      </c>
      <c r="AP65" s="39">
        <f t="shared" si="37"/>
        <v>0</v>
      </c>
      <c r="AQ65" s="39">
        <f t="shared" si="37"/>
        <v>0</v>
      </c>
      <c r="AR65" s="39">
        <f t="shared" si="37"/>
        <v>0</v>
      </c>
      <c r="AS65" s="39">
        <f t="shared" si="37"/>
        <v>-10839.959999999992</v>
      </c>
      <c r="AT65" s="39">
        <f t="shared" si="37"/>
        <v>-7645.8600000000051</v>
      </c>
      <c r="AU65" s="39">
        <f t="shared" si="37"/>
        <v>3194.1000000000031</v>
      </c>
      <c r="AV65" s="39">
        <f t="shared" si="37"/>
        <v>0</v>
      </c>
      <c r="AW65" s="39">
        <f t="shared" si="37"/>
        <v>0</v>
      </c>
      <c r="AX65" s="39">
        <f t="shared" si="37"/>
        <v>-0.34000000000000025</v>
      </c>
      <c r="AY65" s="39">
        <f t="shared" si="37"/>
        <v>0</v>
      </c>
      <c r="AZ65" s="39">
        <f t="shared" si="37"/>
        <v>0</v>
      </c>
      <c r="BA65" s="39">
        <f t="shared" si="37"/>
        <v>-7646.2000000000071</v>
      </c>
      <c r="BB65" s="39">
        <f t="shared" si="37"/>
        <v>66808.599999999933</v>
      </c>
      <c r="BC65" s="39">
        <f t="shared" si="37"/>
        <v>191370.85705743864</v>
      </c>
      <c r="BD65" s="39">
        <f t="shared" si="37"/>
        <v>13326.668705743858</v>
      </c>
      <c r="BE65" s="39">
        <f t="shared" si="37"/>
        <v>5810.4169999999995</v>
      </c>
      <c r="BF65" s="39">
        <f t="shared" si="37"/>
        <v>4916.4277942627159</v>
      </c>
      <c r="BG65" s="39">
        <f t="shared" si="37"/>
        <v>364363.99899999984</v>
      </c>
      <c r="BH65" s="39">
        <f t="shared" si="37"/>
        <v>42561.130999999994</v>
      </c>
      <c r="BI65" s="39">
        <f t="shared" si="37"/>
        <v>330745.17899999989</v>
      </c>
      <c r="BJ65" s="39">
        <f t="shared" si="37"/>
        <v>2444.9260000000004</v>
      </c>
      <c r="BK65" s="39">
        <f t="shared" si="37"/>
        <v>1743.23</v>
      </c>
      <c r="BL65" s="39">
        <f t="shared" si="37"/>
        <v>3620.3</v>
      </c>
      <c r="BM65" s="39">
        <f t="shared" si="37"/>
        <v>-1440</v>
      </c>
      <c r="BN65" s="39">
        <f t="shared" si="37"/>
        <v>0</v>
      </c>
      <c r="BO65" s="39">
        <f t="shared" si="37"/>
        <v>0</v>
      </c>
      <c r="BP65" s="39">
        <f t="shared" ref="BP65:BW65" si="38">SUM(BP9:BP63)</f>
        <v>366130.17899999983</v>
      </c>
      <c r="BQ65" s="39">
        <f t="shared" si="38"/>
        <v>-1766.1800000000003</v>
      </c>
      <c r="BR65" s="39">
        <f t="shared" si="38"/>
        <v>0</v>
      </c>
      <c r="BS65" s="39">
        <f t="shared" si="38"/>
        <v>0</v>
      </c>
      <c r="BT65" s="39">
        <f t="shared" si="38"/>
        <v>0</v>
      </c>
      <c r="BU65" s="39">
        <f t="shared" si="38"/>
        <v>0</v>
      </c>
      <c r="BV65" s="39">
        <f t="shared" si="38"/>
        <v>0</v>
      </c>
      <c r="BW65" s="39">
        <f t="shared" si="38"/>
        <v>-5184.0882057372855</v>
      </c>
      <c r="BX65" s="37"/>
      <c r="BY65" s="144"/>
      <c r="BZ65" s="144"/>
      <c r="CA65" s="144"/>
      <c r="CB65" s="144"/>
      <c r="CC65" s="144"/>
      <c r="CD65" s="144"/>
      <c r="CE65" s="131"/>
      <c r="CF65" s="131"/>
      <c r="CG65" s="132"/>
      <c r="CH65" s="131"/>
      <c r="CI65" s="132"/>
      <c r="CJ65" s="132"/>
      <c r="CK65" s="133"/>
      <c r="CL65" s="133"/>
      <c r="CM65" s="134"/>
      <c r="CN65" s="135"/>
      <c r="CO65" s="136"/>
      <c r="CP65" s="137"/>
      <c r="CQ65" s="137"/>
      <c r="CR65" s="137"/>
      <c r="CS65" s="138"/>
      <c r="CT65" s="138"/>
      <c r="CU65" s="135"/>
      <c r="CV65" s="139"/>
      <c r="CW65" s="135"/>
      <c r="CX65" s="140"/>
      <c r="CY65" s="139"/>
      <c r="CZ65" s="135"/>
      <c r="DA65" s="143"/>
      <c r="DB65" s="143"/>
      <c r="DC65" s="141"/>
      <c r="DD65" s="141"/>
      <c r="DE65" s="143"/>
      <c r="DF65" s="143"/>
      <c r="DG65" s="143"/>
      <c r="DH65" s="143"/>
      <c r="DI65" s="143"/>
      <c r="DJ65" s="143"/>
      <c r="DK65" s="202"/>
      <c r="DL65" s="143"/>
      <c r="DM65" s="143"/>
      <c r="DN65" s="143"/>
      <c r="DP65" s="34"/>
      <c r="DQ65" s="34"/>
      <c r="DR65" s="34"/>
    </row>
    <row r="66" spans="1:122" ht="17.25" thickTop="1" thickBot="1" x14ac:dyDescent="0.3">
      <c r="A66" s="33"/>
      <c r="B66" s="34"/>
      <c r="C66" s="34"/>
      <c r="D66" s="34"/>
      <c r="E66" s="34"/>
      <c r="F66" s="34"/>
      <c r="G66" s="34"/>
      <c r="H66" s="34"/>
      <c r="I66" s="34"/>
      <c r="K66" s="34"/>
      <c r="L66" s="34"/>
      <c r="M66" s="34"/>
      <c r="N66" s="34"/>
      <c r="O66" s="34"/>
      <c r="P66" s="34"/>
      <c r="Q66" s="34"/>
      <c r="R66" s="203">
        <f>+'C&amp;A'!I68+SINDICATO!O68</f>
        <v>200714.01872410523</v>
      </c>
      <c r="S66" s="203">
        <f>+'C&amp;A'!I68+SINDICATO!E68</f>
        <v>234857.47705743852</v>
      </c>
      <c r="T66" s="34"/>
      <c r="U66" s="34"/>
      <c r="V66" s="34"/>
      <c r="W66" s="34"/>
      <c r="X66" s="34"/>
      <c r="Y66" s="39">
        <f t="shared" ref="Y66:BE66" si="39">SUM(Y9:Y64)</f>
        <v>0</v>
      </c>
      <c r="Z66" s="39">
        <f t="shared" si="39"/>
        <v>0</v>
      </c>
      <c r="AA66" s="39">
        <f t="shared" si="39"/>
        <v>0</v>
      </c>
      <c r="AB66" s="39">
        <f t="shared" si="39"/>
        <v>0</v>
      </c>
      <c r="AC66" s="39">
        <f t="shared" si="39"/>
        <v>196200</v>
      </c>
      <c r="AD66" s="39">
        <f t="shared" si="39"/>
        <v>5294.2600000000029</v>
      </c>
      <c r="AE66" s="39">
        <f t="shared" si="39"/>
        <v>29268.578333333335</v>
      </c>
      <c r="AF66" s="39">
        <f t="shared" si="39"/>
        <v>0</v>
      </c>
      <c r="AG66" s="39">
        <f t="shared" si="39"/>
        <v>0</v>
      </c>
      <c r="AH66" s="39">
        <f t="shared" si="39"/>
        <v>0</v>
      </c>
      <c r="AI66" s="39">
        <f t="shared" si="39"/>
        <v>60257.999999999949</v>
      </c>
      <c r="AJ66" s="39">
        <f t="shared" si="39"/>
        <v>0</v>
      </c>
      <c r="AK66" s="39">
        <f t="shared" si="39"/>
        <v>0</v>
      </c>
      <c r="AL66" s="39">
        <f t="shared" si="39"/>
        <v>0</v>
      </c>
      <c r="AM66" s="39">
        <f t="shared" si="39"/>
        <v>0</v>
      </c>
      <c r="AN66" s="39">
        <f t="shared" si="39"/>
        <v>0</v>
      </c>
      <c r="AO66" s="39">
        <f t="shared" si="39"/>
        <v>60257.999999999949</v>
      </c>
      <c r="AP66" s="39">
        <f t="shared" si="39"/>
        <v>0</v>
      </c>
      <c r="AQ66" s="39">
        <f t="shared" si="39"/>
        <v>0</v>
      </c>
      <c r="AR66" s="39">
        <f t="shared" si="39"/>
        <v>0</v>
      </c>
      <c r="AS66" s="39">
        <f t="shared" si="39"/>
        <v>-11040.699999999992</v>
      </c>
      <c r="AT66" s="39">
        <f t="shared" si="39"/>
        <v>-7787.4500000000053</v>
      </c>
      <c r="AU66" s="39">
        <f t="shared" si="39"/>
        <v>3253.2500000000032</v>
      </c>
      <c r="AV66" s="39">
        <f t="shared" si="39"/>
        <v>0</v>
      </c>
      <c r="AW66" s="39">
        <f t="shared" si="39"/>
        <v>0</v>
      </c>
      <c r="AX66" s="39">
        <f t="shared" si="39"/>
        <v>-0.35000000000000026</v>
      </c>
      <c r="AY66" s="39">
        <f t="shared" si="39"/>
        <v>0</v>
      </c>
      <c r="AZ66" s="39">
        <f t="shared" si="39"/>
        <v>0</v>
      </c>
      <c r="BA66" s="39">
        <f t="shared" si="39"/>
        <v>-7787.8000000000075</v>
      </c>
      <c r="BB66" s="39">
        <f t="shared" si="39"/>
        <v>68045.79999999993</v>
      </c>
      <c r="BC66" s="39">
        <f t="shared" si="39"/>
        <v>210758.85705743864</v>
      </c>
      <c r="BD66" s="39">
        <f t="shared" si="39"/>
        <v>13326.668705743858</v>
      </c>
      <c r="BE66" s="39">
        <f t="shared" si="39"/>
        <v>7749.2169999999996</v>
      </c>
      <c r="BF66" s="106"/>
      <c r="BG66" s="34"/>
      <c r="BH66" s="39">
        <v>58176.891000000003</v>
      </c>
      <c r="BI66" s="34"/>
      <c r="BJ66" s="34"/>
      <c r="BK66" s="34"/>
      <c r="BL66" s="34"/>
      <c r="BM66" s="34"/>
      <c r="BN66" s="34"/>
      <c r="BO66" s="34"/>
      <c r="BP66" s="34"/>
      <c r="BQ66" s="102"/>
      <c r="BR66" s="34"/>
      <c r="BS66" s="34"/>
      <c r="BT66" s="34"/>
      <c r="BU66" s="34"/>
      <c r="BV66" s="34"/>
      <c r="BW66" s="34"/>
      <c r="BX66" s="34"/>
      <c r="BY66" s="149"/>
      <c r="BZ66" s="149"/>
      <c r="CA66" s="144"/>
      <c r="CB66" s="131"/>
      <c r="CC66" s="131"/>
      <c r="CD66" s="144"/>
      <c r="CE66" s="144"/>
      <c r="CF66" s="144"/>
      <c r="CG66" s="144"/>
      <c r="CH66" s="144"/>
      <c r="CI66" s="132"/>
      <c r="CJ66" s="132"/>
      <c r="CK66" s="132"/>
      <c r="CL66" s="132"/>
      <c r="CM66" s="134"/>
      <c r="CN66" s="135">
        <f>SUM(CI66:CL66)-CM66</f>
        <v>0</v>
      </c>
      <c r="CO66" s="136"/>
      <c r="CP66" s="137"/>
      <c r="CQ66" s="137"/>
      <c r="CR66" s="137"/>
      <c r="CS66" s="139"/>
      <c r="CT66" s="139"/>
      <c r="CU66" s="135">
        <f>+CN66-SUM(CO66:CT66)</f>
        <v>0</v>
      </c>
      <c r="CV66" s="139">
        <f>IF(CN66&gt;4500,CN66*0.1,0)</f>
        <v>0</v>
      </c>
      <c r="CW66" s="135">
        <f>+CU66-CV66</f>
        <v>0</v>
      </c>
      <c r="CX66" s="140">
        <f>IF(CN66&lt;4500,CN66*0.1,0)</f>
        <v>0</v>
      </c>
      <c r="CY66" s="139"/>
      <c r="CZ66" s="135">
        <f>+CN66+CX66+CY66</f>
        <v>0</v>
      </c>
      <c r="DA66" s="143"/>
      <c r="DB66" s="143"/>
      <c r="DC66" s="141"/>
      <c r="DD66" s="141"/>
      <c r="DE66" s="143"/>
      <c r="DF66" s="143"/>
      <c r="DG66" s="143"/>
      <c r="DH66" s="143"/>
      <c r="DI66" s="143"/>
      <c r="DJ66" s="143"/>
      <c r="DK66" s="202"/>
      <c r="DL66" s="143"/>
      <c r="DM66" s="143"/>
      <c r="DN66" s="143"/>
      <c r="DP66" s="34"/>
      <c r="DQ66" s="34"/>
      <c r="DR66" s="34"/>
    </row>
    <row r="67" spans="1:122" ht="16.5" thickTop="1" x14ac:dyDescent="0.25">
      <c r="A67" s="33"/>
      <c r="B67" s="34" t="s">
        <v>453</v>
      </c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199"/>
      <c r="R67" s="204">
        <f>+R65-R66</f>
        <v>0</v>
      </c>
      <c r="S67" s="204">
        <f>+S65-S66</f>
        <v>-4874.8799999998882</v>
      </c>
      <c r="T67" s="40"/>
      <c r="U67" s="40"/>
      <c r="V67" s="40"/>
      <c r="W67" s="40"/>
      <c r="X67" s="40"/>
      <c r="Y67" s="40"/>
      <c r="Z67" s="34"/>
      <c r="AA67" s="34"/>
      <c r="AB67" s="34"/>
      <c r="AC67" s="34"/>
      <c r="AE67" s="34"/>
      <c r="AF67" s="34"/>
      <c r="AG67" s="74"/>
      <c r="AH67" s="75"/>
      <c r="AI67" s="75" t="s">
        <v>17</v>
      </c>
      <c r="AJ67" s="75" t="s">
        <v>17</v>
      </c>
      <c r="AK67" s="75" t="s">
        <v>17</v>
      </c>
      <c r="AL67" s="75" t="s">
        <v>17</v>
      </c>
      <c r="AM67" s="75" t="s">
        <v>17</v>
      </c>
      <c r="AN67" s="75" t="s">
        <v>17</v>
      </c>
      <c r="AO67" s="75" t="s">
        <v>17</v>
      </c>
      <c r="AP67" s="75" t="s">
        <v>17</v>
      </c>
      <c r="AQ67" s="75" t="s">
        <v>17</v>
      </c>
      <c r="AR67" s="75" t="s">
        <v>17</v>
      </c>
      <c r="AS67" s="75" t="s">
        <v>17</v>
      </c>
      <c r="AT67" s="75" t="s">
        <v>17</v>
      </c>
      <c r="AU67" s="75" t="s">
        <v>17</v>
      </c>
      <c r="AV67" s="75" t="s">
        <v>17</v>
      </c>
      <c r="AW67" s="75" t="s">
        <v>17</v>
      </c>
      <c r="AX67" s="75" t="s">
        <v>17</v>
      </c>
      <c r="AY67" s="75" t="s">
        <v>17</v>
      </c>
      <c r="AZ67" s="75" t="s">
        <v>17</v>
      </c>
      <c r="BA67" s="75" t="s">
        <v>17</v>
      </c>
      <c r="BB67" s="75" t="s">
        <v>17</v>
      </c>
      <c r="BC67" s="34"/>
      <c r="BD67" s="34"/>
      <c r="BE67" s="34"/>
      <c r="BF67" s="34"/>
      <c r="BG67" s="34"/>
      <c r="BH67" s="34"/>
      <c r="BI67" s="34"/>
      <c r="BJ67" s="34"/>
      <c r="BK67" s="34"/>
      <c r="BL67" s="34"/>
      <c r="BM67" s="34"/>
      <c r="BN67" s="34"/>
      <c r="BO67" s="34"/>
      <c r="BP67" s="34"/>
      <c r="BQ67" s="102"/>
      <c r="BR67" s="34"/>
      <c r="BS67" s="34"/>
      <c r="BT67" s="34"/>
      <c r="BU67" s="34"/>
      <c r="BV67" s="34"/>
      <c r="BW67" s="34"/>
      <c r="BX67" s="34"/>
      <c r="BY67" s="149"/>
      <c r="BZ67" s="150"/>
      <c r="CA67" s="151"/>
      <c r="CB67" s="151"/>
      <c r="CC67" s="151"/>
      <c r="CD67" s="151"/>
      <c r="CE67" s="151"/>
      <c r="CF67" s="151"/>
      <c r="CG67" s="151"/>
      <c r="CH67" s="151"/>
      <c r="CI67" s="152"/>
      <c r="CJ67" s="152"/>
      <c r="CK67" s="152"/>
      <c r="CL67" s="152"/>
      <c r="CM67" s="152"/>
      <c r="CN67" s="153"/>
      <c r="CO67" s="152"/>
      <c r="CP67" s="152"/>
      <c r="CQ67" s="139"/>
      <c r="CR67" s="139"/>
      <c r="CS67" s="139"/>
      <c r="CT67" s="139"/>
      <c r="CU67" s="154"/>
      <c r="CV67" s="139"/>
      <c r="CW67" s="153"/>
      <c r="CX67" s="139"/>
      <c r="CY67" s="139"/>
      <c r="CZ67" s="153"/>
      <c r="DA67" s="143"/>
      <c r="DB67" s="143"/>
      <c r="DC67" s="141"/>
      <c r="DD67" s="141"/>
      <c r="DE67" s="143"/>
      <c r="DF67" s="143"/>
      <c r="DG67" s="143"/>
      <c r="DH67" s="143"/>
      <c r="DL67" s="143"/>
      <c r="DM67" s="143"/>
      <c r="DP67" s="34"/>
      <c r="DQ67" s="34"/>
      <c r="DR67" s="34"/>
    </row>
    <row r="68" spans="1:122" x14ac:dyDescent="0.25">
      <c r="A68" s="33" t="s">
        <v>86</v>
      </c>
      <c r="B68" s="34" t="s">
        <v>87</v>
      </c>
      <c r="C68" s="35">
        <v>4000</v>
      </c>
      <c r="D68" s="35">
        <v>0</v>
      </c>
      <c r="E68" s="35">
        <v>5800</v>
      </c>
      <c r="F68" s="35"/>
      <c r="G68" s="35"/>
      <c r="H68" s="35"/>
      <c r="I68" s="35"/>
      <c r="J68" s="35"/>
      <c r="K68" s="35"/>
      <c r="L68" s="35"/>
      <c r="M68" s="35"/>
      <c r="N68" s="219"/>
      <c r="O68" s="35"/>
      <c r="P68" s="35"/>
      <c r="Q68" s="35"/>
      <c r="R68" s="203"/>
      <c r="S68" s="218">
        <f>+K65+J65+M65+N65</f>
        <v>4874.8799999999992</v>
      </c>
      <c r="T68" s="35"/>
      <c r="U68" s="35"/>
      <c r="V68" s="35"/>
      <c r="W68" s="35"/>
      <c r="X68" s="35"/>
      <c r="Y68" s="40"/>
      <c r="Z68" s="34"/>
      <c r="AA68" s="34"/>
      <c r="AB68" s="34"/>
      <c r="AC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34"/>
      <c r="AZ68" s="34"/>
      <c r="BA68" s="34"/>
      <c r="BB68" s="34"/>
      <c r="BC68" s="34"/>
      <c r="BD68" s="34"/>
      <c r="BE68" s="34"/>
      <c r="BF68" s="34"/>
      <c r="BG68" s="34"/>
      <c r="BH68" s="76"/>
      <c r="BI68" s="34"/>
      <c r="BJ68" s="34"/>
      <c r="BK68" s="34"/>
      <c r="BL68" s="34"/>
      <c r="BM68" s="34"/>
      <c r="BN68" s="34"/>
      <c r="BO68" s="34"/>
      <c r="BP68" s="34"/>
      <c r="BQ68" s="102"/>
      <c r="BR68" s="34"/>
      <c r="BS68" s="34"/>
      <c r="BT68" s="34"/>
      <c r="BU68" s="34"/>
      <c r="BV68" s="34"/>
      <c r="BW68" s="34"/>
      <c r="BX68" s="34"/>
      <c r="BY68" s="149"/>
      <c r="BZ68" s="149"/>
      <c r="CA68" s="131"/>
      <c r="CB68" s="131"/>
      <c r="CC68" s="131"/>
      <c r="CD68" s="131"/>
      <c r="CE68" s="131"/>
      <c r="CF68" s="131"/>
      <c r="CG68" s="131"/>
      <c r="CH68" s="131"/>
      <c r="CI68" s="133"/>
      <c r="CJ68" s="133"/>
      <c r="CK68" s="133"/>
      <c r="CL68" s="133"/>
      <c r="CM68" s="133"/>
      <c r="CN68" s="135">
        <f>SUM(CI68:CM68)</f>
        <v>0</v>
      </c>
      <c r="CO68" s="136"/>
      <c r="CP68" s="136"/>
      <c r="CQ68" s="137"/>
      <c r="CR68" s="137"/>
      <c r="CS68" s="137"/>
      <c r="CT68" s="137"/>
      <c r="CU68" s="135">
        <f>+CN68-CO68</f>
        <v>0</v>
      </c>
      <c r="CV68" s="139">
        <f>+CU68*0.05</f>
        <v>0</v>
      </c>
      <c r="CW68" s="135">
        <f>+CU68-CQ68-CT68</f>
        <v>0</v>
      </c>
      <c r="CX68" s="140">
        <f>IF(CU68&lt;3000,CU68*0.1,0)</f>
        <v>0</v>
      </c>
      <c r="CY68" s="139">
        <v>0</v>
      </c>
      <c r="CZ68" s="135">
        <f>+CU68+CX68+CY68</f>
        <v>0</v>
      </c>
      <c r="DP68" s="34"/>
      <c r="DQ68" s="34"/>
      <c r="DR68" s="34"/>
    </row>
    <row r="69" spans="1:122" ht="16.5" x14ac:dyDescent="0.3">
      <c r="A69" s="33"/>
      <c r="B69" s="34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204"/>
      <c r="S69" s="204">
        <f>+S68+S67</f>
        <v>1.1095835361629725E-10</v>
      </c>
      <c r="T69" s="40"/>
      <c r="U69" s="40"/>
      <c r="V69" s="40"/>
      <c r="W69" s="40"/>
      <c r="X69" s="40"/>
      <c r="Y69" s="40"/>
      <c r="Z69" s="7" t="s">
        <v>189</v>
      </c>
      <c r="AA69" s="7" t="s">
        <v>190</v>
      </c>
      <c r="AB69" s="8" t="s">
        <v>239</v>
      </c>
      <c r="AC69" s="9">
        <v>4000</v>
      </c>
      <c r="AD69" s="17"/>
      <c r="AE69" s="17" t="e">
        <f>+S68-'C&amp;A'!#REF!-SINDICATO!#REF!</f>
        <v>#REF!</v>
      </c>
      <c r="AF69" s="34" t="str">
        <f>IF(A68=AG69,"SI","NO")</f>
        <v>SI</v>
      </c>
      <c r="AG69" s="70" t="s">
        <v>86</v>
      </c>
      <c r="AH69" s="71" t="s">
        <v>87</v>
      </c>
      <c r="AI69" s="72">
        <v>1095.5999999999999</v>
      </c>
      <c r="AJ69" s="72">
        <v>0</v>
      </c>
      <c r="AK69" s="72">
        <v>0</v>
      </c>
      <c r="AL69" s="72">
        <v>0</v>
      </c>
      <c r="AM69" s="72">
        <v>0</v>
      </c>
      <c r="AN69" s="72">
        <v>0</v>
      </c>
      <c r="AO69" s="72">
        <v>1095.5999999999999</v>
      </c>
      <c r="AP69" s="72">
        <v>0</v>
      </c>
      <c r="AQ69" s="72">
        <v>0</v>
      </c>
      <c r="AR69" s="72">
        <v>0</v>
      </c>
      <c r="AS69" s="73">
        <v>-200.74</v>
      </c>
      <c r="AT69" s="73">
        <v>-141.59</v>
      </c>
      <c r="AU69" s="72">
        <v>59.15</v>
      </c>
      <c r="AV69" s="72">
        <v>0</v>
      </c>
      <c r="AW69" s="72">
        <v>0</v>
      </c>
      <c r="AX69" s="73">
        <v>-0.01</v>
      </c>
      <c r="AY69" s="72">
        <v>0</v>
      </c>
      <c r="AZ69" s="72">
        <v>0</v>
      </c>
      <c r="BA69" s="72">
        <v>-141.6</v>
      </c>
      <c r="BB69" s="72">
        <v>1237.2</v>
      </c>
      <c r="BC69" s="69">
        <f>+S68-P68</f>
        <v>4874.8799999999992</v>
      </c>
      <c r="BD69" s="35">
        <f>IF(BC69&lt;=5000,BC69*0.1,0)</f>
        <v>487.48799999999994</v>
      </c>
      <c r="BE69" s="35">
        <f>IF(BC69&gt;=5000,BC69*0.1,0)</f>
        <v>0</v>
      </c>
      <c r="BF69" s="35"/>
      <c r="BG69" s="69">
        <v>8537.2649999999994</v>
      </c>
      <c r="BH69" s="69">
        <v>1217.6050000000014</v>
      </c>
      <c r="BI69" s="83">
        <v>8537.2649999999994</v>
      </c>
      <c r="BJ69" s="34"/>
      <c r="BK69" s="34"/>
      <c r="BL69" s="34"/>
      <c r="BM69" s="34"/>
      <c r="BN69" s="69">
        <v>0</v>
      </c>
      <c r="BO69" s="34"/>
      <c r="BP69" s="69">
        <v>8537.2649999999994</v>
      </c>
      <c r="BQ69" s="102">
        <v>0</v>
      </c>
      <c r="BR69" s="34"/>
      <c r="BS69" s="34"/>
      <c r="BT69" s="34"/>
      <c r="BU69" s="34"/>
      <c r="BV69" s="34"/>
      <c r="BW69" s="34"/>
      <c r="BX69" s="34"/>
      <c r="CZ69" s="125">
        <f>SUM(CZ68:CZ68)</f>
        <v>0</v>
      </c>
      <c r="DP69" s="34"/>
      <c r="DQ69" s="34"/>
      <c r="DR69" s="34"/>
    </row>
    <row r="70" spans="1:122" x14ac:dyDescent="0.25">
      <c r="A70" s="33"/>
      <c r="B70" s="34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34"/>
      <c r="AA70" s="34"/>
      <c r="AB70" s="34"/>
      <c r="AC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4"/>
      <c r="BD70" s="34"/>
      <c r="BE70" s="34"/>
      <c r="BF70" s="34"/>
      <c r="BG70" s="34"/>
      <c r="BH70" s="76"/>
      <c r="BI70" s="34"/>
      <c r="BJ70" s="34"/>
      <c r="BK70" s="34"/>
      <c r="BL70" s="34"/>
      <c r="BM70" s="34"/>
      <c r="BN70" s="34"/>
      <c r="BO70" s="34"/>
      <c r="BP70" s="34"/>
      <c r="BQ70" s="102"/>
      <c r="BR70" s="34"/>
      <c r="BS70" s="34"/>
      <c r="BT70" s="34"/>
      <c r="BU70" s="34"/>
      <c r="BV70" s="34"/>
      <c r="BW70" s="34"/>
      <c r="BX70" s="34"/>
      <c r="CA70" s="156" t="s">
        <v>442</v>
      </c>
      <c r="CB70" s="156"/>
      <c r="CC70" s="156"/>
      <c r="CZ70" s="125">
        <f>+CZ69*0.16</f>
        <v>0</v>
      </c>
      <c r="DP70" s="34"/>
      <c r="DQ70" s="34"/>
      <c r="DR70" s="34"/>
    </row>
    <row r="71" spans="1:122" x14ac:dyDescent="0.25">
      <c r="Y71" s="40"/>
      <c r="Z71" s="34"/>
      <c r="AA71" s="34"/>
      <c r="AB71" s="34"/>
      <c r="AC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  <c r="AX71" s="34"/>
      <c r="AY71" s="34"/>
      <c r="AZ71" s="34"/>
      <c r="BA71" s="34"/>
      <c r="BB71" s="34"/>
      <c r="BC71" s="34"/>
      <c r="BD71" s="34"/>
      <c r="BE71" s="34"/>
      <c r="BF71" s="34"/>
      <c r="BG71" s="34"/>
      <c r="BH71" s="76"/>
      <c r="BI71" s="34"/>
      <c r="BJ71" s="34"/>
      <c r="BK71" s="34"/>
      <c r="BL71" s="34"/>
      <c r="BM71" s="34"/>
      <c r="BN71" s="34"/>
      <c r="BO71" s="34"/>
      <c r="BP71" s="34"/>
      <c r="BQ71" s="102"/>
      <c r="BR71" s="34"/>
      <c r="BS71" s="34"/>
      <c r="BT71" s="34"/>
      <c r="BU71" s="34"/>
      <c r="BV71" s="34"/>
      <c r="BW71" s="34"/>
      <c r="BX71" s="34"/>
      <c r="CA71" s="156"/>
      <c r="CB71" s="156"/>
      <c r="CC71" s="156"/>
      <c r="CZ71" s="125">
        <f>+CZ69+CZ70</f>
        <v>0</v>
      </c>
    </row>
  </sheetData>
  <autoFilter ref="A8:BX71"/>
  <sortState ref="A10:M65">
    <sortCondition ref="B10:B65"/>
  </sortState>
  <mergeCells count="8">
    <mergeCell ref="AH4:AL4"/>
    <mergeCell ref="S7:X7"/>
    <mergeCell ref="B1:C1"/>
    <mergeCell ref="B3:C3"/>
    <mergeCell ref="AH1:AL1"/>
    <mergeCell ref="AH2:AL2"/>
    <mergeCell ref="AH3:AL3"/>
    <mergeCell ref="DC8:DD8"/>
  </mergeCells>
  <pageMargins left="0.70866141732283472" right="0.70866141732283472" top="0.74803149606299213" bottom="0.74803149606299213" header="0.31496062992125984" footer="0.31496062992125984"/>
  <pageSetup scale="37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1"/>
  <sheetViews>
    <sheetView workbookViewId="0">
      <pane xSplit="1" ySplit="8" topLeftCell="B46" activePane="bottomRight" state="frozen"/>
      <selection pane="topRight" activeCell="B1" sqref="B1"/>
      <selection pane="bottomLeft" activeCell="A9" sqref="A9"/>
      <selection pane="bottomRight" activeCell="I68" sqref="I68"/>
    </sheetView>
  </sheetViews>
  <sheetFormatPr baseColWidth="10" defaultRowHeight="11.25" x14ac:dyDescent="0.2"/>
  <cols>
    <col min="1" max="1" width="11.42578125" style="25"/>
    <col min="2" max="2" width="26.5703125" style="25" bestFit="1" customWidth="1"/>
    <col min="3" max="3" width="13" style="25" bestFit="1" customWidth="1"/>
    <col min="4" max="5" width="16.140625" style="25" customWidth="1"/>
    <col min="6" max="9" width="11.42578125" style="25"/>
    <col min="10" max="16384" width="11.42578125" style="2"/>
  </cols>
  <sheetData>
    <row r="1" spans="1:9" ht="18" customHeight="1" x14ac:dyDescent="0.25">
      <c r="A1" s="50" t="s">
        <v>0</v>
      </c>
      <c r="B1" s="233" t="s">
        <v>19</v>
      </c>
      <c r="C1" s="234"/>
      <c r="D1" s="47"/>
      <c r="E1" s="47"/>
      <c r="F1" s="47"/>
      <c r="G1" s="47"/>
      <c r="H1" s="47"/>
      <c r="I1" s="47"/>
    </row>
    <row r="2" spans="1:9" ht="24.95" customHeight="1" x14ac:dyDescent="0.25">
      <c r="A2" s="51" t="s">
        <v>1</v>
      </c>
      <c r="B2" s="4" t="s">
        <v>279</v>
      </c>
      <c r="C2" s="5"/>
      <c r="D2" s="47"/>
      <c r="E2" s="47"/>
      <c r="F2" s="47"/>
      <c r="G2" s="47"/>
      <c r="H2" s="47"/>
      <c r="I2" s="47"/>
    </row>
    <row r="3" spans="1:9" ht="15.75" x14ac:dyDescent="0.25">
      <c r="A3" s="47"/>
      <c r="B3" s="237" t="s">
        <v>2</v>
      </c>
      <c r="C3" s="227"/>
      <c r="D3" s="47"/>
      <c r="E3" s="47"/>
      <c r="F3" s="47"/>
      <c r="G3" s="47"/>
      <c r="H3" s="47"/>
      <c r="I3" s="47"/>
    </row>
    <row r="4" spans="1:9" ht="15" x14ac:dyDescent="0.25">
      <c r="A4" s="47"/>
      <c r="B4" s="6" t="str">
        <f>+FACTURACIÓN!B4</f>
        <v>Periodo 4 al 4 Quincenal del 16/02/2016 al 29/02/2016</v>
      </c>
      <c r="C4" s="214"/>
      <c r="D4" s="47"/>
      <c r="E4" s="47"/>
      <c r="F4" s="47"/>
      <c r="G4" s="47"/>
      <c r="H4" s="47"/>
      <c r="I4" s="47"/>
    </row>
    <row r="5" spans="1:9" ht="15" x14ac:dyDescent="0.25">
      <c r="A5" s="47"/>
      <c r="B5" s="53" t="s">
        <v>281</v>
      </c>
      <c r="C5" s="47"/>
      <c r="D5" s="47"/>
      <c r="E5" s="47"/>
      <c r="F5" s="47"/>
      <c r="G5" s="47"/>
      <c r="H5" s="47"/>
      <c r="I5" s="47"/>
    </row>
    <row r="6" spans="1:9" ht="15" x14ac:dyDescent="0.25">
      <c r="A6" s="47"/>
      <c r="B6" s="53" t="s">
        <v>3</v>
      </c>
      <c r="C6" s="47"/>
      <c r="D6" s="47"/>
      <c r="E6" s="47"/>
      <c r="F6" s="47"/>
      <c r="G6" s="47"/>
      <c r="H6" s="47"/>
      <c r="I6" s="47"/>
    </row>
    <row r="8" spans="1:9" s="67" customFormat="1" ht="34.5" thickBot="1" x14ac:dyDescent="0.3">
      <c r="A8" s="65" t="s">
        <v>4</v>
      </c>
      <c r="B8" s="22" t="s">
        <v>5</v>
      </c>
      <c r="C8" s="22" t="s">
        <v>6</v>
      </c>
      <c r="D8" s="21" t="s">
        <v>282</v>
      </c>
      <c r="E8" s="21" t="s">
        <v>7</v>
      </c>
      <c r="F8" s="22" t="s">
        <v>8</v>
      </c>
      <c r="G8" s="22" t="s">
        <v>11</v>
      </c>
      <c r="H8" s="21" t="s">
        <v>12</v>
      </c>
      <c r="I8" s="66" t="s">
        <v>13</v>
      </c>
    </row>
    <row r="9" spans="1:9" ht="15.75" thickTop="1" x14ac:dyDescent="0.25">
      <c r="A9" s="47"/>
      <c r="B9" s="47"/>
      <c r="C9" s="47"/>
      <c r="D9" s="47"/>
      <c r="E9" s="47"/>
      <c r="F9" s="47"/>
      <c r="G9" s="47"/>
      <c r="H9" s="47"/>
      <c r="I9" s="47"/>
    </row>
    <row r="10" spans="1:9" x14ac:dyDescent="0.2">
      <c r="A10" s="49" t="s">
        <v>34</v>
      </c>
      <c r="B10" s="48" t="s">
        <v>35</v>
      </c>
      <c r="C10" s="59">
        <v>1095.5999999999999</v>
      </c>
      <c r="D10" s="59">
        <v>0</v>
      </c>
      <c r="E10" s="59">
        <f>SUM(C10:D10)</f>
        <v>1095.5999999999999</v>
      </c>
      <c r="F10" s="60">
        <v>-141.59</v>
      </c>
      <c r="G10" s="216">
        <v>-0.01</v>
      </c>
      <c r="H10" s="59">
        <f>SUM(F10:G10)</f>
        <v>-141.6</v>
      </c>
      <c r="I10" s="59">
        <f>+E10-H10</f>
        <v>1237.1999999999998</v>
      </c>
    </row>
    <row r="11" spans="1:9" x14ac:dyDescent="0.2">
      <c r="A11" s="49" t="s">
        <v>14</v>
      </c>
      <c r="B11" s="48" t="s">
        <v>36</v>
      </c>
      <c r="C11" s="59">
        <v>1095.5999999999999</v>
      </c>
      <c r="D11" s="59">
        <v>0</v>
      </c>
      <c r="E11" s="59">
        <v>1095.5999999999999</v>
      </c>
      <c r="F11" s="60">
        <v>-141.59</v>
      </c>
      <c r="G11" s="216">
        <v>-0.01</v>
      </c>
      <c r="H11" s="215">
        <f t="shared" ref="H11:H64" si="0">SUM(F11:G11)</f>
        <v>-141.6</v>
      </c>
      <c r="I11" s="215">
        <f t="shared" ref="I11:I64" si="1">+E11-H11</f>
        <v>1237.1999999999998</v>
      </c>
    </row>
    <row r="12" spans="1:9" x14ac:dyDescent="0.2">
      <c r="A12" s="49" t="s">
        <v>37</v>
      </c>
      <c r="B12" s="48" t="s">
        <v>38</v>
      </c>
      <c r="C12" s="59">
        <v>1095.5999999999999</v>
      </c>
      <c r="D12" s="59">
        <v>0</v>
      </c>
      <c r="E12" s="59">
        <v>1095.5999999999999</v>
      </c>
      <c r="F12" s="60">
        <v>-141.59</v>
      </c>
      <c r="G12" s="216">
        <v>-0.01</v>
      </c>
      <c r="H12" s="215">
        <f t="shared" si="0"/>
        <v>-141.6</v>
      </c>
      <c r="I12" s="215">
        <f t="shared" si="1"/>
        <v>1237.1999999999998</v>
      </c>
    </row>
    <row r="13" spans="1:9" x14ac:dyDescent="0.2">
      <c r="A13" s="49" t="s">
        <v>39</v>
      </c>
      <c r="B13" s="48" t="s">
        <v>40</v>
      </c>
      <c r="C13" s="59">
        <v>1095.5999999999999</v>
      </c>
      <c r="D13" s="59">
        <v>0</v>
      </c>
      <c r="E13" s="59">
        <v>1095.5999999999999</v>
      </c>
      <c r="F13" s="60">
        <v>-141.59</v>
      </c>
      <c r="G13" s="216">
        <v>-0.01</v>
      </c>
      <c r="H13" s="215">
        <f t="shared" si="0"/>
        <v>-141.6</v>
      </c>
      <c r="I13" s="215">
        <f t="shared" si="1"/>
        <v>1237.1999999999998</v>
      </c>
    </row>
    <row r="14" spans="1:9" x14ac:dyDescent="0.2">
      <c r="A14" s="49" t="s">
        <v>41</v>
      </c>
      <c r="B14" s="48" t="s">
        <v>42</v>
      </c>
      <c r="C14" s="59">
        <v>1095.5999999999999</v>
      </c>
      <c r="D14" s="59">
        <v>0</v>
      </c>
      <c r="E14" s="59">
        <v>1095.5999999999999</v>
      </c>
      <c r="F14" s="60">
        <v>-141.59</v>
      </c>
      <c r="G14" s="216">
        <v>-0.01</v>
      </c>
      <c r="H14" s="215">
        <f t="shared" si="0"/>
        <v>-141.6</v>
      </c>
      <c r="I14" s="215">
        <f t="shared" si="1"/>
        <v>1237.1999999999998</v>
      </c>
    </row>
    <row r="15" spans="1:9" x14ac:dyDescent="0.2">
      <c r="A15" s="49" t="s">
        <v>43</v>
      </c>
      <c r="B15" s="48" t="s">
        <v>44</v>
      </c>
      <c r="C15" s="59">
        <v>1095.5999999999999</v>
      </c>
      <c r="D15" s="59">
        <v>0</v>
      </c>
      <c r="E15" s="59">
        <v>1095.5999999999999</v>
      </c>
      <c r="F15" s="60">
        <v>-141.59</v>
      </c>
      <c r="G15" s="216">
        <v>-0.01</v>
      </c>
      <c r="H15" s="215">
        <f t="shared" si="0"/>
        <v>-141.6</v>
      </c>
      <c r="I15" s="215">
        <f t="shared" si="1"/>
        <v>1237.1999999999998</v>
      </c>
    </row>
    <row r="16" spans="1:9" x14ac:dyDescent="0.2">
      <c r="A16" s="49" t="s">
        <v>249</v>
      </c>
      <c r="B16" s="48" t="s">
        <v>276</v>
      </c>
      <c r="C16" s="59">
        <v>1095.5999999999999</v>
      </c>
      <c r="D16" s="59">
        <v>0</v>
      </c>
      <c r="E16" s="59">
        <v>1095.5999999999999</v>
      </c>
      <c r="F16" s="60">
        <v>-141.59</v>
      </c>
      <c r="G16" s="216">
        <v>-0.01</v>
      </c>
      <c r="H16" s="215">
        <f t="shared" si="0"/>
        <v>-141.6</v>
      </c>
      <c r="I16" s="215">
        <f t="shared" si="1"/>
        <v>1237.1999999999998</v>
      </c>
    </row>
    <row r="17" spans="1:9" x14ac:dyDescent="0.2">
      <c r="A17" s="49" t="s">
        <v>45</v>
      </c>
      <c r="B17" s="48" t="s">
        <v>46</v>
      </c>
      <c r="C17" s="59">
        <v>1095.5999999999999</v>
      </c>
      <c r="D17" s="59">
        <v>0</v>
      </c>
      <c r="E17" s="59">
        <v>1095.5999999999999</v>
      </c>
      <c r="F17" s="60">
        <v>-141.59</v>
      </c>
      <c r="G17" s="216">
        <v>-0.01</v>
      </c>
      <c r="H17" s="215">
        <f t="shared" si="0"/>
        <v>-141.6</v>
      </c>
      <c r="I17" s="215">
        <f t="shared" si="1"/>
        <v>1237.1999999999998</v>
      </c>
    </row>
    <row r="18" spans="1:9" x14ac:dyDescent="0.2">
      <c r="A18" s="49" t="s">
        <v>47</v>
      </c>
      <c r="B18" s="48" t="s">
        <v>48</v>
      </c>
      <c r="C18" s="59">
        <v>1095.5999999999999</v>
      </c>
      <c r="D18" s="59">
        <v>0</v>
      </c>
      <c r="E18" s="59">
        <v>1095.5999999999999</v>
      </c>
      <c r="F18" s="60">
        <v>-141.59</v>
      </c>
      <c r="G18" s="216">
        <v>-0.01</v>
      </c>
      <c r="H18" s="215">
        <f t="shared" si="0"/>
        <v>-141.6</v>
      </c>
      <c r="I18" s="215">
        <f t="shared" si="1"/>
        <v>1237.1999999999998</v>
      </c>
    </row>
    <row r="19" spans="1:9" x14ac:dyDescent="0.2">
      <c r="A19" s="49" t="s">
        <v>49</v>
      </c>
      <c r="B19" s="48" t="s">
        <v>50</v>
      </c>
      <c r="C19" s="59">
        <v>1095.5999999999999</v>
      </c>
      <c r="D19" s="59">
        <v>0</v>
      </c>
      <c r="E19" s="59">
        <v>1095.5999999999999</v>
      </c>
      <c r="F19" s="60">
        <v>-141.59</v>
      </c>
      <c r="G19" s="216">
        <v>-0.01</v>
      </c>
      <c r="H19" s="215">
        <f t="shared" si="0"/>
        <v>-141.6</v>
      </c>
      <c r="I19" s="215">
        <f t="shared" si="1"/>
        <v>1237.1999999999998</v>
      </c>
    </row>
    <row r="20" spans="1:9" x14ac:dyDescent="0.2">
      <c r="A20" s="49" t="s">
        <v>51</v>
      </c>
      <c r="B20" s="48" t="s">
        <v>52</v>
      </c>
      <c r="C20" s="59">
        <v>1095.5999999999999</v>
      </c>
      <c r="D20" s="59">
        <v>0</v>
      </c>
      <c r="E20" s="59">
        <v>1095.5999999999999</v>
      </c>
      <c r="F20" s="60">
        <v>-141.59</v>
      </c>
      <c r="G20" s="216">
        <v>-0.01</v>
      </c>
      <c r="H20" s="215">
        <f t="shared" si="0"/>
        <v>-141.6</v>
      </c>
      <c r="I20" s="215">
        <f t="shared" si="1"/>
        <v>1237.1999999999998</v>
      </c>
    </row>
    <row r="21" spans="1:9" x14ac:dyDescent="0.2">
      <c r="A21" s="49" t="s">
        <v>53</v>
      </c>
      <c r="B21" s="48" t="s">
        <v>54</v>
      </c>
      <c r="C21" s="59">
        <v>1095.5999999999999</v>
      </c>
      <c r="D21" s="59">
        <v>0</v>
      </c>
      <c r="E21" s="59">
        <v>1095.5999999999999</v>
      </c>
      <c r="F21" s="60">
        <v>-141.59</v>
      </c>
      <c r="G21" s="216">
        <v>-0.01</v>
      </c>
      <c r="H21" s="215">
        <f t="shared" si="0"/>
        <v>-141.6</v>
      </c>
      <c r="I21" s="215">
        <f t="shared" si="1"/>
        <v>1237.1999999999998</v>
      </c>
    </row>
    <row r="22" spans="1:9" x14ac:dyDescent="0.2">
      <c r="A22" s="49" t="s">
        <v>55</v>
      </c>
      <c r="B22" s="48" t="s">
        <v>56</v>
      </c>
      <c r="C22" s="59">
        <v>1095.5999999999999</v>
      </c>
      <c r="D22" s="59">
        <v>0</v>
      </c>
      <c r="E22" s="59">
        <v>1095.5999999999999</v>
      </c>
      <c r="F22" s="60">
        <v>-141.59</v>
      </c>
      <c r="G22" s="216">
        <v>-0.01</v>
      </c>
      <c r="H22" s="215">
        <f t="shared" si="0"/>
        <v>-141.6</v>
      </c>
      <c r="I22" s="215">
        <f t="shared" si="1"/>
        <v>1237.1999999999998</v>
      </c>
    </row>
    <row r="23" spans="1:9" x14ac:dyDescent="0.2">
      <c r="A23" s="49" t="s">
        <v>57</v>
      </c>
      <c r="B23" s="48" t="s">
        <v>58</v>
      </c>
      <c r="C23" s="59">
        <v>1095.5999999999999</v>
      </c>
      <c r="D23" s="59">
        <v>0</v>
      </c>
      <c r="E23" s="59">
        <v>1095.5999999999999</v>
      </c>
      <c r="F23" s="60">
        <v>-141.59</v>
      </c>
      <c r="G23" s="216">
        <v>-0.01</v>
      </c>
      <c r="H23" s="215">
        <f t="shared" si="0"/>
        <v>-141.6</v>
      </c>
      <c r="I23" s="215">
        <f t="shared" si="1"/>
        <v>1237.1999999999998</v>
      </c>
    </row>
    <row r="24" spans="1:9" x14ac:dyDescent="0.2">
      <c r="A24" s="49" t="s">
        <v>59</v>
      </c>
      <c r="B24" s="48" t="s">
        <v>60</v>
      </c>
      <c r="C24" s="59">
        <v>1095.5999999999999</v>
      </c>
      <c r="D24" s="59">
        <v>0</v>
      </c>
      <c r="E24" s="59">
        <v>1095.5999999999999</v>
      </c>
      <c r="F24" s="60">
        <v>-141.59</v>
      </c>
      <c r="G24" s="216">
        <v>-0.01</v>
      </c>
      <c r="H24" s="215">
        <f t="shared" si="0"/>
        <v>-141.6</v>
      </c>
      <c r="I24" s="215">
        <f t="shared" si="1"/>
        <v>1237.1999999999998</v>
      </c>
    </row>
    <row r="25" spans="1:9" x14ac:dyDescent="0.2">
      <c r="A25" s="49" t="s">
        <v>61</v>
      </c>
      <c r="B25" s="48" t="s">
        <v>62</v>
      </c>
      <c r="C25" s="59">
        <v>1095.5999999999999</v>
      </c>
      <c r="D25" s="59">
        <v>0</v>
      </c>
      <c r="E25" s="59">
        <v>1095.5999999999999</v>
      </c>
      <c r="F25" s="60">
        <v>-141.59</v>
      </c>
      <c r="G25" s="216">
        <v>-0.01</v>
      </c>
      <c r="H25" s="215">
        <f t="shared" si="0"/>
        <v>-141.6</v>
      </c>
      <c r="I25" s="215">
        <f t="shared" si="1"/>
        <v>1237.1999999999998</v>
      </c>
    </row>
    <row r="26" spans="1:9" x14ac:dyDescent="0.2">
      <c r="A26" s="49" t="s">
        <v>15</v>
      </c>
      <c r="B26" s="48" t="s">
        <v>63</v>
      </c>
      <c r="C26" s="59">
        <v>1095.5999999999999</v>
      </c>
      <c r="D26" s="59">
        <v>0</v>
      </c>
      <c r="E26" s="59">
        <v>1095.5999999999999</v>
      </c>
      <c r="F26" s="60">
        <v>-141.59</v>
      </c>
      <c r="G26" s="216">
        <v>-0.01</v>
      </c>
      <c r="H26" s="215">
        <f t="shared" si="0"/>
        <v>-141.6</v>
      </c>
      <c r="I26" s="215">
        <f t="shared" si="1"/>
        <v>1237.1999999999998</v>
      </c>
    </row>
    <row r="27" spans="1:9" x14ac:dyDescent="0.2">
      <c r="A27" s="49" t="s">
        <v>64</v>
      </c>
      <c r="B27" s="48" t="s">
        <v>65</v>
      </c>
      <c r="C27" s="59">
        <v>1095.5999999999999</v>
      </c>
      <c r="D27" s="59">
        <v>0</v>
      </c>
      <c r="E27" s="59">
        <v>1095.5999999999999</v>
      </c>
      <c r="F27" s="60">
        <v>-141.59</v>
      </c>
      <c r="G27" s="216">
        <v>-0.01</v>
      </c>
      <c r="H27" s="215">
        <f t="shared" si="0"/>
        <v>-141.6</v>
      </c>
      <c r="I27" s="215">
        <f t="shared" si="1"/>
        <v>1237.1999999999998</v>
      </c>
    </row>
    <row r="28" spans="1:9" x14ac:dyDescent="0.2">
      <c r="A28" s="49" t="s">
        <v>66</v>
      </c>
      <c r="B28" s="48" t="s">
        <v>67</v>
      </c>
      <c r="C28" s="59">
        <v>1095.5999999999999</v>
      </c>
      <c r="D28" s="59">
        <v>0</v>
      </c>
      <c r="E28" s="59">
        <v>1095.5999999999999</v>
      </c>
      <c r="F28" s="60">
        <v>-141.59</v>
      </c>
      <c r="G28" s="216">
        <v>-0.01</v>
      </c>
      <c r="H28" s="215">
        <f t="shared" si="0"/>
        <v>-141.6</v>
      </c>
      <c r="I28" s="215">
        <f t="shared" si="1"/>
        <v>1237.1999999999998</v>
      </c>
    </row>
    <row r="29" spans="1:9" x14ac:dyDescent="0.2">
      <c r="A29" s="49" t="s">
        <v>68</v>
      </c>
      <c r="B29" s="48" t="s">
        <v>69</v>
      </c>
      <c r="C29" s="59">
        <v>1095.5999999999999</v>
      </c>
      <c r="D29" s="59">
        <v>0</v>
      </c>
      <c r="E29" s="59">
        <v>1095.5999999999999</v>
      </c>
      <c r="F29" s="60">
        <v>-141.59</v>
      </c>
      <c r="G29" s="216">
        <v>-0.01</v>
      </c>
      <c r="H29" s="215">
        <f t="shared" si="0"/>
        <v>-141.6</v>
      </c>
      <c r="I29" s="215">
        <f t="shared" si="1"/>
        <v>1237.1999999999998</v>
      </c>
    </row>
    <row r="30" spans="1:9" x14ac:dyDescent="0.2">
      <c r="A30" s="49" t="s">
        <v>70</v>
      </c>
      <c r="B30" s="48" t="s">
        <v>71</v>
      </c>
      <c r="C30" s="59">
        <v>1095.5999999999999</v>
      </c>
      <c r="D30" s="59">
        <v>0</v>
      </c>
      <c r="E30" s="59">
        <v>1095.5999999999999</v>
      </c>
      <c r="F30" s="60">
        <v>-141.59</v>
      </c>
      <c r="G30" s="216">
        <v>-0.01</v>
      </c>
      <c r="H30" s="215">
        <f t="shared" si="0"/>
        <v>-141.6</v>
      </c>
      <c r="I30" s="215">
        <f t="shared" si="1"/>
        <v>1237.1999999999998</v>
      </c>
    </row>
    <row r="31" spans="1:9" x14ac:dyDescent="0.2">
      <c r="A31" s="49" t="s">
        <v>72</v>
      </c>
      <c r="B31" s="48" t="s">
        <v>73</v>
      </c>
      <c r="C31" s="59">
        <v>1095.5999999999999</v>
      </c>
      <c r="D31" s="59">
        <v>0</v>
      </c>
      <c r="E31" s="59">
        <v>1095.5999999999999</v>
      </c>
      <c r="F31" s="60">
        <v>-141.59</v>
      </c>
      <c r="G31" s="216">
        <v>-0.01</v>
      </c>
      <c r="H31" s="215">
        <f t="shared" si="0"/>
        <v>-141.6</v>
      </c>
      <c r="I31" s="215">
        <f t="shared" si="1"/>
        <v>1237.1999999999998</v>
      </c>
    </row>
    <row r="32" spans="1:9" x14ac:dyDescent="0.2">
      <c r="A32" s="49" t="s">
        <v>74</v>
      </c>
      <c r="B32" s="48" t="s">
        <v>75</v>
      </c>
      <c r="C32" s="59">
        <v>1095.5999999999999</v>
      </c>
      <c r="D32" s="59">
        <v>0</v>
      </c>
      <c r="E32" s="59">
        <v>1095.5999999999999</v>
      </c>
      <c r="F32" s="60">
        <v>-141.59</v>
      </c>
      <c r="G32" s="216">
        <v>-0.01</v>
      </c>
      <c r="H32" s="215">
        <f t="shared" si="0"/>
        <v>-141.6</v>
      </c>
      <c r="I32" s="215">
        <f t="shared" si="1"/>
        <v>1237.1999999999998</v>
      </c>
    </row>
    <row r="33" spans="1:9" x14ac:dyDescent="0.2">
      <c r="A33" s="49" t="s">
        <v>80</v>
      </c>
      <c r="B33" s="48" t="s">
        <v>81</v>
      </c>
      <c r="C33" s="59">
        <v>1095.5999999999999</v>
      </c>
      <c r="D33" s="59">
        <v>0</v>
      </c>
      <c r="E33" s="59">
        <v>1095.5999999999999</v>
      </c>
      <c r="F33" s="60">
        <v>-141.59</v>
      </c>
      <c r="G33" s="216">
        <v>-0.01</v>
      </c>
      <c r="H33" s="215">
        <f t="shared" si="0"/>
        <v>-141.6</v>
      </c>
      <c r="I33" s="215">
        <f t="shared" si="1"/>
        <v>1237.1999999999998</v>
      </c>
    </row>
    <row r="34" spans="1:9" x14ac:dyDescent="0.2">
      <c r="A34" s="49" t="s">
        <v>76</v>
      </c>
      <c r="B34" s="48" t="s">
        <v>77</v>
      </c>
      <c r="C34" s="59">
        <v>1095.5999999999999</v>
      </c>
      <c r="D34" s="59">
        <v>0</v>
      </c>
      <c r="E34" s="59">
        <v>1095.5999999999999</v>
      </c>
      <c r="F34" s="60">
        <v>-141.59</v>
      </c>
      <c r="G34" s="216">
        <v>-0.01</v>
      </c>
      <c r="H34" s="215">
        <f t="shared" si="0"/>
        <v>-141.6</v>
      </c>
      <c r="I34" s="215">
        <f t="shared" si="1"/>
        <v>1237.1999999999998</v>
      </c>
    </row>
    <row r="35" spans="1:9" x14ac:dyDescent="0.2">
      <c r="A35" s="49" t="s">
        <v>78</v>
      </c>
      <c r="B35" s="48" t="s">
        <v>79</v>
      </c>
      <c r="C35" s="59">
        <v>1095.5999999999999</v>
      </c>
      <c r="D35" s="59">
        <v>0</v>
      </c>
      <c r="E35" s="59">
        <v>1095.5999999999999</v>
      </c>
      <c r="F35" s="60">
        <v>-141.59</v>
      </c>
      <c r="G35" s="216">
        <v>-0.01</v>
      </c>
      <c r="H35" s="215">
        <f t="shared" si="0"/>
        <v>-141.6</v>
      </c>
      <c r="I35" s="215">
        <f t="shared" si="1"/>
        <v>1237.1999999999998</v>
      </c>
    </row>
    <row r="36" spans="1:9" x14ac:dyDescent="0.2">
      <c r="A36" s="49" t="s">
        <v>82</v>
      </c>
      <c r="B36" s="48" t="s">
        <v>83</v>
      </c>
      <c r="C36" s="59">
        <v>1095.5999999999999</v>
      </c>
      <c r="D36" s="59">
        <v>0</v>
      </c>
      <c r="E36" s="59">
        <v>1095.5999999999999</v>
      </c>
      <c r="F36" s="60">
        <v>-141.59</v>
      </c>
      <c r="G36" s="215">
        <v>0.19</v>
      </c>
      <c r="H36" s="215">
        <f t="shared" si="0"/>
        <v>-141.4</v>
      </c>
      <c r="I36" s="215">
        <f t="shared" si="1"/>
        <v>1237</v>
      </c>
    </row>
    <row r="37" spans="1:9" x14ac:dyDescent="0.2">
      <c r="A37" s="49" t="s">
        <v>84</v>
      </c>
      <c r="B37" s="48" t="s">
        <v>85</v>
      </c>
      <c r="C37" s="59">
        <v>1095.5999999999999</v>
      </c>
      <c r="D37" s="59">
        <v>0</v>
      </c>
      <c r="E37" s="59">
        <v>1095.5999999999999</v>
      </c>
      <c r="F37" s="60">
        <v>-141.59</v>
      </c>
      <c r="G37" s="216">
        <v>-0.01</v>
      </c>
      <c r="H37" s="215">
        <f t="shared" si="0"/>
        <v>-141.6</v>
      </c>
      <c r="I37" s="215">
        <f t="shared" si="1"/>
        <v>1237.1999999999998</v>
      </c>
    </row>
    <row r="38" spans="1:9" x14ac:dyDescent="0.2">
      <c r="A38" s="49" t="s">
        <v>88</v>
      </c>
      <c r="B38" s="48" t="s">
        <v>89</v>
      </c>
      <c r="C38" s="59">
        <v>1095.5999999999999</v>
      </c>
      <c r="D38" s="59">
        <v>0</v>
      </c>
      <c r="E38" s="59">
        <v>1095.5999999999999</v>
      </c>
      <c r="F38" s="60">
        <v>-141.59</v>
      </c>
      <c r="G38" s="215">
        <v>0.19</v>
      </c>
      <c r="H38" s="215">
        <f t="shared" si="0"/>
        <v>-141.4</v>
      </c>
      <c r="I38" s="215">
        <f t="shared" si="1"/>
        <v>1237</v>
      </c>
    </row>
    <row r="39" spans="1:9" x14ac:dyDescent="0.2">
      <c r="A39" s="49" t="s">
        <v>90</v>
      </c>
      <c r="B39" s="48" t="s">
        <v>91</v>
      </c>
      <c r="C39" s="59">
        <v>1095.5999999999999</v>
      </c>
      <c r="D39" s="59">
        <v>0</v>
      </c>
      <c r="E39" s="59">
        <v>1095.5999999999999</v>
      </c>
      <c r="F39" s="60">
        <v>-141.59</v>
      </c>
      <c r="G39" s="216">
        <v>-0.01</v>
      </c>
      <c r="H39" s="215">
        <f t="shared" si="0"/>
        <v>-141.6</v>
      </c>
      <c r="I39" s="215">
        <f t="shared" si="1"/>
        <v>1237.1999999999998</v>
      </c>
    </row>
    <row r="40" spans="1:9" x14ac:dyDescent="0.2">
      <c r="A40" s="49" t="s">
        <v>92</v>
      </c>
      <c r="B40" s="48" t="s">
        <v>93</v>
      </c>
      <c r="C40" s="59">
        <v>1095.5999999999999</v>
      </c>
      <c r="D40" s="59">
        <v>0</v>
      </c>
      <c r="E40" s="59">
        <v>1095.5999999999999</v>
      </c>
      <c r="F40" s="60">
        <v>-141.59</v>
      </c>
      <c r="G40" s="216">
        <v>-0.01</v>
      </c>
      <c r="H40" s="215">
        <f t="shared" si="0"/>
        <v>-141.6</v>
      </c>
      <c r="I40" s="215">
        <f t="shared" si="1"/>
        <v>1237.1999999999998</v>
      </c>
    </row>
    <row r="41" spans="1:9" x14ac:dyDescent="0.2">
      <c r="A41" s="49" t="s">
        <v>94</v>
      </c>
      <c r="B41" s="48" t="s">
        <v>95</v>
      </c>
      <c r="C41" s="59">
        <v>1095.5999999999999</v>
      </c>
      <c r="D41" s="59">
        <v>0</v>
      </c>
      <c r="E41" s="59">
        <v>1095.5999999999999</v>
      </c>
      <c r="F41" s="60">
        <v>-141.59</v>
      </c>
      <c r="G41" s="216">
        <v>-0.01</v>
      </c>
      <c r="H41" s="215">
        <f t="shared" si="0"/>
        <v>-141.6</v>
      </c>
      <c r="I41" s="215">
        <f t="shared" si="1"/>
        <v>1237.1999999999998</v>
      </c>
    </row>
    <row r="42" spans="1:9" x14ac:dyDescent="0.2">
      <c r="A42" s="49" t="s">
        <v>96</v>
      </c>
      <c r="B42" s="48" t="s">
        <v>97</v>
      </c>
      <c r="C42" s="59">
        <v>1095.5999999999999</v>
      </c>
      <c r="D42" s="59">
        <v>0</v>
      </c>
      <c r="E42" s="59">
        <v>1095.5999999999999</v>
      </c>
      <c r="F42" s="60">
        <v>-141.59</v>
      </c>
      <c r="G42" s="216">
        <v>-0.01</v>
      </c>
      <c r="H42" s="215">
        <f t="shared" si="0"/>
        <v>-141.6</v>
      </c>
      <c r="I42" s="215">
        <f t="shared" si="1"/>
        <v>1237.1999999999998</v>
      </c>
    </row>
    <row r="43" spans="1:9" x14ac:dyDescent="0.2">
      <c r="A43" s="49" t="s">
        <v>98</v>
      </c>
      <c r="B43" s="48" t="s">
        <v>99</v>
      </c>
      <c r="C43" s="59">
        <v>1095.5999999999999</v>
      </c>
      <c r="D43" s="59">
        <v>0</v>
      </c>
      <c r="E43" s="59">
        <v>1095.5999999999999</v>
      </c>
      <c r="F43" s="60">
        <v>-141.59</v>
      </c>
      <c r="G43" s="216">
        <v>-0.01</v>
      </c>
      <c r="H43" s="215">
        <f t="shared" si="0"/>
        <v>-141.6</v>
      </c>
      <c r="I43" s="215">
        <f t="shared" si="1"/>
        <v>1237.1999999999998</v>
      </c>
    </row>
    <row r="44" spans="1:9" x14ac:dyDescent="0.2">
      <c r="A44" s="49" t="s">
        <v>277</v>
      </c>
      <c r="B44" s="48" t="s">
        <v>278</v>
      </c>
      <c r="C44" s="59">
        <v>1095.5999999999999</v>
      </c>
      <c r="D44" s="59">
        <v>0</v>
      </c>
      <c r="E44" s="59">
        <v>1095.5999999999999</v>
      </c>
      <c r="F44" s="60">
        <v>-141.59</v>
      </c>
      <c r="G44" s="216">
        <v>-0.01</v>
      </c>
      <c r="H44" s="215">
        <f t="shared" si="0"/>
        <v>-141.6</v>
      </c>
      <c r="I44" s="215">
        <f t="shared" si="1"/>
        <v>1237.1999999999998</v>
      </c>
    </row>
    <row r="45" spans="1:9" x14ac:dyDescent="0.2">
      <c r="A45" s="49" t="s">
        <v>100</v>
      </c>
      <c r="B45" s="48" t="s">
        <v>101</v>
      </c>
      <c r="C45" s="59">
        <v>1095.5999999999999</v>
      </c>
      <c r="D45" s="59">
        <v>0</v>
      </c>
      <c r="E45" s="59">
        <v>1095.5999999999999</v>
      </c>
      <c r="F45" s="60">
        <v>-141.59</v>
      </c>
      <c r="G45" s="216">
        <v>-0.01</v>
      </c>
      <c r="H45" s="215">
        <f t="shared" si="0"/>
        <v>-141.6</v>
      </c>
      <c r="I45" s="215">
        <f t="shared" si="1"/>
        <v>1237.1999999999998</v>
      </c>
    </row>
    <row r="46" spans="1:9" x14ac:dyDescent="0.2">
      <c r="A46" s="49" t="s">
        <v>102</v>
      </c>
      <c r="B46" s="48" t="s">
        <v>103</v>
      </c>
      <c r="C46" s="59">
        <v>1095.5999999999999</v>
      </c>
      <c r="D46" s="59">
        <v>0</v>
      </c>
      <c r="E46" s="59">
        <v>1095.5999999999999</v>
      </c>
      <c r="F46" s="60">
        <v>-141.59</v>
      </c>
      <c r="G46" s="216">
        <v>-0.01</v>
      </c>
      <c r="H46" s="215">
        <f t="shared" si="0"/>
        <v>-141.6</v>
      </c>
      <c r="I46" s="215">
        <f t="shared" si="1"/>
        <v>1237.1999999999998</v>
      </c>
    </row>
    <row r="47" spans="1:9" x14ac:dyDescent="0.2">
      <c r="A47" s="49" t="s">
        <v>104</v>
      </c>
      <c r="B47" s="48" t="s">
        <v>105</v>
      </c>
      <c r="C47" s="59">
        <v>1095.5999999999999</v>
      </c>
      <c r="D47" s="59">
        <v>0</v>
      </c>
      <c r="E47" s="59">
        <v>1095.5999999999999</v>
      </c>
      <c r="F47" s="60">
        <v>-141.59</v>
      </c>
      <c r="G47" s="216">
        <v>-0.01</v>
      </c>
      <c r="H47" s="215">
        <f t="shared" si="0"/>
        <v>-141.6</v>
      </c>
      <c r="I47" s="215">
        <f t="shared" si="1"/>
        <v>1237.1999999999998</v>
      </c>
    </row>
    <row r="48" spans="1:9" x14ac:dyDescent="0.2">
      <c r="A48" s="49" t="s">
        <v>108</v>
      </c>
      <c r="B48" s="48" t="s">
        <v>109</v>
      </c>
      <c r="C48" s="59">
        <v>1095.5999999999999</v>
      </c>
      <c r="D48" s="59">
        <v>0</v>
      </c>
      <c r="E48" s="59">
        <v>1095.5999999999999</v>
      </c>
      <c r="F48" s="60">
        <v>-141.59</v>
      </c>
      <c r="G48" s="216">
        <v>-0.01</v>
      </c>
      <c r="H48" s="215">
        <f t="shared" si="0"/>
        <v>-141.6</v>
      </c>
      <c r="I48" s="215">
        <f t="shared" si="1"/>
        <v>1237.1999999999998</v>
      </c>
    </row>
    <row r="49" spans="1:9" x14ac:dyDescent="0.2">
      <c r="A49" s="49" t="s">
        <v>106</v>
      </c>
      <c r="B49" s="48" t="s">
        <v>107</v>
      </c>
      <c r="C49" s="59">
        <v>1095.5999999999999</v>
      </c>
      <c r="D49" s="59">
        <v>0</v>
      </c>
      <c r="E49" s="59">
        <v>1095.5999999999999</v>
      </c>
      <c r="F49" s="60">
        <v>-141.59</v>
      </c>
      <c r="G49" s="215">
        <v>0.19</v>
      </c>
      <c r="H49" s="215">
        <f t="shared" si="0"/>
        <v>-141.4</v>
      </c>
      <c r="I49" s="215">
        <f t="shared" si="1"/>
        <v>1237</v>
      </c>
    </row>
    <row r="50" spans="1:9" x14ac:dyDescent="0.2">
      <c r="A50" s="49" t="s">
        <v>110</v>
      </c>
      <c r="B50" s="48" t="s">
        <v>111</v>
      </c>
      <c r="C50" s="59">
        <v>1095.5999999999999</v>
      </c>
      <c r="D50" s="59">
        <v>0</v>
      </c>
      <c r="E50" s="59">
        <v>1095.5999999999999</v>
      </c>
      <c r="F50" s="60">
        <v>-141.59</v>
      </c>
      <c r="G50" s="216">
        <v>-0.01</v>
      </c>
      <c r="H50" s="215">
        <f t="shared" si="0"/>
        <v>-141.6</v>
      </c>
      <c r="I50" s="215">
        <f t="shared" si="1"/>
        <v>1237.1999999999998</v>
      </c>
    </row>
    <row r="51" spans="1:9" x14ac:dyDescent="0.2">
      <c r="A51" s="49" t="s">
        <v>112</v>
      </c>
      <c r="B51" s="48" t="s">
        <v>113</v>
      </c>
      <c r="C51" s="59">
        <v>1095.5999999999999</v>
      </c>
      <c r="D51" s="59">
        <v>0</v>
      </c>
      <c r="E51" s="59">
        <v>1095.5999999999999</v>
      </c>
      <c r="F51" s="60">
        <v>-141.59</v>
      </c>
      <c r="G51" s="216">
        <v>-0.01</v>
      </c>
      <c r="H51" s="215">
        <f t="shared" si="0"/>
        <v>-141.6</v>
      </c>
      <c r="I51" s="215">
        <f t="shared" si="1"/>
        <v>1237.1999999999998</v>
      </c>
    </row>
    <row r="52" spans="1:9" x14ac:dyDescent="0.2">
      <c r="A52" s="49" t="s">
        <v>114</v>
      </c>
      <c r="B52" s="48" t="s">
        <v>115</v>
      </c>
      <c r="C52" s="59">
        <v>1095.5999999999999</v>
      </c>
      <c r="D52" s="59">
        <v>0</v>
      </c>
      <c r="E52" s="59">
        <v>1095.5999999999999</v>
      </c>
      <c r="F52" s="60">
        <v>-141.59</v>
      </c>
      <c r="G52" s="216">
        <v>-0.01</v>
      </c>
      <c r="H52" s="215">
        <f t="shared" si="0"/>
        <v>-141.6</v>
      </c>
      <c r="I52" s="215">
        <f t="shared" si="1"/>
        <v>1237.1999999999998</v>
      </c>
    </row>
    <row r="53" spans="1:9" x14ac:dyDescent="0.2">
      <c r="A53" s="49" t="s">
        <v>116</v>
      </c>
      <c r="B53" s="48" t="s">
        <v>117</v>
      </c>
      <c r="C53" s="59">
        <v>1095.5999999999999</v>
      </c>
      <c r="D53" s="59">
        <v>0</v>
      </c>
      <c r="E53" s="59">
        <v>1095.5999999999999</v>
      </c>
      <c r="F53" s="60">
        <v>-141.59</v>
      </c>
      <c r="G53" s="216">
        <v>-0.01</v>
      </c>
      <c r="H53" s="215">
        <f t="shared" si="0"/>
        <v>-141.6</v>
      </c>
      <c r="I53" s="215">
        <f t="shared" si="1"/>
        <v>1237.1999999999998</v>
      </c>
    </row>
    <row r="54" spans="1:9" x14ac:dyDescent="0.2">
      <c r="A54" s="49" t="s">
        <v>118</v>
      </c>
      <c r="B54" s="48" t="s">
        <v>119</v>
      </c>
      <c r="C54" s="59">
        <v>1095.5999999999999</v>
      </c>
      <c r="D54" s="59">
        <v>0</v>
      </c>
      <c r="E54" s="59">
        <v>1095.5999999999999</v>
      </c>
      <c r="F54" s="60">
        <v>-141.59</v>
      </c>
      <c r="G54" s="216">
        <v>-0.01</v>
      </c>
      <c r="H54" s="215">
        <f t="shared" si="0"/>
        <v>-141.6</v>
      </c>
      <c r="I54" s="215">
        <f t="shared" si="1"/>
        <v>1237.1999999999998</v>
      </c>
    </row>
    <row r="55" spans="1:9" x14ac:dyDescent="0.2">
      <c r="A55" s="49" t="s">
        <v>120</v>
      </c>
      <c r="B55" s="48" t="s">
        <v>121</v>
      </c>
      <c r="C55" s="59">
        <v>1095.5999999999999</v>
      </c>
      <c r="D55" s="59">
        <v>0</v>
      </c>
      <c r="E55" s="59">
        <v>1095.5999999999999</v>
      </c>
      <c r="F55" s="60">
        <v>-141.59</v>
      </c>
      <c r="G55" s="216">
        <v>-0.01</v>
      </c>
      <c r="H55" s="215">
        <f t="shared" si="0"/>
        <v>-141.6</v>
      </c>
      <c r="I55" s="215">
        <f t="shared" si="1"/>
        <v>1237.1999999999998</v>
      </c>
    </row>
    <row r="56" spans="1:9" x14ac:dyDescent="0.2">
      <c r="A56" s="49" t="s">
        <v>122</v>
      </c>
      <c r="B56" s="48" t="s">
        <v>123</v>
      </c>
      <c r="C56" s="59">
        <v>1095.5999999999999</v>
      </c>
      <c r="D56" s="59">
        <v>0</v>
      </c>
      <c r="E56" s="59">
        <v>1095.5999999999999</v>
      </c>
      <c r="F56" s="60">
        <v>-141.59</v>
      </c>
      <c r="G56" s="216">
        <v>-0.01</v>
      </c>
      <c r="H56" s="215">
        <f t="shared" si="0"/>
        <v>-141.6</v>
      </c>
      <c r="I56" s="215">
        <f t="shared" si="1"/>
        <v>1237.1999999999998</v>
      </c>
    </row>
    <row r="57" spans="1:9" x14ac:dyDescent="0.2">
      <c r="A57" s="49" t="s">
        <v>124</v>
      </c>
      <c r="B57" s="48" t="s">
        <v>125</v>
      </c>
      <c r="C57" s="59">
        <v>1095.5999999999999</v>
      </c>
      <c r="D57" s="59">
        <v>0</v>
      </c>
      <c r="E57" s="59">
        <v>1095.5999999999999</v>
      </c>
      <c r="F57" s="60">
        <v>-141.59</v>
      </c>
      <c r="G57" s="216">
        <v>-0.01</v>
      </c>
      <c r="H57" s="215">
        <f t="shared" si="0"/>
        <v>-141.6</v>
      </c>
      <c r="I57" s="215">
        <f t="shared" si="1"/>
        <v>1237.1999999999998</v>
      </c>
    </row>
    <row r="58" spans="1:9" x14ac:dyDescent="0.2">
      <c r="A58" s="49" t="s">
        <v>126</v>
      </c>
      <c r="B58" s="48" t="s">
        <v>127</v>
      </c>
      <c r="C58" s="59">
        <v>1095.5999999999999</v>
      </c>
      <c r="D58" s="59">
        <v>0</v>
      </c>
      <c r="E58" s="59">
        <v>1095.5999999999999</v>
      </c>
      <c r="F58" s="60">
        <v>-141.59</v>
      </c>
      <c r="G58" s="216">
        <v>-0.01</v>
      </c>
      <c r="H58" s="215">
        <f t="shared" si="0"/>
        <v>-141.6</v>
      </c>
      <c r="I58" s="215">
        <f t="shared" si="1"/>
        <v>1237.1999999999998</v>
      </c>
    </row>
    <row r="59" spans="1:9" x14ac:dyDescent="0.2">
      <c r="A59" s="49" t="s">
        <v>128</v>
      </c>
      <c r="B59" s="48" t="s">
        <v>129</v>
      </c>
      <c r="C59" s="59">
        <v>1095.5999999999999</v>
      </c>
      <c r="D59" s="59">
        <v>0</v>
      </c>
      <c r="E59" s="59">
        <v>1095.5999999999999</v>
      </c>
      <c r="F59" s="60">
        <v>-141.59</v>
      </c>
      <c r="G59" s="216">
        <v>-0.01</v>
      </c>
      <c r="H59" s="215">
        <f t="shared" si="0"/>
        <v>-141.6</v>
      </c>
      <c r="I59" s="215">
        <f t="shared" si="1"/>
        <v>1237.1999999999998</v>
      </c>
    </row>
    <row r="60" spans="1:9" x14ac:dyDescent="0.2">
      <c r="A60" s="49" t="s">
        <v>130</v>
      </c>
      <c r="B60" s="48" t="s">
        <v>131</v>
      </c>
      <c r="C60" s="59">
        <v>1095.5999999999999</v>
      </c>
      <c r="D60" s="59">
        <v>0</v>
      </c>
      <c r="E60" s="59">
        <v>1095.5999999999999</v>
      </c>
      <c r="F60" s="60">
        <v>-141.59</v>
      </c>
      <c r="G60" s="216">
        <v>-0.01</v>
      </c>
      <c r="H60" s="215">
        <f t="shared" si="0"/>
        <v>-141.6</v>
      </c>
      <c r="I60" s="215">
        <f t="shared" si="1"/>
        <v>1237.1999999999998</v>
      </c>
    </row>
    <row r="61" spans="1:9" x14ac:dyDescent="0.2">
      <c r="A61" s="49" t="s">
        <v>132</v>
      </c>
      <c r="B61" s="48" t="s">
        <v>133</v>
      </c>
      <c r="C61" s="59">
        <v>1095.5999999999999</v>
      </c>
      <c r="D61" s="59">
        <v>0</v>
      </c>
      <c r="E61" s="59">
        <v>1095.5999999999999</v>
      </c>
      <c r="F61" s="60">
        <v>-141.59</v>
      </c>
      <c r="G61" s="216">
        <v>-0.01</v>
      </c>
      <c r="H61" s="215">
        <f t="shared" si="0"/>
        <v>-141.6</v>
      </c>
      <c r="I61" s="215">
        <f t="shared" si="1"/>
        <v>1237.1999999999998</v>
      </c>
    </row>
    <row r="62" spans="1:9" x14ac:dyDescent="0.2">
      <c r="A62" s="49" t="s">
        <v>283</v>
      </c>
      <c r="B62" s="48" t="s">
        <v>16</v>
      </c>
      <c r="C62" s="59">
        <v>1095.5999999999999</v>
      </c>
      <c r="D62" s="59">
        <v>0</v>
      </c>
      <c r="E62" s="59">
        <v>1095.5999999999999</v>
      </c>
      <c r="F62" s="60">
        <v>-141.59</v>
      </c>
      <c r="G62" s="216">
        <v>-0.01</v>
      </c>
      <c r="H62" s="215">
        <f t="shared" si="0"/>
        <v>-141.6</v>
      </c>
      <c r="I62" s="215">
        <f t="shared" si="1"/>
        <v>1237.1999999999998</v>
      </c>
    </row>
    <row r="63" spans="1:9" x14ac:dyDescent="0.2">
      <c r="A63" s="49" t="s">
        <v>134</v>
      </c>
      <c r="B63" s="48" t="s">
        <v>135</v>
      </c>
      <c r="C63" s="59">
        <v>1095.5999999999999</v>
      </c>
      <c r="D63" s="59">
        <v>0</v>
      </c>
      <c r="E63" s="59">
        <v>1095.5999999999999</v>
      </c>
      <c r="F63" s="60">
        <v>-141.59</v>
      </c>
      <c r="G63" s="216">
        <v>-0.01</v>
      </c>
      <c r="H63" s="215">
        <f t="shared" si="0"/>
        <v>-141.6</v>
      </c>
      <c r="I63" s="215">
        <f t="shared" si="1"/>
        <v>1237.1999999999998</v>
      </c>
    </row>
    <row r="64" spans="1:9" x14ac:dyDescent="0.2">
      <c r="A64" s="49" t="s">
        <v>136</v>
      </c>
      <c r="B64" s="48" t="s">
        <v>137</v>
      </c>
      <c r="C64" s="59">
        <v>1095.5999999999999</v>
      </c>
      <c r="D64" s="59">
        <v>0</v>
      </c>
      <c r="E64" s="59">
        <v>1095.5999999999999</v>
      </c>
      <c r="F64" s="60">
        <v>-141.59</v>
      </c>
      <c r="G64" s="216">
        <v>-0.01</v>
      </c>
      <c r="H64" s="215">
        <f t="shared" si="0"/>
        <v>-141.6</v>
      </c>
      <c r="I64" s="215">
        <f t="shared" si="1"/>
        <v>1237.1999999999998</v>
      </c>
    </row>
    <row r="65" spans="1:9" x14ac:dyDescent="0.2">
      <c r="A65" s="64"/>
      <c r="B65" s="48"/>
      <c r="C65" s="63"/>
      <c r="D65" s="63"/>
      <c r="E65" s="63"/>
    </row>
    <row r="67" spans="1:9" x14ac:dyDescent="0.2">
      <c r="A67" s="61"/>
      <c r="B67" s="54"/>
      <c r="C67" s="54" t="s">
        <v>17</v>
      </c>
      <c r="D67" s="54" t="s">
        <v>17</v>
      </c>
      <c r="E67" s="54" t="s">
        <v>17</v>
      </c>
      <c r="F67" s="54" t="s">
        <v>17</v>
      </c>
      <c r="G67" s="54" t="s">
        <v>17</v>
      </c>
      <c r="H67" s="54" t="s">
        <v>17</v>
      </c>
      <c r="I67" s="54" t="s">
        <v>17</v>
      </c>
    </row>
    <row r="68" spans="1:9" x14ac:dyDescent="0.2">
      <c r="A68" s="64" t="s">
        <v>18</v>
      </c>
      <c r="B68" s="48" t="s">
        <v>19</v>
      </c>
      <c r="C68" s="63">
        <f>SUM(C10:C67)</f>
        <v>60257.999999999949</v>
      </c>
      <c r="D68" s="63">
        <f t="shared" ref="D68:H68" si="2">SUM(D10:D67)</f>
        <v>0</v>
      </c>
      <c r="E68" s="63">
        <f t="shared" si="2"/>
        <v>60257.999999999949</v>
      </c>
      <c r="F68" s="63">
        <f t="shared" si="2"/>
        <v>-7787.4500000000053</v>
      </c>
      <c r="G68" s="63">
        <f t="shared" si="2"/>
        <v>4.999999999999992E-2</v>
      </c>
      <c r="H68" s="63">
        <f t="shared" si="2"/>
        <v>-7787.4000000000069</v>
      </c>
      <c r="I68" s="63">
        <f>SUM(I10:I67)</f>
        <v>68045.399999999936</v>
      </c>
    </row>
    <row r="69" spans="1:9" s="3" customFormat="1" x14ac:dyDescent="0.2">
      <c r="A69" s="25"/>
      <c r="B69" s="25"/>
      <c r="C69" s="25"/>
      <c r="D69" s="25"/>
      <c r="E69" s="25"/>
      <c r="F69" s="25"/>
      <c r="G69" s="25"/>
      <c r="H69" s="25"/>
      <c r="I69" s="25"/>
    </row>
    <row r="70" spans="1:9" s="1" customFormat="1" ht="15" x14ac:dyDescent="0.25">
      <c r="A70" s="47"/>
      <c r="B70" s="47"/>
      <c r="C70" s="48" t="s">
        <v>19</v>
      </c>
      <c r="D70" s="48" t="s">
        <v>19</v>
      </c>
      <c r="E70" s="48" t="s">
        <v>19</v>
      </c>
      <c r="F70" s="48" t="s">
        <v>19</v>
      </c>
      <c r="G70" s="48" t="s">
        <v>19</v>
      </c>
      <c r="H70" s="48" t="s">
        <v>19</v>
      </c>
      <c r="I70" s="215"/>
    </row>
    <row r="71" spans="1:9" x14ac:dyDescent="0.2">
      <c r="A71" s="49" t="s">
        <v>19</v>
      </c>
      <c r="B71" s="48" t="s">
        <v>19</v>
      </c>
      <c r="C71" s="62"/>
      <c r="D71" s="62"/>
      <c r="E71" s="62"/>
      <c r="F71" s="62"/>
      <c r="G71" s="62"/>
      <c r="H71" s="62"/>
      <c r="I71" s="62"/>
    </row>
  </sheetData>
  <mergeCells count="2">
    <mergeCell ref="B1:C1"/>
    <mergeCell ref="B3:C3"/>
  </mergeCells>
  <pageMargins left="0.70866141732283472" right="0.70866141732283472" top="0.74803149606299213" bottom="0.74803149606299213" header="0.31496062992125984" footer="0.31496062992125984"/>
  <pageSetup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9"/>
  <sheetViews>
    <sheetView workbookViewId="0">
      <pane xSplit="2" ySplit="9" topLeftCell="C61" activePane="bottomRight" state="frozen"/>
      <selection pane="topRight" activeCell="C1" sqref="C1"/>
      <selection pane="bottomLeft" activeCell="A10" sqref="A10"/>
      <selection pane="bottomRight" activeCell="D76" sqref="D76"/>
    </sheetView>
  </sheetViews>
  <sheetFormatPr baseColWidth="10" defaultRowHeight="11.25" x14ac:dyDescent="0.2"/>
  <cols>
    <col min="1" max="1" width="11.42578125" style="25"/>
    <col min="2" max="2" width="26.5703125" style="25" bestFit="1" customWidth="1"/>
    <col min="3" max="3" width="11.42578125" style="25"/>
    <col min="4" max="4" width="13" style="25" customWidth="1"/>
    <col min="5" max="5" width="14.85546875" style="25" customWidth="1"/>
    <col min="6" max="6" width="11.42578125" style="25"/>
    <col min="7" max="10" width="9.28515625" style="25" customWidth="1"/>
    <col min="11" max="12" width="9.28515625" style="48" customWidth="1"/>
    <col min="13" max="13" width="8.85546875" style="48" customWidth="1"/>
    <col min="14" max="16384" width="11.42578125" style="48"/>
  </cols>
  <sheetData>
    <row r="1" spans="1:15" ht="18" customHeight="1" x14ac:dyDescent="0.25">
      <c r="A1" s="50" t="s">
        <v>0</v>
      </c>
      <c r="B1" s="233" t="s">
        <v>19</v>
      </c>
      <c r="C1" s="234"/>
      <c r="D1" s="47"/>
      <c r="E1" s="47"/>
      <c r="F1" s="47"/>
      <c r="G1" s="47"/>
      <c r="H1" s="47"/>
      <c r="I1" s="47"/>
      <c r="J1" s="47"/>
    </row>
    <row r="2" spans="1:15" ht="24.95" customHeight="1" x14ac:dyDescent="0.25">
      <c r="A2" s="51" t="s">
        <v>1</v>
      </c>
      <c r="B2" s="4" t="s">
        <v>279</v>
      </c>
      <c r="C2" s="5"/>
      <c r="D2" s="47"/>
      <c r="E2" s="47"/>
      <c r="F2" s="47"/>
      <c r="G2" s="47"/>
      <c r="H2" s="47"/>
      <c r="I2" s="47"/>
      <c r="J2" s="47"/>
    </row>
    <row r="3" spans="1:15" ht="15.75" x14ac:dyDescent="0.25">
      <c r="A3" s="47"/>
      <c r="B3" s="77" t="s">
        <v>2</v>
      </c>
      <c r="C3" s="52"/>
      <c r="D3" s="47"/>
      <c r="E3" s="47"/>
      <c r="F3" s="47"/>
      <c r="G3" s="47"/>
      <c r="H3" s="47"/>
      <c r="I3" s="47"/>
      <c r="J3" s="47"/>
    </row>
    <row r="4" spans="1:15" ht="15" x14ac:dyDescent="0.25">
      <c r="A4" s="47"/>
      <c r="B4" s="6" t="str">
        <f>+FACTURACIÓN!B4</f>
        <v>Periodo 4 al 4 Quincenal del 16/02/2016 al 29/02/2016</v>
      </c>
      <c r="C4" s="52"/>
      <c r="D4" s="47"/>
      <c r="E4" s="47"/>
      <c r="F4" s="47"/>
      <c r="G4" s="47"/>
      <c r="H4" s="47"/>
      <c r="I4" s="47"/>
      <c r="J4" s="47"/>
    </row>
    <row r="5" spans="1:15" ht="15" x14ac:dyDescent="0.25">
      <c r="A5" s="47"/>
      <c r="B5" s="53" t="s">
        <v>281</v>
      </c>
      <c r="C5" s="47"/>
      <c r="D5" s="47"/>
      <c r="E5" s="47"/>
      <c r="F5" s="47"/>
      <c r="G5" s="47"/>
      <c r="H5" s="109"/>
      <c r="I5" s="47"/>
      <c r="J5" s="47"/>
    </row>
    <row r="6" spans="1:15" ht="15" x14ac:dyDescent="0.25">
      <c r="A6" s="47"/>
      <c r="B6" s="53" t="s">
        <v>3</v>
      </c>
      <c r="C6" s="47"/>
      <c r="D6" s="47"/>
      <c r="E6" s="47"/>
      <c r="F6" s="79"/>
      <c r="G6" s="79"/>
      <c r="H6" s="109"/>
      <c r="I6" s="79"/>
      <c r="J6" s="79"/>
      <c r="K6" s="107"/>
      <c r="L6" s="107"/>
    </row>
    <row r="8" spans="1:15" s="67" customFormat="1" ht="34.5" thickBot="1" x14ac:dyDescent="0.3">
      <c r="A8" s="65" t="s">
        <v>4</v>
      </c>
      <c r="B8" s="22" t="s">
        <v>5</v>
      </c>
      <c r="C8" s="22" t="s">
        <v>299</v>
      </c>
      <c r="D8" s="21" t="s">
        <v>282</v>
      </c>
      <c r="E8" s="21" t="s">
        <v>7</v>
      </c>
      <c r="F8" s="31" t="s">
        <v>450</v>
      </c>
      <c r="G8" s="31" t="s">
        <v>447</v>
      </c>
      <c r="H8" s="31" t="s">
        <v>30</v>
      </c>
      <c r="I8" s="31" t="s">
        <v>325</v>
      </c>
      <c r="J8" s="31" t="s">
        <v>444</v>
      </c>
      <c r="K8" s="31" t="s">
        <v>443</v>
      </c>
      <c r="L8" s="31" t="s">
        <v>273</v>
      </c>
      <c r="M8" s="31" t="s">
        <v>26</v>
      </c>
      <c r="N8" s="21" t="s">
        <v>12</v>
      </c>
      <c r="O8" s="66" t="s">
        <v>13</v>
      </c>
    </row>
    <row r="9" spans="1:15" ht="15.75" thickTop="1" x14ac:dyDescent="0.25">
      <c r="A9" s="47"/>
      <c r="B9" s="47"/>
      <c r="C9" s="47"/>
      <c r="D9" s="47"/>
      <c r="E9" s="47"/>
      <c r="F9" s="79"/>
      <c r="G9" s="79"/>
      <c r="H9" s="47"/>
      <c r="I9" s="79"/>
      <c r="J9" s="79"/>
      <c r="K9" s="79"/>
      <c r="L9" s="47"/>
      <c r="M9" s="47"/>
      <c r="N9" s="47"/>
      <c r="O9" s="47"/>
    </row>
    <row r="10" spans="1:15" x14ac:dyDescent="0.2">
      <c r="A10" s="49" t="s">
        <v>34</v>
      </c>
      <c r="B10" s="107" t="s">
        <v>303</v>
      </c>
      <c r="C10" s="59">
        <f>+FACTURACIÓN!C9+FACTURACIÓN!D9+FACTURACIÓN!E9+FACTURACIÓN!F9+FACTURACIÓN!G9+FACTURACIÓN!H9+FACTURACIÓN!I9-'C&amp;A'!I10</f>
        <v>2512.8000000000002</v>
      </c>
      <c r="D10" s="59">
        <v>0</v>
      </c>
      <c r="E10" s="32">
        <f>SUM(C10:D10)</f>
        <v>2512.8000000000002</v>
      </c>
      <c r="F10" s="32">
        <f>+FACTURACIÓN!J9</f>
        <v>0</v>
      </c>
      <c r="G10" s="32">
        <f>+FACTURACIÓN!K9</f>
        <v>0</v>
      </c>
      <c r="H10" s="32">
        <f>+FACTURACIÓN!L9</f>
        <v>0</v>
      </c>
      <c r="I10" s="32">
        <f>+FACTURACIÓN!M9</f>
        <v>0</v>
      </c>
      <c r="J10" s="32">
        <f>+FACTURACIÓN!N9</f>
        <v>0</v>
      </c>
      <c r="K10" s="32">
        <f>+FACTURACIÓN!O9</f>
        <v>0</v>
      </c>
      <c r="L10" s="32">
        <f>+FACTURACIÓN!P9</f>
        <v>1043.27</v>
      </c>
      <c r="M10" s="35">
        <v>0</v>
      </c>
      <c r="N10" s="32">
        <f>SUM(F10:M10)</f>
        <v>1043.27</v>
      </c>
      <c r="O10" s="32">
        <f>+E10-N10</f>
        <v>1469.5300000000002</v>
      </c>
    </row>
    <row r="11" spans="1:15" x14ac:dyDescent="0.2">
      <c r="A11" s="49" t="s">
        <v>14</v>
      </c>
      <c r="B11" s="48" t="s">
        <v>36</v>
      </c>
      <c r="C11" s="108">
        <f>+FACTURACIÓN!C10+FACTURACIÓN!D10+FACTURACIÓN!E10+FACTURACIÓN!F10+FACTURACIÓN!G10+FACTURACIÓN!H10+FACTURACIÓN!I10-'C&amp;A'!I11</f>
        <v>1933.173897131358</v>
      </c>
      <c r="D11" s="59">
        <v>0</v>
      </c>
      <c r="E11" s="32">
        <f t="shared" ref="E11:E64" si="0">SUM(C11:D11)</f>
        <v>1933.173897131358</v>
      </c>
      <c r="F11" s="32">
        <f>+FACTURACIÓN!J10</f>
        <v>0</v>
      </c>
      <c r="G11" s="32">
        <f>+FACTURACIÓN!K10</f>
        <v>0</v>
      </c>
      <c r="H11" s="32">
        <f>+FACTURACIÓN!L10</f>
        <v>0</v>
      </c>
      <c r="I11" s="32">
        <f>+FACTURACIÓN!M10</f>
        <v>0</v>
      </c>
      <c r="J11" s="32">
        <f>+FACTURACIÓN!N10</f>
        <v>117.81</v>
      </c>
      <c r="K11" s="32">
        <f>+FACTURACIÓN!O10</f>
        <v>0</v>
      </c>
      <c r="L11" s="32">
        <f>+FACTURACIÓN!P10</f>
        <v>0</v>
      </c>
      <c r="M11" s="35">
        <v>0</v>
      </c>
      <c r="N11" s="32">
        <f t="shared" ref="N11:N64" si="1">SUM(F11:M11)</f>
        <v>117.81</v>
      </c>
      <c r="O11" s="32">
        <f t="shared" ref="O11:O64" si="2">+E11-N11</f>
        <v>1815.363897131358</v>
      </c>
    </row>
    <row r="12" spans="1:15" x14ac:dyDescent="0.2">
      <c r="A12" s="49" t="s">
        <v>37</v>
      </c>
      <c r="B12" s="48" t="s">
        <v>38</v>
      </c>
      <c r="C12" s="108">
        <f>+FACTURACIÓN!C11+FACTURACIÓN!D11+FACTURACIÓN!E11+FACTURACIÓN!F11+FACTURACIÓN!G11+FACTURACIÓN!H11+FACTURACIÓN!I11-'C&amp;A'!I12</f>
        <v>2762.8</v>
      </c>
      <c r="D12" s="59">
        <v>0</v>
      </c>
      <c r="E12" s="32">
        <f t="shared" si="0"/>
        <v>2762.8</v>
      </c>
      <c r="F12" s="32">
        <f>+FACTURACIÓN!J11</f>
        <v>0</v>
      </c>
      <c r="G12" s="32">
        <f>+FACTURACIÓN!K11</f>
        <v>0</v>
      </c>
      <c r="H12" s="32">
        <f>+FACTURACIÓN!L11</f>
        <v>0</v>
      </c>
      <c r="I12" s="32">
        <f>+FACTURACIÓN!M11</f>
        <v>0</v>
      </c>
      <c r="J12" s="32">
        <f>+FACTURACIÓN!N11</f>
        <v>0</v>
      </c>
      <c r="K12" s="32">
        <f>+FACTURACIÓN!O11</f>
        <v>0</v>
      </c>
      <c r="L12" s="32">
        <f>+FACTURACIÓN!P11</f>
        <v>0</v>
      </c>
      <c r="M12" s="35">
        <v>0</v>
      </c>
      <c r="N12" s="32">
        <f t="shared" si="1"/>
        <v>0</v>
      </c>
      <c r="O12" s="32">
        <f t="shared" si="2"/>
        <v>2762.8</v>
      </c>
    </row>
    <row r="13" spans="1:15" x14ac:dyDescent="0.2">
      <c r="A13" s="49" t="s">
        <v>39</v>
      </c>
      <c r="B13" s="48" t="s">
        <v>40</v>
      </c>
      <c r="C13" s="108">
        <f>+FACTURACIÓN!C12+FACTURACIÓN!D12+FACTURACIÓN!E12+FACTURACIÓN!F12+FACTURACIÓN!G12+FACTURACIÓN!H12+FACTURACIÓN!I12-'C&amp;A'!I13</f>
        <v>1908.173897131358</v>
      </c>
      <c r="D13" s="59">
        <v>0</v>
      </c>
      <c r="E13" s="32">
        <f t="shared" si="0"/>
        <v>1908.173897131358</v>
      </c>
      <c r="F13" s="32">
        <f>+FACTURACIÓN!J12</f>
        <v>0</v>
      </c>
      <c r="G13" s="32">
        <f>+FACTURACIÓN!K12</f>
        <v>200</v>
      </c>
      <c r="H13" s="32">
        <f>+FACTURACIÓN!L12</f>
        <v>0</v>
      </c>
      <c r="I13" s="32">
        <f>+FACTURACIÓN!M12</f>
        <v>0</v>
      </c>
      <c r="J13" s="32">
        <f>+FACTURACIÓN!N12</f>
        <v>0</v>
      </c>
      <c r="K13" s="32">
        <f>+FACTURACIÓN!O12</f>
        <v>0</v>
      </c>
      <c r="L13" s="32">
        <f>+FACTURACIÓN!P12</f>
        <v>0</v>
      </c>
      <c r="M13" s="35">
        <v>0</v>
      </c>
      <c r="N13" s="32">
        <f t="shared" si="1"/>
        <v>200</v>
      </c>
      <c r="O13" s="32">
        <f t="shared" si="2"/>
        <v>1708.173897131358</v>
      </c>
    </row>
    <row r="14" spans="1:15" x14ac:dyDescent="0.2">
      <c r="A14" s="49" t="s">
        <v>41</v>
      </c>
      <c r="B14" s="48" t="s">
        <v>42</v>
      </c>
      <c r="C14" s="108">
        <f>+FACTURACIÓN!C13+FACTURACIÓN!D13+FACTURACIÓN!E13+FACTURACIÓN!F13+FACTURACIÓN!G13+FACTURACIÓN!H13+FACTURACIÓN!I13-'C&amp;A'!I14</f>
        <v>2082.4205678096519</v>
      </c>
      <c r="D14" s="59">
        <v>0</v>
      </c>
      <c r="E14" s="32">
        <f t="shared" si="0"/>
        <v>2082.4205678096519</v>
      </c>
      <c r="F14" s="32">
        <f>+FACTURACIÓN!J13</f>
        <v>0</v>
      </c>
      <c r="G14" s="32">
        <f>+FACTURACIÓN!K13</f>
        <v>0</v>
      </c>
      <c r="H14" s="32">
        <f>+FACTURACIÓN!L13</f>
        <v>0</v>
      </c>
      <c r="I14" s="32">
        <f>+FACTURACIÓN!M13</f>
        <v>0</v>
      </c>
      <c r="J14" s="32">
        <f>+FACTURACIÓN!N13</f>
        <v>0</v>
      </c>
      <c r="K14" s="32">
        <f>+FACTURACIÓN!O13</f>
        <v>0</v>
      </c>
      <c r="L14" s="32">
        <f>+FACTURACIÓN!P13</f>
        <v>0</v>
      </c>
      <c r="M14" s="35">
        <v>0</v>
      </c>
      <c r="N14" s="32">
        <f t="shared" si="1"/>
        <v>0</v>
      </c>
      <c r="O14" s="32">
        <f t="shared" si="2"/>
        <v>2082.4205678096519</v>
      </c>
    </row>
    <row r="15" spans="1:15" s="212" customFormat="1" x14ac:dyDescent="0.2">
      <c r="A15" s="213" t="s">
        <v>43</v>
      </c>
      <c r="B15" s="212" t="s">
        <v>44</v>
      </c>
      <c r="C15" s="215">
        <f>+FACTURACIÓN!C14+FACTURACIÓN!D14+FACTURACIÓN!E14+FACTURACIÓN!F14+FACTURACIÓN!G14+FACTURACIÓN!H14+FACTURACIÓN!I14-'C&amp;A'!I15</f>
        <v>10262.799999999999</v>
      </c>
      <c r="D15" s="215">
        <v>0</v>
      </c>
      <c r="E15" s="32">
        <f t="shared" si="0"/>
        <v>10262.799999999999</v>
      </c>
      <c r="F15" s="32">
        <f>+FACTURACIÓN!J14</f>
        <v>0</v>
      </c>
      <c r="G15" s="32">
        <f>+FACTURACIÓN!K14</f>
        <v>0</v>
      </c>
      <c r="H15" s="32">
        <f>+FACTURACIÓN!L14</f>
        <v>0</v>
      </c>
      <c r="I15" s="32">
        <f>+FACTURACIÓN!M14</f>
        <v>504.77</v>
      </c>
      <c r="J15" s="32">
        <f>+FACTURACIÓN!N14</f>
        <v>76.56</v>
      </c>
      <c r="K15" s="32">
        <f>+FACTURACIÓN!O14</f>
        <v>0</v>
      </c>
      <c r="L15" s="32">
        <f>+FACTURACIÓN!P14</f>
        <v>0</v>
      </c>
      <c r="M15" s="35">
        <v>1150</v>
      </c>
      <c r="N15" s="32">
        <f t="shared" si="1"/>
        <v>1731.33</v>
      </c>
      <c r="O15" s="32">
        <f t="shared" si="2"/>
        <v>8531.4699999999993</v>
      </c>
    </row>
    <row r="16" spans="1:15" s="212" customFormat="1" x14ac:dyDescent="0.2">
      <c r="A16" s="213" t="s">
        <v>249</v>
      </c>
      <c r="B16" s="212" t="s">
        <v>276</v>
      </c>
      <c r="C16" s="215">
        <f>+FACTURACIÓN!C15+FACTURACIÓN!D15+FACTURACIÓN!E15+FACTURACIÓN!F15+FACTURACIÓN!G15+FACTURACIÓN!H15+FACTURACIÓN!I15-'C&amp;A'!I16</f>
        <v>1908.173897131358</v>
      </c>
      <c r="D16" s="215">
        <v>0</v>
      </c>
      <c r="E16" s="32">
        <f t="shared" si="0"/>
        <v>1908.173897131358</v>
      </c>
      <c r="F16" s="32">
        <f>+FACTURACIÓN!J15</f>
        <v>0</v>
      </c>
      <c r="G16" s="32">
        <f>+FACTURACIÓN!K15</f>
        <v>0</v>
      </c>
      <c r="H16" s="32">
        <f>+FACTURACIÓN!L15</f>
        <v>0</v>
      </c>
      <c r="I16" s="32">
        <f>+FACTURACIÓN!M15</f>
        <v>0</v>
      </c>
      <c r="J16" s="32">
        <f>+FACTURACIÓN!N15</f>
        <v>0</v>
      </c>
      <c r="K16" s="32">
        <f>+FACTURACIÓN!O15</f>
        <v>0</v>
      </c>
      <c r="L16" s="32">
        <f>+FACTURACIÓN!P15</f>
        <v>0</v>
      </c>
      <c r="M16" s="35">
        <v>0</v>
      </c>
      <c r="N16" s="32">
        <f t="shared" si="1"/>
        <v>0</v>
      </c>
      <c r="O16" s="32">
        <f t="shared" si="2"/>
        <v>1908.173897131358</v>
      </c>
    </row>
    <row r="17" spans="1:15" s="212" customFormat="1" x14ac:dyDescent="0.2">
      <c r="A17" s="213" t="s">
        <v>45</v>
      </c>
      <c r="B17" s="212" t="s">
        <v>46</v>
      </c>
      <c r="C17" s="215">
        <f>+FACTURACIÓN!C16+FACTURACIÓN!D16+FACTURACIÓN!E16+FACTURACIÓN!F16+FACTURACIÓN!G16+FACTURACIÓN!H16+FACTURACIÓN!I16-'C&amp;A'!I17</f>
        <v>1453.1763632955849</v>
      </c>
      <c r="D17" s="215">
        <v>0</v>
      </c>
      <c r="E17" s="32">
        <f t="shared" si="0"/>
        <v>1453.1763632955849</v>
      </c>
      <c r="F17" s="32">
        <f>+FACTURACIÓN!J16</f>
        <v>0</v>
      </c>
      <c r="G17" s="32">
        <f>+FACTURACIÓN!K16</f>
        <v>0</v>
      </c>
      <c r="H17" s="32">
        <f>+FACTURACIÓN!L16</f>
        <v>0</v>
      </c>
      <c r="I17" s="32">
        <f>+FACTURACIÓN!M16</f>
        <v>0</v>
      </c>
      <c r="J17" s="32">
        <f>+FACTURACIÓN!N16</f>
        <v>0</v>
      </c>
      <c r="K17" s="32">
        <f>+FACTURACIÓN!O16</f>
        <v>0</v>
      </c>
      <c r="L17" s="32">
        <f>+FACTURACIÓN!P16</f>
        <v>384.75</v>
      </c>
      <c r="M17" s="35">
        <v>0</v>
      </c>
      <c r="N17" s="32">
        <f t="shared" si="1"/>
        <v>384.75</v>
      </c>
      <c r="O17" s="32">
        <f t="shared" si="2"/>
        <v>1068.4263632955849</v>
      </c>
    </row>
    <row r="18" spans="1:15" s="212" customFormat="1" x14ac:dyDescent="0.2">
      <c r="A18" s="213" t="s">
        <v>47</v>
      </c>
      <c r="B18" s="212" t="s">
        <v>48</v>
      </c>
      <c r="C18" s="215">
        <f>+FACTURACIÓN!C17+FACTURACIÓN!D17+FACTURACIÓN!E17+FACTURACIÓN!F17+FACTURACIÓN!G17+FACTURACIÓN!H17+FACTURACIÓN!I17-'C&amp;A'!I18</f>
        <v>4318.8</v>
      </c>
      <c r="D18" s="215">
        <v>0</v>
      </c>
      <c r="E18" s="32">
        <f t="shared" si="0"/>
        <v>4318.8</v>
      </c>
      <c r="F18" s="32">
        <f>+FACTURACIÓN!J17</f>
        <v>0</v>
      </c>
      <c r="G18" s="32">
        <f>+FACTURACIÓN!K17</f>
        <v>0</v>
      </c>
      <c r="H18" s="32">
        <f>+FACTURACIÓN!L17</f>
        <v>0</v>
      </c>
      <c r="I18" s="32">
        <f>+FACTURACIÓN!M17</f>
        <v>0</v>
      </c>
      <c r="J18" s="32">
        <f>+FACTURACIÓN!N17</f>
        <v>0</v>
      </c>
      <c r="K18" s="32">
        <f>+FACTURACIÓN!O17</f>
        <v>0</v>
      </c>
      <c r="L18" s="32">
        <f>+FACTURACIÓN!P17</f>
        <v>0</v>
      </c>
      <c r="M18" s="35">
        <v>555.6</v>
      </c>
      <c r="N18" s="32">
        <f t="shared" si="1"/>
        <v>555.6</v>
      </c>
      <c r="O18" s="32">
        <f t="shared" si="2"/>
        <v>3763.2000000000003</v>
      </c>
    </row>
    <row r="19" spans="1:15" s="212" customFormat="1" x14ac:dyDescent="0.2">
      <c r="A19" s="213" t="s">
        <v>49</v>
      </c>
      <c r="B19" s="212" t="s">
        <v>50</v>
      </c>
      <c r="C19" s="215">
        <f>+FACTURACIÓN!C18+FACTURACIÓN!D18+FACTURACIÓN!E18+FACTURACIÓN!F18+FACTURACIÓN!G18+FACTURACIÓN!H18+FACTURACIÓN!I18-'C&amp;A'!I19</f>
        <v>1423.1763632955849</v>
      </c>
      <c r="D19" s="215">
        <v>0</v>
      </c>
      <c r="E19" s="32">
        <f t="shared" si="0"/>
        <v>1423.1763632955849</v>
      </c>
      <c r="F19" s="32">
        <f>+FACTURACIÓN!J18</f>
        <v>0</v>
      </c>
      <c r="G19" s="32">
        <f>+FACTURACIÓN!K18</f>
        <v>0</v>
      </c>
      <c r="H19" s="32">
        <f>+FACTURACIÓN!L18</f>
        <v>0</v>
      </c>
      <c r="I19" s="32">
        <f>+FACTURACIÓN!M18</f>
        <v>0</v>
      </c>
      <c r="J19" s="32">
        <f>+FACTURACIÓN!N18</f>
        <v>0</v>
      </c>
      <c r="K19" s="32">
        <f>+FACTURACIÓN!O18</f>
        <v>0</v>
      </c>
      <c r="L19" s="32">
        <f>+FACTURACIÓN!P18</f>
        <v>726.91</v>
      </c>
      <c r="M19" s="35">
        <v>0</v>
      </c>
      <c r="N19" s="32">
        <f t="shared" si="1"/>
        <v>726.91</v>
      </c>
      <c r="O19" s="32">
        <f t="shared" si="2"/>
        <v>696.26636329558494</v>
      </c>
    </row>
    <row r="20" spans="1:15" s="212" customFormat="1" x14ac:dyDescent="0.2">
      <c r="A20" s="213" t="s">
        <v>51</v>
      </c>
      <c r="B20" s="212" t="s">
        <v>52</v>
      </c>
      <c r="C20" s="215">
        <f>+FACTURACIÓN!C19+FACTURACIÓN!D19+FACTURACIÓN!E19+FACTURACIÓN!F19+FACTURACIÓN!G19+FACTURACIÓN!H19+FACTURACIÓN!I19-'C&amp;A'!I20</f>
        <v>2762.8</v>
      </c>
      <c r="D20" s="215">
        <v>0</v>
      </c>
      <c r="E20" s="32">
        <f t="shared" si="0"/>
        <v>2762.8</v>
      </c>
      <c r="F20" s="32">
        <f>+FACTURACIÓN!J19</f>
        <v>0</v>
      </c>
      <c r="G20" s="32">
        <f>+FACTURACIÓN!K19</f>
        <v>0</v>
      </c>
      <c r="H20" s="32">
        <f>+FACTURACIÓN!L19</f>
        <v>0</v>
      </c>
      <c r="I20" s="32">
        <f>+FACTURACIÓN!M19</f>
        <v>0</v>
      </c>
      <c r="J20" s="32">
        <f>+FACTURACIÓN!N19</f>
        <v>117.81</v>
      </c>
      <c r="K20" s="32">
        <f>+FACTURACIÓN!O19</f>
        <v>0</v>
      </c>
      <c r="L20" s="32">
        <f>+FACTURACIÓN!P19</f>
        <v>1412.19</v>
      </c>
      <c r="M20" s="35">
        <v>0</v>
      </c>
      <c r="N20" s="32">
        <f t="shared" si="1"/>
        <v>1530</v>
      </c>
      <c r="O20" s="32">
        <f t="shared" si="2"/>
        <v>1232.8000000000002</v>
      </c>
    </row>
    <row r="21" spans="1:15" s="212" customFormat="1" x14ac:dyDescent="0.2">
      <c r="A21" s="213" t="s">
        <v>53</v>
      </c>
      <c r="B21" s="212" t="s">
        <v>54</v>
      </c>
      <c r="C21" s="215">
        <f>+FACTURACIÓN!C20+FACTURACIÓN!D20+FACTURACIÓN!E20+FACTURACIÓN!F20+FACTURACIÓN!G20+FACTURACIÓN!H20+FACTURACIÓN!I20-'C&amp;A'!I21</f>
        <v>701.53102434597349</v>
      </c>
      <c r="D21" s="215">
        <v>0</v>
      </c>
      <c r="E21" s="32">
        <f t="shared" si="0"/>
        <v>701.53102434597349</v>
      </c>
      <c r="F21" s="32">
        <f>+FACTURACIÓN!J20</f>
        <v>0</v>
      </c>
      <c r="G21" s="32">
        <f>+FACTURACIÓN!K20</f>
        <v>0</v>
      </c>
      <c r="H21" s="32">
        <f>+FACTURACIÓN!L20</f>
        <v>0</v>
      </c>
      <c r="I21" s="32">
        <f>+FACTURACIÓN!M20</f>
        <v>0</v>
      </c>
      <c r="J21" s="32">
        <f>+FACTURACIÓN!N20</f>
        <v>0</v>
      </c>
      <c r="K21" s="32">
        <f>+FACTURACIÓN!O20</f>
        <v>0</v>
      </c>
      <c r="L21" s="32">
        <f>+FACTURACIÓN!P20</f>
        <v>0</v>
      </c>
      <c r="M21" s="35">
        <v>0</v>
      </c>
      <c r="N21" s="32">
        <f t="shared" si="1"/>
        <v>0</v>
      </c>
      <c r="O21" s="32">
        <f t="shared" si="2"/>
        <v>701.53102434597349</v>
      </c>
    </row>
    <row r="22" spans="1:15" s="212" customFormat="1" x14ac:dyDescent="0.2">
      <c r="A22" s="213" t="s">
        <v>55</v>
      </c>
      <c r="B22" s="212" t="s">
        <v>56</v>
      </c>
      <c r="C22" s="215">
        <f>+FACTURACIÓN!C21+FACTURACIÓN!D21+FACTURACIÓN!E21+FACTURACIÓN!F21+FACTURACIÓN!G21+FACTURACIÓN!H21+FACTURACIÓN!I21-'C&amp;A'!I22</f>
        <v>2387.9205678096519</v>
      </c>
      <c r="D22" s="215">
        <v>0</v>
      </c>
      <c r="E22" s="32">
        <f t="shared" si="0"/>
        <v>2387.9205678096519</v>
      </c>
      <c r="F22" s="32">
        <f>+FACTURACIÓN!J21</f>
        <v>0</v>
      </c>
      <c r="G22" s="32">
        <f>+FACTURACIÓN!K21</f>
        <v>0</v>
      </c>
      <c r="H22" s="32">
        <f>+FACTURACIÓN!L21</f>
        <v>0</v>
      </c>
      <c r="I22" s="32">
        <f>+FACTURACIÓN!M21</f>
        <v>0</v>
      </c>
      <c r="J22" s="32">
        <f>+FACTURACIÓN!N21</f>
        <v>0</v>
      </c>
      <c r="K22" s="32">
        <f>+FACTURACIÓN!O21</f>
        <v>0</v>
      </c>
      <c r="L22" s="32">
        <f>+FACTURACIÓN!P21</f>
        <v>0</v>
      </c>
      <c r="M22" s="35">
        <v>0</v>
      </c>
      <c r="N22" s="32">
        <f t="shared" si="1"/>
        <v>0</v>
      </c>
      <c r="O22" s="32">
        <f t="shared" si="2"/>
        <v>2387.9205678096519</v>
      </c>
    </row>
    <row r="23" spans="1:15" s="212" customFormat="1" x14ac:dyDescent="0.2">
      <c r="A23" s="213" t="s">
        <v>57</v>
      </c>
      <c r="B23" s="212" t="s">
        <v>58</v>
      </c>
      <c r="C23" s="215">
        <f>+FACTURACIÓN!C22+FACTURACIÓN!D22+FACTURACIÓN!E22+FACTURACIÓN!F22+FACTURACIÓN!G22+FACTURACIÓN!H22+FACTURACIÓN!I22-'C&amp;A'!I23</f>
        <v>3762.8</v>
      </c>
      <c r="D23" s="215">
        <v>0</v>
      </c>
      <c r="E23" s="32">
        <f t="shared" si="0"/>
        <v>3762.8</v>
      </c>
      <c r="F23" s="32">
        <f>+FACTURACIÓN!J22</f>
        <v>0</v>
      </c>
      <c r="G23" s="32">
        <f>+FACTURACIÓN!K22</f>
        <v>0</v>
      </c>
      <c r="H23" s="32">
        <f>+FACTURACIÓN!L22</f>
        <v>0</v>
      </c>
      <c r="I23" s="32">
        <f>+FACTURACIÓN!M22</f>
        <v>0</v>
      </c>
      <c r="J23" s="32">
        <f>+FACTURACIÓN!N22</f>
        <v>0</v>
      </c>
      <c r="K23" s="32">
        <f>+FACTURACIÓN!O22</f>
        <v>0</v>
      </c>
      <c r="L23" s="32">
        <f>+FACTURACIÓN!P22</f>
        <v>457.64</v>
      </c>
      <c r="M23" s="35">
        <v>500</v>
      </c>
      <c r="N23" s="32">
        <f t="shared" si="1"/>
        <v>957.64</v>
      </c>
      <c r="O23" s="32">
        <f t="shared" si="2"/>
        <v>2805.1600000000003</v>
      </c>
    </row>
    <row r="24" spans="1:15" s="212" customFormat="1" x14ac:dyDescent="0.2">
      <c r="A24" s="213" t="s">
        <v>59</v>
      </c>
      <c r="B24" s="212" t="s">
        <v>60</v>
      </c>
      <c r="C24" s="215">
        <f>+FACTURACIÓN!C23+FACTURACIÓN!D23+FACTURACIÓN!E23+FACTURACIÓN!F23+FACTURACIÓN!G23+FACTURACIÓN!H23+FACTURACIÓN!I23-'C&amp;A'!I24</f>
        <v>1658.173897131358</v>
      </c>
      <c r="D24" s="215">
        <v>0</v>
      </c>
      <c r="E24" s="32">
        <f t="shared" si="0"/>
        <v>1658.173897131358</v>
      </c>
      <c r="F24" s="32">
        <f>+FACTURACIÓN!J23</f>
        <v>0</v>
      </c>
      <c r="G24" s="32">
        <f>+FACTURACIÓN!K23</f>
        <v>0</v>
      </c>
      <c r="H24" s="32">
        <f>+FACTURACIÓN!L23</f>
        <v>0</v>
      </c>
      <c r="I24" s="32">
        <f>+FACTURACIÓN!M23</f>
        <v>0</v>
      </c>
      <c r="J24" s="32">
        <f>+FACTURACIÓN!N23</f>
        <v>0</v>
      </c>
      <c r="K24" s="32">
        <f>+FACTURACIÓN!O23</f>
        <v>0</v>
      </c>
      <c r="L24" s="32">
        <f>+FACTURACIÓN!P23</f>
        <v>0</v>
      </c>
      <c r="M24" s="35">
        <v>0</v>
      </c>
      <c r="N24" s="32">
        <f t="shared" si="1"/>
        <v>0</v>
      </c>
      <c r="O24" s="32">
        <f t="shared" si="2"/>
        <v>1658.173897131358</v>
      </c>
    </row>
    <row r="25" spans="1:15" s="212" customFormat="1" x14ac:dyDescent="0.2">
      <c r="A25" s="213" t="s">
        <v>61</v>
      </c>
      <c r="B25" s="212" t="s">
        <v>62</v>
      </c>
      <c r="C25" s="215">
        <f>+FACTURACIÓN!C24+FACTURACIÓN!D24+FACTURACIÓN!E24+FACTURACIÓN!F24+FACTURACIÓN!G24+FACTURACIÓN!H24+FACTURACIÓN!I24-'C&amp;A'!I25</f>
        <v>2387.9205678096519</v>
      </c>
      <c r="D25" s="215">
        <v>0</v>
      </c>
      <c r="E25" s="32">
        <f t="shared" si="0"/>
        <v>2387.9205678096519</v>
      </c>
      <c r="F25" s="32">
        <f>+FACTURACIÓN!J24</f>
        <v>0</v>
      </c>
      <c r="G25" s="32">
        <f>+FACTURACIÓN!K24</f>
        <v>0</v>
      </c>
      <c r="H25" s="32">
        <f>+FACTURACIÓN!L24</f>
        <v>0</v>
      </c>
      <c r="I25" s="32">
        <f>+FACTURACIÓN!M24</f>
        <v>355.82</v>
      </c>
      <c r="J25" s="32">
        <f>+FACTURACIÓN!N24</f>
        <v>0</v>
      </c>
      <c r="K25" s="32">
        <f>+FACTURACIÓN!O24</f>
        <v>0</v>
      </c>
      <c r="L25" s="32">
        <f>+FACTURACIÓN!P24</f>
        <v>0</v>
      </c>
      <c r="M25" s="35">
        <v>0</v>
      </c>
      <c r="N25" s="32">
        <f t="shared" si="1"/>
        <v>355.82</v>
      </c>
      <c r="O25" s="32">
        <f t="shared" si="2"/>
        <v>2032.1005678096519</v>
      </c>
    </row>
    <row r="26" spans="1:15" x14ac:dyDescent="0.2">
      <c r="A26" s="49" t="s">
        <v>15</v>
      </c>
      <c r="B26" s="48" t="s">
        <v>63</v>
      </c>
      <c r="C26" s="108">
        <f>+FACTURACIÓN!C25+FACTURACIÓN!D25+FACTURACIÓN!E25+FACTURACIÓN!F25+FACTURACIÓN!G25+FACTURACIÓN!H25+FACTURACIÓN!I25-'C&amp;A'!I26</f>
        <v>1908.173897131358</v>
      </c>
      <c r="D26" s="59">
        <v>0</v>
      </c>
      <c r="E26" s="32">
        <f t="shared" si="0"/>
        <v>1908.173897131358</v>
      </c>
      <c r="F26" s="32">
        <f>+FACTURACIÓN!J25</f>
        <v>400</v>
      </c>
      <c r="G26" s="32">
        <f>+FACTURACIÓN!K25</f>
        <v>0</v>
      </c>
      <c r="H26" s="32">
        <f>+FACTURACIÓN!L25</f>
        <v>0</v>
      </c>
      <c r="I26" s="32">
        <f>+FACTURACIÓN!M25</f>
        <v>0</v>
      </c>
      <c r="J26" s="32">
        <f>+FACTURACIÓN!N25</f>
        <v>0</v>
      </c>
      <c r="K26" s="32">
        <f>+FACTURACIÓN!O25</f>
        <v>0</v>
      </c>
      <c r="L26" s="32">
        <f>+FACTURACIÓN!P25</f>
        <v>1427.82</v>
      </c>
      <c r="M26" s="35">
        <v>0</v>
      </c>
      <c r="N26" s="32">
        <f t="shared" si="1"/>
        <v>1827.82</v>
      </c>
      <c r="O26" s="32">
        <f t="shared" si="2"/>
        <v>80.353897131358053</v>
      </c>
    </row>
    <row r="27" spans="1:15" x14ac:dyDescent="0.2">
      <c r="A27" s="49" t="s">
        <v>64</v>
      </c>
      <c r="B27" s="48" t="s">
        <v>65</v>
      </c>
      <c r="C27" s="108">
        <f>+FACTURACIÓN!C26+FACTURACIÓN!D26+FACTURACIÓN!E26+FACTURACIÓN!F26+FACTURACIÓN!G26+FACTURACIÓN!H26+FACTURACIÓN!I26-'C&amp;A'!I27</f>
        <v>3762.8</v>
      </c>
      <c r="D27" s="59">
        <v>0</v>
      </c>
      <c r="E27" s="32">
        <f t="shared" si="0"/>
        <v>3762.8</v>
      </c>
      <c r="F27" s="32">
        <f>+FACTURACIÓN!J26</f>
        <v>0</v>
      </c>
      <c r="G27" s="32">
        <f>+FACTURACIÓN!K26</f>
        <v>0</v>
      </c>
      <c r="H27" s="32">
        <f>+FACTURACIÓN!L26</f>
        <v>0</v>
      </c>
      <c r="I27" s="32">
        <f>+FACTURACIÓN!M26</f>
        <v>310.19</v>
      </c>
      <c r="J27" s="32">
        <f>+FACTURACIÓN!N26</f>
        <v>0</v>
      </c>
      <c r="K27" s="32">
        <f>+FACTURACIÓN!O26</f>
        <v>0</v>
      </c>
      <c r="L27" s="32">
        <f>+FACTURACIÓN!P26</f>
        <v>0</v>
      </c>
      <c r="M27" s="35">
        <v>500</v>
      </c>
      <c r="N27" s="32">
        <f t="shared" si="1"/>
        <v>810.19</v>
      </c>
      <c r="O27" s="32">
        <f t="shared" si="2"/>
        <v>2952.61</v>
      </c>
    </row>
    <row r="28" spans="1:15" x14ac:dyDescent="0.2">
      <c r="A28" s="49" t="s">
        <v>66</v>
      </c>
      <c r="B28" s="48" t="s">
        <v>67</v>
      </c>
      <c r="C28" s="108">
        <f>+FACTURACIÓN!C27+FACTURACIÓN!D27+FACTURACIÓN!E27+FACTURACIÓN!F27+FACTURACIÓN!G27+FACTURACIÓN!H27+FACTURACIÓN!I27-'C&amp;A'!I28</f>
        <v>1658.173897131358</v>
      </c>
      <c r="D28" s="59">
        <v>0</v>
      </c>
      <c r="E28" s="32">
        <f t="shared" si="0"/>
        <v>1658.173897131358</v>
      </c>
      <c r="F28" s="32">
        <f>+FACTURACIÓN!J27</f>
        <v>0</v>
      </c>
      <c r="G28" s="32">
        <f>+FACTURACIÓN!K27</f>
        <v>0</v>
      </c>
      <c r="H28" s="32">
        <f>+FACTURACIÓN!L27</f>
        <v>0</v>
      </c>
      <c r="I28" s="32">
        <f>+FACTURACIÓN!M27</f>
        <v>0</v>
      </c>
      <c r="J28" s="32">
        <f>+FACTURACIÓN!N27</f>
        <v>0</v>
      </c>
      <c r="K28" s="32">
        <f>+FACTURACIÓN!O27</f>
        <v>0</v>
      </c>
      <c r="L28" s="32">
        <f>+FACTURACIÓN!P27</f>
        <v>874.32</v>
      </c>
      <c r="M28" s="35">
        <v>0</v>
      </c>
      <c r="N28" s="32">
        <f t="shared" si="1"/>
        <v>874.32</v>
      </c>
      <c r="O28" s="32">
        <f t="shared" si="2"/>
        <v>783.85389713135794</v>
      </c>
    </row>
    <row r="29" spans="1:15" x14ac:dyDescent="0.2">
      <c r="A29" s="49" t="s">
        <v>68</v>
      </c>
      <c r="B29" s="48" t="s">
        <v>69</v>
      </c>
      <c r="C29" s="108">
        <f>+FACTURACIÓN!C28+FACTURACIÓN!D28+FACTURACIÓN!E28+FACTURACIÓN!F28+FACTURACIÓN!G28+FACTURACIÓN!H28+FACTURACIÓN!I28-'C&amp;A'!I29</f>
        <v>1908.173897131358</v>
      </c>
      <c r="D29" s="59">
        <v>0</v>
      </c>
      <c r="E29" s="32">
        <f t="shared" si="0"/>
        <v>1908.173897131358</v>
      </c>
      <c r="F29" s="32">
        <f>+FACTURACIÓN!J28</f>
        <v>0</v>
      </c>
      <c r="G29" s="32">
        <f>+FACTURACIÓN!K28</f>
        <v>0</v>
      </c>
      <c r="H29" s="32">
        <f>+FACTURACIÓN!L28</f>
        <v>0</v>
      </c>
      <c r="I29" s="32">
        <f>+FACTURACIÓN!M28</f>
        <v>0</v>
      </c>
      <c r="J29" s="32">
        <f>+FACTURACIÓN!N28</f>
        <v>117.81</v>
      </c>
      <c r="K29" s="32">
        <f>+FACTURACIÓN!O28</f>
        <v>0</v>
      </c>
      <c r="L29" s="32">
        <f>+FACTURACIÓN!P28</f>
        <v>0</v>
      </c>
      <c r="M29" s="35">
        <v>0</v>
      </c>
      <c r="N29" s="32">
        <f t="shared" si="1"/>
        <v>117.81</v>
      </c>
      <c r="O29" s="32">
        <f t="shared" si="2"/>
        <v>1790.363897131358</v>
      </c>
    </row>
    <row r="30" spans="1:15" x14ac:dyDescent="0.2">
      <c r="A30" s="49" t="s">
        <v>70</v>
      </c>
      <c r="B30" s="48" t="s">
        <v>71</v>
      </c>
      <c r="C30" s="108">
        <f>+FACTURACIÓN!C29+FACTURACIÓN!D29+FACTURACIÓN!E29+FACTURACIÓN!F29+FACTURACIÓN!G29+FACTURACIÓN!H29+FACTURACIÓN!I29-'C&amp;A'!I30</f>
        <v>1908.173897131358</v>
      </c>
      <c r="D30" s="59">
        <v>0</v>
      </c>
      <c r="E30" s="32">
        <f t="shared" si="0"/>
        <v>1908.173897131358</v>
      </c>
      <c r="F30" s="32">
        <f>+FACTURACIÓN!J29</f>
        <v>0</v>
      </c>
      <c r="G30" s="32">
        <f>+FACTURACIÓN!K29</f>
        <v>0</v>
      </c>
      <c r="H30" s="32">
        <f>+FACTURACIÓN!L29</f>
        <v>0</v>
      </c>
      <c r="I30" s="32">
        <f>+FACTURACIÓN!M29</f>
        <v>0</v>
      </c>
      <c r="J30" s="32">
        <f>+FACTURACIÓN!N29</f>
        <v>105.31</v>
      </c>
      <c r="K30" s="32">
        <f>+FACTURACIÓN!O29</f>
        <v>0</v>
      </c>
      <c r="L30" s="32">
        <f>+FACTURACIÓN!P29</f>
        <v>0</v>
      </c>
      <c r="M30" s="35">
        <v>0</v>
      </c>
      <c r="N30" s="32">
        <f t="shared" si="1"/>
        <v>105.31</v>
      </c>
      <c r="O30" s="32">
        <f t="shared" si="2"/>
        <v>1802.863897131358</v>
      </c>
    </row>
    <row r="31" spans="1:15" x14ac:dyDescent="0.2">
      <c r="A31" s="49" t="s">
        <v>72</v>
      </c>
      <c r="B31" s="48" t="s">
        <v>73</v>
      </c>
      <c r="C31" s="108">
        <f>+FACTURACIÓN!C30+FACTURACIÓN!D30+FACTURACIÓN!E30+FACTURACIÓN!F30+FACTURACIÓN!G30+FACTURACIÓN!H30+FACTURACIÓN!I30-'C&amp;A'!I31</f>
        <v>1423.1763632955849</v>
      </c>
      <c r="D31" s="59">
        <v>0</v>
      </c>
      <c r="E31" s="32">
        <f t="shared" si="0"/>
        <v>1423.1763632955849</v>
      </c>
      <c r="F31" s="32">
        <f>+FACTURACIÓN!J30</f>
        <v>0</v>
      </c>
      <c r="G31" s="32">
        <f>+FACTURACIÓN!K30</f>
        <v>0</v>
      </c>
      <c r="H31" s="32">
        <f>+FACTURACIÓN!L30</f>
        <v>0</v>
      </c>
      <c r="I31" s="32">
        <f>+FACTURACIÓN!M30</f>
        <v>0</v>
      </c>
      <c r="J31" s="32">
        <f>+FACTURACIÓN!N30</f>
        <v>117.81</v>
      </c>
      <c r="K31" s="32">
        <f>+FACTURACIÓN!O30</f>
        <v>0</v>
      </c>
      <c r="L31" s="32">
        <f>+FACTURACIÓN!P30</f>
        <v>0</v>
      </c>
      <c r="M31" s="35">
        <v>0</v>
      </c>
      <c r="N31" s="32">
        <f t="shared" si="1"/>
        <v>117.81</v>
      </c>
      <c r="O31" s="32">
        <f t="shared" si="2"/>
        <v>1305.366363295585</v>
      </c>
    </row>
    <row r="32" spans="1:15" x14ac:dyDescent="0.2">
      <c r="A32" s="49" t="s">
        <v>74</v>
      </c>
      <c r="B32" s="48" t="s">
        <v>75</v>
      </c>
      <c r="C32" s="108">
        <f>+FACTURACIÓN!C31+FACTURACIÓN!D31+FACTURACIÓN!E31+FACTURACIÓN!F31+FACTURACIÓN!G31+FACTURACIÓN!H31+FACTURACIÓN!I31-'C&amp;A'!I32</f>
        <v>2147.9205678096519</v>
      </c>
      <c r="D32" s="59">
        <v>0</v>
      </c>
      <c r="E32" s="32">
        <f t="shared" si="0"/>
        <v>2147.9205678096519</v>
      </c>
      <c r="F32" s="32">
        <f>+FACTURACIÓN!J31</f>
        <v>0</v>
      </c>
      <c r="G32" s="32">
        <f>+FACTURACIÓN!K31</f>
        <v>0</v>
      </c>
      <c r="H32" s="32">
        <f>+FACTURACIÓN!L31</f>
        <v>0</v>
      </c>
      <c r="I32" s="32">
        <f>+FACTURACIÓN!M31</f>
        <v>0</v>
      </c>
      <c r="J32" s="32">
        <f>+FACTURACIÓN!N31</f>
        <v>117.81</v>
      </c>
      <c r="K32" s="32">
        <f>+FACTURACIÓN!O31</f>
        <v>0</v>
      </c>
      <c r="L32" s="32">
        <f>+FACTURACIÓN!P31</f>
        <v>1527.71</v>
      </c>
      <c r="M32" s="35">
        <v>0</v>
      </c>
      <c r="N32" s="32">
        <f t="shared" si="1"/>
        <v>1645.52</v>
      </c>
      <c r="O32" s="32">
        <f t="shared" si="2"/>
        <v>502.40056780965187</v>
      </c>
    </row>
    <row r="33" spans="1:15" x14ac:dyDescent="0.2">
      <c r="A33" s="49" t="s">
        <v>80</v>
      </c>
      <c r="B33" s="48" t="s">
        <v>81</v>
      </c>
      <c r="C33" s="108">
        <f>+FACTURACIÓN!C32+FACTURACIÓN!D32+FACTURACIÓN!E32+FACTURACIÓN!F32+FACTURACIÓN!G32+FACTURACIÓN!H32+FACTURACIÓN!I32-'C&amp;A'!I33</f>
        <v>2762.8</v>
      </c>
      <c r="D33" s="59">
        <v>0</v>
      </c>
      <c r="E33" s="32">
        <f t="shared" si="0"/>
        <v>2762.8</v>
      </c>
      <c r="F33" s="32">
        <f>+FACTURACIÓN!J32</f>
        <v>0</v>
      </c>
      <c r="G33" s="32">
        <f>+FACTURACIÓN!K32</f>
        <v>0</v>
      </c>
      <c r="H33" s="32">
        <f>+FACTURACIÓN!L32</f>
        <v>0</v>
      </c>
      <c r="I33" s="32">
        <f>+FACTURACIÓN!M32</f>
        <v>0</v>
      </c>
      <c r="J33" s="32">
        <f>+FACTURACIÓN!N32</f>
        <v>117.81</v>
      </c>
      <c r="K33" s="32">
        <f>+FACTURACIÓN!O32</f>
        <v>0</v>
      </c>
      <c r="L33" s="32">
        <f>+FACTURACIÓN!P32</f>
        <v>1146.5999999999999</v>
      </c>
      <c r="M33" s="35">
        <v>0</v>
      </c>
      <c r="N33" s="32">
        <f t="shared" si="1"/>
        <v>1264.4099999999999</v>
      </c>
      <c r="O33" s="32">
        <f t="shared" si="2"/>
        <v>1498.3900000000003</v>
      </c>
    </row>
    <row r="34" spans="1:15" x14ac:dyDescent="0.2">
      <c r="A34" s="49" t="s">
        <v>76</v>
      </c>
      <c r="B34" s="48" t="s">
        <v>77</v>
      </c>
      <c r="C34" s="108">
        <f>+FACTURACIÓN!C33+FACTURACIÓN!D33+FACTURACIÓN!E33+FACTURACIÓN!F33+FACTURACIÓN!G33+FACTURACIÓN!H33+FACTURACIÓN!I33-'C&amp;A'!I34</f>
        <v>951.53102434597349</v>
      </c>
      <c r="D34" s="59">
        <v>0</v>
      </c>
      <c r="E34" s="32">
        <f t="shared" si="0"/>
        <v>951.53102434597349</v>
      </c>
      <c r="F34" s="32">
        <f>+FACTURACIÓN!J33</f>
        <v>0</v>
      </c>
      <c r="G34" s="32">
        <f>+FACTURACIÓN!K33</f>
        <v>0</v>
      </c>
      <c r="H34" s="32">
        <f>+FACTURACIÓN!L33</f>
        <v>0</v>
      </c>
      <c r="I34" s="32">
        <f>+FACTURACIÓN!M33</f>
        <v>0</v>
      </c>
      <c r="J34" s="32">
        <f>+FACTURACIÓN!N33</f>
        <v>0</v>
      </c>
      <c r="K34" s="32">
        <f>+FACTURACIÓN!O33</f>
        <v>0</v>
      </c>
      <c r="L34" s="32">
        <f>+FACTURACIÓN!P33</f>
        <v>0</v>
      </c>
      <c r="M34" s="35">
        <v>0</v>
      </c>
      <c r="N34" s="32">
        <f t="shared" si="1"/>
        <v>0</v>
      </c>
      <c r="O34" s="32">
        <f t="shared" si="2"/>
        <v>951.53102434597349</v>
      </c>
    </row>
    <row r="35" spans="1:15" x14ac:dyDescent="0.2">
      <c r="A35" s="49" t="s">
        <v>78</v>
      </c>
      <c r="B35" s="48" t="s">
        <v>79</v>
      </c>
      <c r="C35" s="108">
        <f>+FACTURACIÓN!C34+FACTURACIÓN!D34+FACTURACIÓN!E34+FACTURACIÓN!F34+FACTURACIÓN!G34+FACTURACIÓN!H34+FACTURACIÓN!I34-'C&amp;A'!I35</f>
        <v>1908.173897131358</v>
      </c>
      <c r="D35" s="59">
        <v>0</v>
      </c>
      <c r="E35" s="32">
        <f t="shared" si="0"/>
        <v>1908.173897131358</v>
      </c>
      <c r="F35" s="32">
        <f>+FACTURACIÓN!J34</f>
        <v>0</v>
      </c>
      <c r="G35" s="32">
        <f>+FACTURACIÓN!K34</f>
        <v>0</v>
      </c>
      <c r="H35" s="32">
        <f>+FACTURACIÓN!L34</f>
        <v>0</v>
      </c>
      <c r="I35" s="32">
        <f>+FACTURACIÓN!M34</f>
        <v>0</v>
      </c>
      <c r="J35" s="32">
        <f>+FACTURACIÓN!N34</f>
        <v>0</v>
      </c>
      <c r="K35" s="32">
        <f>+FACTURACIÓN!O34</f>
        <v>0</v>
      </c>
      <c r="L35" s="32">
        <f>+FACTURACIÓN!P34</f>
        <v>0</v>
      </c>
      <c r="M35" s="35">
        <v>0</v>
      </c>
      <c r="N35" s="32">
        <f t="shared" si="1"/>
        <v>0</v>
      </c>
      <c r="O35" s="32">
        <f t="shared" si="2"/>
        <v>1908.173897131358</v>
      </c>
    </row>
    <row r="36" spans="1:15" x14ac:dyDescent="0.2">
      <c r="A36" s="49" t="s">
        <v>82</v>
      </c>
      <c r="B36" s="48" t="s">
        <v>83</v>
      </c>
      <c r="C36" s="108">
        <f>+FACTURACIÓN!C35+FACTURACIÓN!D35+FACTURACIÓN!E35+FACTURACIÓN!F35+FACTURACIÓN!G35+FACTURACIÓN!H35+FACTURACIÓN!I35-'C&amp;A'!I36</f>
        <v>2388.1205678096517</v>
      </c>
      <c r="D36" s="59">
        <v>0</v>
      </c>
      <c r="E36" s="32">
        <f t="shared" si="0"/>
        <v>2388.1205678096517</v>
      </c>
      <c r="F36" s="32">
        <f>+FACTURACIÓN!J35</f>
        <v>0</v>
      </c>
      <c r="G36" s="32">
        <f>+FACTURACIÓN!K35</f>
        <v>0</v>
      </c>
      <c r="H36" s="32">
        <f>+FACTURACIÓN!L35</f>
        <v>0</v>
      </c>
      <c r="I36" s="32">
        <f>+FACTURACIÓN!M35</f>
        <v>58.19</v>
      </c>
      <c r="J36" s="32">
        <f>+FACTURACIÓN!N35</f>
        <v>0</v>
      </c>
      <c r="K36" s="32">
        <f>+FACTURACIÓN!O35</f>
        <v>0</v>
      </c>
      <c r="L36" s="32">
        <f>+FACTURACIÓN!P35</f>
        <v>0</v>
      </c>
      <c r="M36" s="35">
        <v>0</v>
      </c>
      <c r="N36" s="32">
        <f t="shared" si="1"/>
        <v>58.19</v>
      </c>
      <c r="O36" s="32">
        <f t="shared" si="2"/>
        <v>2329.9305678096516</v>
      </c>
    </row>
    <row r="37" spans="1:15" x14ac:dyDescent="0.2">
      <c r="A37" s="49" t="s">
        <v>84</v>
      </c>
      <c r="B37" s="48" t="s">
        <v>85</v>
      </c>
      <c r="C37" s="108">
        <f>+FACTURACIÓN!C36+FACTURACIÓN!D36+FACTURACIÓN!E36+FACTURACIÓN!F36+FACTURACIÓN!G36+FACTURACIÓN!H36+FACTURACIÓN!I36-'C&amp;A'!I37</f>
        <v>2137.9205678096519</v>
      </c>
      <c r="D37" s="59">
        <v>0</v>
      </c>
      <c r="E37" s="32">
        <f t="shared" si="0"/>
        <v>2137.9205678096519</v>
      </c>
      <c r="F37" s="32">
        <f>+FACTURACIÓN!J36</f>
        <v>0</v>
      </c>
      <c r="G37" s="32">
        <f>+FACTURACIÓN!K36</f>
        <v>0</v>
      </c>
      <c r="H37" s="32">
        <f>+FACTURACIÓN!L36</f>
        <v>0</v>
      </c>
      <c r="I37" s="32">
        <f>+FACTURACIÓN!M36</f>
        <v>0</v>
      </c>
      <c r="J37" s="32">
        <f>+FACTURACIÓN!N36</f>
        <v>0</v>
      </c>
      <c r="K37" s="32">
        <f>+FACTURACIÓN!O36</f>
        <v>0</v>
      </c>
      <c r="L37" s="32">
        <f>+FACTURACIÓN!P36</f>
        <v>1145.07</v>
      </c>
      <c r="M37" s="35">
        <v>0</v>
      </c>
      <c r="N37" s="32">
        <f t="shared" si="1"/>
        <v>1145.07</v>
      </c>
      <c r="O37" s="32">
        <f t="shared" si="2"/>
        <v>992.85056780965192</v>
      </c>
    </row>
    <row r="38" spans="1:15" x14ac:dyDescent="0.2">
      <c r="A38" s="49" t="s">
        <v>88</v>
      </c>
      <c r="B38" s="48" t="s">
        <v>89</v>
      </c>
      <c r="C38" s="108">
        <f>+FACTURACIÓN!C37+FACTURACIÓN!D37+FACTURACIÓN!E37+FACTURACIÓN!F37+FACTURACIÓN!G37+FACTURACIÓN!H37+FACTURACIÓN!I37-'C&amp;A'!I38</f>
        <v>1908.3738971313578</v>
      </c>
      <c r="D38" s="59">
        <v>0</v>
      </c>
      <c r="E38" s="32">
        <f t="shared" si="0"/>
        <v>1908.3738971313578</v>
      </c>
      <c r="F38" s="32">
        <f>+FACTURACIÓN!J37</f>
        <v>0</v>
      </c>
      <c r="G38" s="32">
        <f>+FACTURACIÓN!K37</f>
        <v>0</v>
      </c>
      <c r="H38" s="32">
        <f>+FACTURACIÓN!L37</f>
        <v>0</v>
      </c>
      <c r="I38" s="32">
        <f>+FACTURACIÓN!M37</f>
        <v>0</v>
      </c>
      <c r="J38" s="32">
        <f>+FACTURACIÓN!N37</f>
        <v>0</v>
      </c>
      <c r="K38" s="32">
        <f>+FACTURACIÓN!O37</f>
        <v>0</v>
      </c>
      <c r="L38" s="32">
        <f>+FACTURACIÓN!P37</f>
        <v>0</v>
      </c>
      <c r="M38" s="35">
        <v>0</v>
      </c>
      <c r="N38" s="32">
        <f t="shared" si="1"/>
        <v>0</v>
      </c>
      <c r="O38" s="32">
        <f t="shared" si="2"/>
        <v>1908.3738971313578</v>
      </c>
    </row>
    <row r="39" spans="1:15" x14ac:dyDescent="0.2">
      <c r="A39" s="49" t="s">
        <v>90</v>
      </c>
      <c r="B39" s="48" t="s">
        <v>91</v>
      </c>
      <c r="C39" s="108">
        <f>+FACTURACIÓN!C38+FACTURACIÓN!D38+FACTURACIÓN!E38+FACTURACIÓN!F38+FACTURACIÓN!G38+FACTURACIÓN!H38+FACTURACIÓN!I38-'C&amp;A'!I39</f>
        <v>8702.7999999999993</v>
      </c>
      <c r="D39" s="59">
        <v>0</v>
      </c>
      <c r="E39" s="32">
        <f t="shared" si="0"/>
        <v>8702.7999999999993</v>
      </c>
      <c r="F39" s="32">
        <f>+FACTURACIÓN!J38</f>
        <v>0</v>
      </c>
      <c r="G39" s="32">
        <f>+FACTURACIÓN!K38</f>
        <v>0</v>
      </c>
      <c r="H39" s="32">
        <f>+FACTURACIÓN!L38</f>
        <v>0</v>
      </c>
      <c r="I39" s="32">
        <f>+FACTURACIÓN!M38</f>
        <v>0</v>
      </c>
      <c r="J39" s="32">
        <f>+FACTURACIÓN!N38</f>
        <v>117.81</v>
      </c>
      <c r="K39" s="32">
        <f>+FACTURACIÓN!O38</f>
        <v>0</v>
      </c>
      <c r="L39" s="32">
        <f>+FACTURACIÓN!P38</f>
        <v>1376.19</v>
      </c>
      <c r="M39" s="35">
        <v>994</v>
      </c>
      <c r="N39" s="32">
        <f t="shared" si="1"/>
        <v>2488</v>
      </c>
      <c r="O39" s="32">
        <f t="shared" si="2"/>
        <v>6214.7999999999993</v>
      </c>
    </row>
    <row r="40" spans="1:15" x14ac:dyDescent="0.2">
      <c r="A40" s="49" t="s">
        <v>92</v>
      </c>
      <c r="B40" s="48" t="s">
        <v>93</v>
      </c>
      <c r="C40" s="108">
        <f>+FACTURACIÓN!C39+FACTURACIÓN!D39+FACTURACIÓN!E39+FACTURACIÓN!F39+FACTURACIÓN!G39+FACTURACIÓN!H39+FACTURACIÓN!I39-'C&amp;A'!I40</f>
        <v>9062.7999999999993</v>
      </c>
      <c r="D40" s="59">
        <v>0</v>
      </c>
      <c r="E40" s="32">
        <f t="shared" si="0"/>
        <v>9062.7999999999993</v>
      </c>
      <c r="F40" s="32">
        <f>+FACTURACIÓN!J39</f>
        <v>0</v>
      </c>
      <c r="G40" s="32">
        <f>+FACTURACIÓN!K39</f>
        <v>0</v>
      </c>
      <c r="H40" s="32">
        <f>+FACTURACIÓN!L39</f>
        <v>0</v>
      </c>
      <c r="I40" s="32">
        <f>+FACTURACIÓN!M39</f>
        <v>0</v>
      </c>
      <c r="J40" s="32">
        <f>+FACTURACIÓN!N39</f>
        <v>117.81</v>
      </c>
      <c r="K40" s="32">
        <f>+FACTURACIÓN!O39</f>
        <v>0</v>
      </c>
      <c r="L40" s="32">
        <f>+FACTURACIÓN!P39</f>
        <v>1079.76</v>
      </c>
      <c r="M40" s="35">
        <v>1030</v>
      </c>
      <c r="N40" s="32">
        <f t="shared" si="1"/>
        <v>2227.5699999999997</v>
      </c>
      <c r="O40" s="32">
        <f t="shared" si="2"/>
        <v>6835.23</v>
      </c>
    </row>
    <row r="41" spans="1:15" x14ac:dyDescent="0.2">
      <c r="A41" s="49" t="s">
        <v>94</v>
      </c>
      <c r="B41" s="48" t="s">
        <v>95</v>
      </c>
      <c r="C41" s="108">
        <f>+FACTURACIÓN!C40+FACTURACIÓN!D40+FACTURACIÓN!E40+FACTURACIÓN!F40+FACTURACIÓN!G40+FACTURACIÓN!H40+FACTURACIÓN!I40-'C&amp;A'!I41</f>
        <v>438.53299727735475</v>
      </c>
      <c r="D41" s="59">
        <v>0</v>
      </c>
      <c r="E41" s="32">
        <f t="shared" si="0"/>
        <v>438.53299727735475</v>
      </c>
      <c r="F41" s="32">
        <f>+FACTURACIÓN!J40</f>
        <v>0</v>
      </c>
      <c r="G41" s="32">
        <f>+FACTURACIÓN!K40</f>
        <v>0</v>
      </c>
      <c r="H41" s="32">
        <f>+FACTURACIÓN!L40</f>
        <v>0</v>
      </c>
      <c r="I41" s="32">
        <f>+FACTURACIÓN!M40</f>
        <v>0</v>
      </c>
      <c r="J41" s="32">
        <f>+FACTURACIÓN!N40</f>
        <v>0</v>
      </c>
      <c r="K41" s="32">
        <f>+FACTURACIÓN!O40</f>
        <v>0</v>
      </c>
      <c r="L41" s="32">
        <f>+FACTURACIÓN!P40</f>
        <v>0</v>
      </c>
      <c r="M41" s="35">
        <v>0</v>
      </c>
      <c r="N41" s="32">
        <f t="shared" si="1"/>
        <v>0</v>
      </c>
      <c r="O41" s="32">
        <f t="shared" si="2"/>
        <v>438.53299727735475</v>
      </c>
    </row>
    <row r="42" spans="1:15" x14ac:dyDescent="0.2">
      <c r="A42" s="49" t="s">
        <v>96</v>
      </c>
      <c r="B42" s="48" t="s">
        <v>97</v>
      </c>
      <c r="C42" s="108">
        <f>+FACTURACIÓN!C41+FACTURACIÓN!D41+FACTURACIÓN!E41+FACTURACIÓN!F41+FACTURACIÓN!G41+FACTURACIÓN!H41+FACTURACIÓN!I41-'C&amp;A'!I42</f>
        <v>1273.1763632955849</v>
      </c>
      <c r="D42" s="59">
        <v>0</v>
      </c>
      <c r="E42" s="32">
        <f t="shared" si="0"/>
        <v>1273.1763632955849</v>
      </c>
      <c r="F42" s="32">
        <f>+FACTURACIÓN!J41</f>
        <v>0</v>
      </c>
      <c r="G42" s="32">
        <f>+FACTURACIÓN!K41</f>
        <v>0</v>
      </c>
      <c r="H42" s="32">
        <f>+FACTURACIÓN!L41</f>
        <v>0</v>
      </c>
      <c r="I42" s="32">
        <f>+FACTURACIÓN!M41</f>
        <v>0</v>
      </c>
      <c r="J42" s="32">
        <f>+FACTURACIÓN!N41</f>
        <v>0</v>
      </c>
      <c r="K42" s="32">
        <f>+FACTURACIÓN!O41</f>
        <v>0</v>
      </c>
      <c r="L42" s="32">
        <f>+FACTURACIÓN!P41</f>
        <v>0</v>
      </c>
      <c r="M42" s="35">
        <v>0</v>
      </c>
      <c r="N42" s="32">
        <f t="shared" si="1"/>
        <v>0</v>
      </c>
      <c r="O42" s="32">
        <f t="shared" si="2"/>
        <v>1273.1763632955849</v>
      </c>
    </row>
    <row r="43" spans="1:15" x14ac:dyDescent="0.2">
      <c r="A43" s="49" t="s">
        <v>98</v>
      </c>
      <c r="B43" s="48" t="s">
        <v>99</v>
      </c>
      <c r="C43" s="108">
        <f>+FACTURACIÓN!C42+FACTURACIÓN!D42+FACTURACIÓN!E42+FACTURACIÓN!F42+FACTURACIÓN!G42+FACTURACIÓN!H42+FACTURACIÓN!I42-'C&amp;A'!I43</f>
        <v>1423.1763632955849</v>
      </c>
      <c r="D43" s="59">
        <v>0</v>
      </c>
      <c r="E43" s="32">
        <f t="shared" si="0"/>
        <v>1423.1763632955849</v>
      </c>
      <c r="F43" s="32">
        <f>+FACTURACIÓN!J42</f>
        <v>1000</v>
      </c>
      <c r="G43" s="32">
        <f>+FACTURACIÓN!K42</f>
        <v>0</v>
      </c>
      <c r="H43" s="32">
        <f>+FACTURACIÓN!L42</f>
        <v>0</v>
      </c>
      <c r="I43" s="32">
        <f>+FACTURACIÓN!M42</f>
        <v>0</v>
      </c>
      <c r="J43" s="32">
        <f>+FACTURACIÓN!N42</f>
        <v>0</v>
      </c>
      <c r="K43" s="32">
        <f>+FACTURACIÓN!O42</f>
        <v>0</v>
      </c>
      <c r="L43" s="32">
        <f>+FACTURACIÓN!P42</f>
        <v>0</v>
      </c>
      <c r="M43" s="35">
        <v>0</v>
      </c>
      <c r="N43" s="32">
        <f t="shared" si="1"/>
        <v>1000</v>
      </c>
      <c r="O43" s="32">
        <f t="shared" si="2"/>
        <v>423.17636329558491</v>
      </c>
    </row>
    <row r="44" spans="1:15" s="212" customFormat="1" x14ac:dyDescent="0.2">
      <c r="A44" s="213" t="s">
        <v>277</v>
      </c>
      <c r="B44" s="212" t="s">
        <v>278</v>
      </c>
      <c r="C44" s="215">
        <f>+FACTURACIÓN!C43+FACTURACIÓN!D43+FACTURACIÓN!E43+FACTURACIÓN!F43+FACTURACIÓN!G43+FACTURACIÓN!H43+FACTURACIÓN!I43-'C&amp;A'!I44</f>
        <v>1423.1763632955849</v>
      </c>
      <c r="D44" s="215">
        <v>0</v>
      </c>
      <c r="E44" s="32">
        <f t="shared" si="0"/>
        <v>1423.1763632955849</v>
      </c>
      <c r="F44" s="32">
        <f>+FACTURACIÓN!J43</f>
        <v>0</v>
      </c>
      <c r="G44" s="32">
        <f>+FACTURACIÓN!K43</f>
        <v>0</v>
      </c>
      <c r="H44" s="32">
        <f>+FACTURACIÓN!L43</f>
        <v>0</v>
      </c>
      <c r="I44" s="32">
        <f>+FACTURACIÓN!M43</f>
        <v>0</v>
      </c>
      <c r="J44" s="32">
        <f>+FACTURACIÓN!N43</f>
        <v>0</v>
      </c>
      <c r="K44" s="32">
        <f>+FACTURACIÓN!O43</f>
        <v>0</v>
      </c>
      <c r="L44" s="32">
        <f>+FACTURACIÓN!P43</f>
        <v>0</v>
      </c>
      <c r="M44" s="35">
        <v>0</v>
      </c>
      <c r="N44" s="32">
        <f t="shared" si="1"/>
        <v>0</v>
      </c>
      <c r="O44" s="32">
        <f t="shared" si="2"/>
        <v>1423.1763632955849</v>
      </c>
    </row>
    <row r="45" spans="1:15" x14ac:dyDescent="0.2">
      <c r="A45" s="49" t="s">
        <v>100</v>
      </c>
      <c r="B45" s="48" t="s">
        <v>101</v>
      </c>
      <c r="C45" s="108">
        <f>+FACTURACIÓN!C44+FACTURACIÓN!D44+FACTURACIÓN!E44+FACTURACIÓN!F44+FACTURACIÓN!G44+FACTURACIÓN!H44+FACTURACIÓN!I44-'C&amp;A'!I45</f>
        <v>1708.173897131358</v>
      </c>
      <c r="D45" s="59">
        <v>0</v>
      </c>
      <c r="E45" s="32">
        <f t="shared" si="0"/>
        <v>1708.173897131358</v>
      </c>
      <c r="F45" s="32">
        <f>+FACTURACIÓN!J44</f>
        <v>0</v>
      </c>
      <c r="G45" s="32">
        <f>+FACTURACIÓN!K44</f>
        <v>0</v>
      </c>
      <c r="H45" s="32">
        <f>+FACTURACIÓN!L44</f>
        <v>0</v>
      </c>
      <c r="I45" s="32">
        <f>+FACTURACIÓN!M44</f>
        <v>0</v>
      </c>
      <c r="J45" s="32">
        <f>+FACTURACIÓN!N44</f>
        <v>0</v>
      </c>
      <c r="K45" s="32">
        <f>+FACTURACIÓN!O44</f>
        <v>0</v>
      </c>
      <c r="L45" s="32">
        <f>+FACTURACIÓN!P44</f>
        <v>0</v>
      </c>
      <c r="M45" s="35">
        <v>0</v>
      </c>
      <c r="N45" s="32">
        <f t="shared" si="1"/>
        <v>0</v>
      </c>
      <c r="O45" s="32">
        <f t="shared" si="2"/>
        <v>1708.173897131358</v>
      </c>
    </row>
    <row r="46" spans="1:15" x14ac:dyDescent="0.2">
      <c r="A46" s="49" t="s">
        <v>102</v>
      </c>
      <c r="B46" s="48" t="s">
        <v>103</v>
      </c>
      <c r="C46" s="108">
        <f>+FACTURACIÓN!C45+FACTURACIÓN!D45+FACTURACIÓN!E45+FACTURACIÓN!F45+FACTURACIÓN!G45+FACTURACIÓN!H45+FACTURACIÓN!I45-'C&amp;A'!I46</f>
        <v>3746.1333333333332</v>
      </c>
      <c r="D46" s="59">
        <v>0</v>
      </c>
      <c r="E46" s="32">
        <f t="shared" si="0"/>
        <v>3746.1333333333332</v>
      </c>
      <c r="F46" s="32">
        <f>+FACTURACIÓN!J45</f>
        <v>0</v>
      </c>
      <c r="G46" s="32">
        <f>+FACTURACIÓN!K45</f>
        <v>0</v>
      </c>
      <c r="H46" s="32">
        <f>+FACTURACIÓN!L45</f>
        <v>0</v>
      </c>
      <c r="I46" s="32">
        <f>+FACTURACIÓN!M45</f>
        <v>0</v>
      </c>
      <c r="J46" s="32">
        <f>+FACTURACIÓN!N45</f>
        <v>0</v>
      </c>
      <c r="K46" s="32">
        <f>+FACTURACIÓN!O45</f>
        <v>0</v>
      </c>
      <c r="L46" s="32">
        <f>+FACTURACIÓN!P45</f>
        <v>0</v>
      </c>
      <c r="M46" s="35">
        <v>498.33333333333331</v>
      </c>
      <c r="N46" s="32">
        <f t="shared" si="1"/>
        <v>498.33333333333331</v>
      </c>
      <c r="O46" s="32">
        <f t="shared" si="2"/>
        <v>3247.7999999999997</v>
      </c>
    </row>
    <row r="47" spans="1:15" x14ac:dyDescent="0.2">
      <c r="A47" s="49" t="s">
        <v>104</v>
      </c>
      <c r="B47" s="48" t="s">
        <v>105</v>
      </c>
      <c r="C47" s="108">
        <f>+FACTURACIÓN!C46+FACTURACIÓN!D46+FACTURACIÓN!E46+FACTURACIÓN!F46+FACTURACIÓN!G46+FACTURACIÓN!H46+FACTURACIÓN!I46-'C&amp;A'!I47</f>
        <v>2037.9205678096519</v>
      </c>
      <c r="D47" s="59">
        <v>0</v>
      </c>
      <c r="E47" s="32">
        <f t="shared" si="0"/>
        <v>2037.9205678096519</v>
      </c>
      <c r="F47" s="32">
        <f>+FACTURACIÓN!J46</f>
        <v>0</v>
      </c>
      <c r="G47" s="32">
        <f>+FACTURACIÓN!K46</f>
        <v>0</v>
      </c>
      <c r="H47" s="32">
        <f>+FACTURACIÓN!L46</f>
        <v>0</v>
      </c>
      <c r="I47" s="32">
        <f>+FACTURACIÓN!M46</f>
        <v>0</v>
      </c>
      <c r="J47" s="32">
        <f>+FACTURACIÓN!N46</f>
        <v>0</v>
      </c>
      <c r="K47" s="32">
        <f>+FACTURACIÓN!O46</f>
        <v>0</v>
      </c>
      <c r="L47" s="32">
        <f>+FACTURACIÓN!P46</f>
        <v>0</v>
      </c>
      <c r="M47" s="35">
        <v>0</v>
      </c>
      <c r="N47" s="32">
        <f t="shared" si="1"/>
        <v>0</v>
      </c>
      <c r="O47" s="32">
        <f t="shared" si="2"/>
        <v>2037.9205678096519</v>
      </c>
    </row>
    <row r="48" spans="1:15" x14ac:dyDescent="0.2">
      <c r="A48" s="49" t="s">
        <v>108</v>
      </c>
      <c r="B48" s="107" t="s">
        <v>109</v>
      </c>
      <c r="C48" s="108">
        <f>+FACTURACIÓN!C47+FACTURACIÓN!D47+FACTURACIÓN!E47+FACTURACIÓN!F47+FACTURACIÓN!G47+FACTURACIÓN!H47+FACTURACIÓN!I47-'C&amp;A'!I48</f>
        <v>1423.1763632955849</v>
      </c>
      <c r="D48" s="59">
        <v>0</v>
      </c>
      <c r="E48" s="32">
        <f t="shared" si="0"/>
        <v>1423.1763632955849</v>
      </c>
      <c r="F48" s="32">
        <f>+FACTURACIÓN!J47</f>
        <v>0</v>
      </c>
      <c r="G48" s="32">
        <f>+FACTURACIÓN!K47</f>
        <v>0</v>
      </c>
      <c r="H48" s="32">
        <f>+FACTURACIÓN!L47</f>
        <v>0</v>
      </c>
      <c r="I48" s="32">
        <f>+FACTURACIÓN!M47</f>
        <v>0</v>
      </c>
      <c r="J48" s="32">
        <f>+FACTURACIÓN!N47</f>
        <v>0</v>
      </c>
      <c r="K48" s="32">
        <f>+FACTURACIÓN!O47</f>
        <v>0</v>
      </c>
      <c r="L48" s="32">
        <f>+FACTURACIÓN!P47</f>
        <v>0</v>
      </c>
      <c r="M48" s="35">
        <v>0</v>
      </c>
      <c r="N48" s="32">
        <f t="shared" si="1"/>
        <v>0</v>
      </c>
      <c r="O48" s="32">
        <f t="shared" si="2"/>
        <v>1423.1763632955849</v>
      </c>
    </row>
    <row r="49" spans="1:15" x14ac:dyDescent="0.2">
      <c r="A49" s="49" t="s">
        <v>106</v>
      </c>
      <c r="B49" s="107" t="s">
        <v>107</v>
      </c>
      <c r="C49" s="108">
        <f>+FACTURACIÓN!C48+FACTURACIÓN!D48+FACTURACIÓN!E48+FACTURACIÓN!F48+FACTURACIÓN!G48+FACTURACIÓN!H48+FACTURACIÓN!I48-'C&amp;A'!I49</f>
        <v>2513</v>
      </c>
      <c r="D49" s="59">
        <v>0</v>
      </c>
      <c r="E49" s="32">
        <f t="shared" si="0"/>
        <v>2513</v>
      </c>
      <c r="F49" s="32">
        <f>+FACTURACIÓN!J48</f>
        <v>0</v>
      </c>
      <c r="G49" s="32">
        <f>+FACTURACIÓN!K48</f>
        <v>0</v>
      </c>
      <c r="H49" s="32">
        <f>+FACTURACIÓN!L48</f>
        <v>0</v>
      </c>
      <c r="I49" s="32">
        <f>+FACTURACIÓN!M48</f>
        <v>0</v>
      </c>
      <c r="J49" s="32">
        <f>+FACTURACIÓN!N48</f>
        <v>0</v>
      </c>
      <c r="K49" s="32">
        <f>+FACTURACIÓN!O48</f>
        <v>0</v>
      </c>
      <c r="L49" s="32">
        <f>+FACTURACIÓN!P48</f>
        <v>539.66999999999996</v>
      </c>
      <c r="M49" s="35">
        <v>0</v>
      </c>
      <c r="N49" s="32">
        <f t="shared" si="1"/>
        <v>539.66999999999996</v>
      </c>
      <c r="O49" s="32">
        <f t="shared" si="2"/>
        <v>1973.33</v>
      </c>
    </row>
    <row r="50" spans="1:15" x14ac:dyDescent="0.2">
      <c r="A50" s="49" t="s">
        <v>110</v>
      </c>
      <c r="B50" s="48" t="s">
        <v>111</v>
      </c>
      <c r="C50" s="108">
        <f>+FACTURACIÓN!C49+FACTURACIÓN!D49+FACTURACIÓN!E49+FACTURACIÓN!F49+FACTURACIÓN!G49+FACTURACIÓN!H49+FACTURACIÓN!I49-'C&amp;A'!I50</f>
        <v>1908.173897131358</v>
      </c>
      <c r="D50" s="59">
        <v>0</v>
      </c>
      <c r="E50" s="32">
        <f t="shared" si="0"/>
        <v>1908.173897131358</v>
      </c>
      <c r="F50" s="32">
        <f>+FACTURACIÓN!J49</f>
        <v>0</v>
      </c>
      <c r="G50" s="32">
        <f>+FACTURACIÓN!K49</f>
        <v>0</v>
      </c>
      <c r="H50" s="32">
        <f>+FACTURACIÓN!L49</f>
        <v>0</v>
      </c>
      <c r="I50" s="32">
        <f>+FACTURACIÓN!M49</f>
        <v>0</v>
      </c>
      <c r="J50" s="32">
        <f>+FACTURACIÓN!N49</f>
        <v>0</v>
      </c>
      <c r="K50" s="32">
        <f>+FACTURACIÓN!O49</f>
        <v>0</v>
      </c>
      <c r="L50" s="32">
        <f>+FACTURACIÓN!P49</f>
        <v>0</v>
      </c>
      <c r="M50" s="35">
        <v>0</v>
      </c>
      <c r="N50" s="32">
        <f t="shared" si="1"/>
        <v>0</v>
      </c>
      <c r="O50" s="32">
        <f t="shared" si="2"/>
        <v>1908.173897131358</v>
      </c>
    </row>
    <row r="51" spans="1:15" x14ac:dyDescent="0.2">
      <c r="A51" s="49" t="s">
        <v>112</v>
      </c>
      <c r="B51" s="48" t="s">
        <v>113</v>
      </c>
      <c r="C51" s="108">
        <f>+FACTURACIÓN!C50+FACTURACIÓN!D50+FACTURACIÓN!E50+FACTURACIÓN!F50+FACTURACIÓN!G50+FACTURACIÓN!H50+FACTURACIÓN!I50-'C&amp;A'!I51</f>
        <v>3262.8</v>
      </c>
      <c r="D51" s="59">
        <v>0</v>
      </c>
      <c r="E51" s="32">
        <f t="shared" si="0"/>
        <v>3262.8</v>
      </c>
      <c r="F51" s="32">
        <f>+FACTURACIÓN!J50</f>
        <v>0</v>
      </c>
      <c r="G51" s="32">
        <f>+FACTURACIÓN!K50</f>
        <v>0</v>
      </c>
      <c r="H51" s="32">
        <f>+FACTURACIÓN!L50</f>
        <v>0</v>
      </c>
      <c r="I51" s="32">
        <f>+FACTURACIÓN!M50</f>
        <v>0</v>
      </c>
      <c r="J51" s="32">
        <f>+FACTURACIÓN!N50</f>
        <v>117.81</v>
      </c>
      <c r="K51" s="32">
        <f>+FACTURACIÓN!O50</f>
        <v>0</v>
      </c>
      <c r="L51" s="32">
        <f>+FACTURACIÓN!P50</f>
        <v>0</v>
      </c>
      <c r="M51" s="35">
        <v>0</v>
      </c>
      <c r="N51" s="32">
        <f t="shared" si="1"/>
        <v>117.81</v>
      </c>
      <c r="O51" s="32">
        <f t="shared" si="2"/>
        <v>3144.9900000000002</v>
      </c>
    </row>
    <row r="52" spans="1:15" x14ac:dyDescent="0.2">
      <c r="A52" s="49" t="s">
        <v>114</v>
      </c>
      <c r="B52" s="48" t="s">
        <v>115</v>
      </c>
      <c r="C52" s="108">
        <f>+FACTURACIÓN!C51+FACTURACIÓN!D51+FACTURACIÓN!E51+FACTURACIÓN!F51+FACTURACIÓN!G51+FACTURACIÓN!H51+FACTURACIÓN!I51-'C&amp;A'!I52</f>
        <v>1908.173897131358</v>
      </c>
      <c r="D52" s="59">
        <v>0</v>
      </c>
      <c r="E52" s="32">
        <f t="shared" si="0"/>
        <v>1908.173897131358</v>
      </c>
      <c r="F52" s="32">
        <f>+FACTURACIÓN!J51</f>
        <v>0</v>
      </c>
      <c r="G52" s="32">
        <f>+FACTURACIÓN!K51</f>
        <v>0</v>
      </c>
      <c r="H52" s="32">
        <f>+FACTURACIÓN!L51</f>
        <v>0</v>
      </c>
      <c r="I52" s="32">
        <f>+FACTURACIÓN!M51</f>
        <v>0</v>
      </c>
      <c r="J52" s="32">
        <f>+FACTURACIÓN!N51</f>
        <v>0</v>
      </c>
      <c r="K52" s="32">
        <f>+FACTURACIÓN!O51</f>
        <v>0</v>
      </c>
      <c r="L52" s="32">
        <f>+FACTURACIÓN!P51</f>
        <v>0</v>
      </c>
      <c r="M52" s="35">
        <v>0</v>
      </c>
      <c r="N52" s="32">
        <f t="shared" si="1"/>
        <v>0</v>
      </c>
      <c r="O52" s="32">
        <f t="shared" si="2"/>
        <v>1908.173897131358</v>
      </c>
    </row>
    <row r="53" spans="1:15" x14ac:dyDescent="0.2">
      <c r="A53" s="49" t="s">
        <v>116</v>
      </c>
      <c r="B53" s="48" t="s">
        <v>117</v>
      </c>
      <c r="C53" s="108">
        <f>+FACTURACIÓN!C52+FACTURACIÓN!D52+FACTURACIÓN!E52+FACTURACIÓN!F52+FACTURACIÓN!G52+FACTURACIÓN!H52+FACTURACIÓN!I52-'C&amp;A'!I53</f>
        <v>4762.8</v>
      </c>
      <c r="D53" s="59">
        <v>0</v>
      </c>
      <c r="E53" s="32">
        <f t="shared" si="0"/>
        <v>4762.8</v>
      </c>
      <c r="F53" s="32">
        <f>+FACTURACIÓN!J52</f>
        <v>0</v>
      </c>
      <c r="G53" s="32">
        <f>+FACTURACIÓN!K52</f>
        <v>0</v>
      </c>
      <c r="H53" s="32">
        <f>+FACTURACIÓN!L52</f>
        <v>0</v>
      </c>
      <c r="I53" s="32">
        <f>+FACTURACIÓN!M52</f>
        <v>0</v>
      </c>
      <c r="J53" s="32">
        <f>+FACTURACIÓN!N52</f>
        <v>0</v>
      </c>
      <c r="K53" s="32">
        <f>+FACTURACIÓN!O52</f>
        <v>0</v>
      </c>
      <c r="L53" s="32">
        <f>+FACTURACIÓN!P52</f>
        <v>0</v>
      </c>
      <c r="M53" s="35">
        <v>600</v>
      </c>
      <c r="N53" s="32">
        <f t="shared" si="1"/>
        <v>600</v>
      </c>
      <c r="O53" s="32">
        <f t="shared" si="2"/>
        <v>4162.8</v>
      </c>
    </row>
    <row r="54" spans="1:15" x14ac:dyDescent="0.2">
      <c r="A54" s="49" t="s">
        <v>118</v>
      </c>
      <c r="B54" s="48" t="s">
        <v>119</v>
      </c>
      <c r="C54" s="108">
        <f>+FACTURACIÓN!C53+FACTURACIÓN!D53+FACTURACIÓN!E53+FACTURACIÓN!F53+FACTURACIÓN!G53+FACTURACIÓN!H53+FACTURACIÓN!I53-'C&amp;A'!I54</f>
        <v>2762.8</v>
      </c>
      <c r="D54" s="59">
        <v>0</v>
      </c>
      <c r="E54" s="32">
        <f t="shared" si="0"/>
        <v>2762.8</v>
      </c>
      <c r="F54" s="32">
        <f>+FACTURACIÓN!J53</f>
        <v>0</v>
      </c>
      <c r="G54" s="32">
        <f>+FACTURACIÓN!K53</f>
        <v>0</v>
      </c>
      <c r="H54" s="32">
        <f>+FACTURACIÓN!L53</f>
        <v>0</v>
      </c>
      <c r="I54" s="32">
        <f>+FACTURACIÓN!M53</f>
        <v>0</v>
      </c>
      <c r="J54" s="32">
        <f>+FACTURACIÓN!N53</f>
        <v>0</v>
      </c>
      <c r="K54" s="32">
        <f>+FACTURACIÓN!O53</f>
        <v>0</v>
      </c>
      <c r="L54" s="32">
        <f>+FACTURACIÓN!P53</f>
        <v>1437.81</v>
      </c>
      <c r="M54" s="35">
        <v>0</v>
      </c>
      <c r="N54" s="32">
        <f t="shared" si="1"/>
        <v>1437.81</v>
      </c>
      <c r="O54" s="32">
        <f t="shared" si="2"/>
        <v>1324.9900000000002</v>
      </c>
    </row>
    <row r="55" spans="1:15" x14ac:dyDescent="0.2">
      <c r="A55" s="49" t="s">
        <v>120</v>
      </c>
      <c r="B55" s="48" t="s">
        <v>121</v>
      </c>
      <c r="C55" s="108">
        <f>+FACTURACIÓN!C54+FACTURACIÓN!D54+FACTURACIÓN!E54+FACTURACIÓN!F54+FACTURACIÓN!G54+FACTURACIÓN!H54+FACTURACIÓN!I54-'C&amp;A'!I55</f>
        <v>2137.9205678096519</v>
      </c>
      <c r="D55" s="59">
        <v>0</v>
      </c>
      <c r="E55" s="32">
        <f t="shared" si="0"/>
        <v>2137.9205678096519</v>
      </c>
      <c r="F55" s="32">
        <f>+FACTURACIÓN!J54</f>
        <v>0</v>
      </c>
      <c r="G55" s="32">
        <f>+FACTURACIÓN!K54</f>
        <v>0</v>
      </c>
      <c r="H55" s="32">
        <f>+FACTURACIÓN!L54</f>
        <v>0</v>
      </c>
      <c r="I55" s="32">
        <f>+FACTURACIÓN!M54</f>
        <v>0</v>
      </c>
      <c r="J55" s="32">
        <f>+FACTURACIÓN!N54</f>
        <v>117.81</v>
      </c>
      <c r="K55" s="32">
        <f>+FACTURACIÓN!O54</f>
        <v>0</v>
      </c>
      <c r="L55" s="32">
        <f>+FACTURACIÓN!P54</f>
        <v>1041.05</v>
      </c>
      <c r="M55" s="35">
        <v>0</v>
      </c>
      <c r="N55" s="32">
        <f t="shared" si="1"/>
        <v>1158.8599999999999</v>
      </c>
      <c r="O55" s="32">
        <f t="shared" si="2"/>
        <v>979.06056780965196</v>
      </c>
    </row>
    <row r="56" spans="1:15" s="212" customFormat="1" x14ac:dyDescent="0.2">
      <c r="A56" s="213" t="s">
        <v>122</v>
      </c>
      <c r="B56" s="212" t="s">
        <v>123</v>
      </c>
      <c r="C56" s="215">
        <f>+FACTURACIÓN!C55+FACTURACIÓN!D55+FACTURACIÓN!E55+FACTURACIÓN!F55+FACTURACIÓN!G55+FACTURACIÓN!H55+FACTURACIÓN!I55-'C&amp;A'!I56</f>
        <v>2107.9205678096519</v>
      </c>
      <c r="D56" s="215">
        <v>0</v>
      </c>
      <c r="E56" s="32">
        <f t="shared" si="0"/>
        <v>2107.9205678096519</v>
      </c>
      <c r="F56" s="32">
        <f>+FACTURACIÓN!J55</f>
        <v>0</v>
      </c>
      <c r="G56" s="32">
        <f>+FACTURACIÓN!K55</f>
        <v>0</v>
      </c>
      <c r="H56" s="32">
        <f>+FACTURACIÓN!L55</f>
        <v>0</v>
      </c>
      <c r="I56" s="32">
        <f>+FACTURACIÓN!M55</f>
        <v>0</v>
      </c>
      <c r="J56" s="32">
        <f>+FACTURACIÓN!N55</f>
        <v>76.56</v>
      </c>
      <c r="K56" s="32">
        <f>+FACTURACIÓN!O55</f>
        <v>0</v>
      </c>
      <c r="L56" s="32">
        <f>+FACTURACIÓN!P55</f>
        <v>0</v>
      </c>
      <c r="M56" s="35">
        <v>0</v>
      </c>
      <c r="N56" s="32">
        <f t="shared" si="1"/>
        <v>76.56</v>
      </c>
      <c r="O56" s="32">
        <f t="shared" si="2"/>
        <v>2031.3605678096519</v>
      </c>
    </row>
    <row r="57" spans="1:15" s="212" customFormat="1" x14ac:dyDescent="0.2">
      <c r="A57" s="213" t="s">
        <v>124</v>
      </c>
      <c r="B57" s="212" t="s">
        <v>125</v>
      </c>
      <c r="C57" s="215">
        <f>+FACTURACIÓN!C56+FACTURACIÓN!D56+FACTURACIÓN!E56+FACTURACIÓN!F56+FACTURACIÓN!G56+FACTURACIÓN!H56+FACTURACIÓN!I56-'C&amp;A'!I57</f>
        <v>2387.9205678096519</v>
      </c>
      <c r="D57" s="215">
        <v>0</v>
      </c>
      <c r="E57" s="32">
        <f t="shared" si="0"/>
        <v>2387.9205678096519</v>
      </c>
      <c r="F57" s="32">
        <f>+FACTURACIÓN!J56</f>
        <v>0</v>
      </c>
      <c r="G57" s="32">
        <f>+FACTURACIÓN!K56</f>
        <v>0</v>
      </c>
      <c r="H57" s="32">
        <f>+FACTURACIÓN!L56</f>
        <v>0</v>
      </c>
      <c r="I57" s="32">
        <f>+FACTURACIÓN!M56</f>
        <v>0</v>
      </c>
      <c r="J57" s="32">
        <f>+FACTURACIÓN!N56</f>
        <v>0</v>
      </c>
      <c r="K57" s="32">
        <f>+FACTURACIÓN!O56</f>
        <v>0</v>
      </c>
      <c r="L57" s="32">
        <f>+FACTURACIÓN!P56</f>
        <v>604.87</v>
      </c>
      <c r="M57" s="35">
        <v>0</v>
      </c>
      <c r="N57" s="32">
        <f t="shared" si="1"/>
        <v>604.87</v>
      </c>
      <c r="O57" s="32">
        <f t="shared" si="2"/>
        <v>1783.050567809652</v>
      </c>
    </row>
    <row r="58" spans="1:15" x14ac:dyDescent="0.2">
      <c r="A58" s="49" t="s">
        <v>126</v>
      </c>
      <c r="B58" s="107" t="s">
        <v>127</v>
      </c>
      <c r="C58" s="108">
        <f>+FACTURACIÓN!C57+FACTURACIÓN!D57+FACTURACIÓN!E57+FACTURACIÓN!F57+FACTURACIÓN!G57+FACTURACIÓN!H57+FACTURACIÓN!I57-'C&amp;A'!I58</f>
        <v>1708.173897131358</v>
      </c>
      <c r="D58" s="59">
        <v>0</v>
      </c>
      <c r="E58" s="32">
        <f t="shared" si="0"/>
        <v>1708.173897131358</v>
      </c>
      <c r="F58" s="32">
        <f>+FACTURACIÓN!J57</f>
        <v>0</v>
      </c>
      <c r="G58" s="32">
        <f>+FACTURACIÓN!K57</f>
        <v>0</v>
      </c>
      <c r="H58" s="32">
        <f>+FACTURACIÓN!L57</f>
        <v>0</v>
      </c>
      <c r="I58" s="32">
        <f>+FACTURACIÓN!M57</f>
        <v>0</v>
      </c>
      <c r="J58" s="32">
        <f>+FACTURACIÓN!N57</f>
        <v>0</v>
      </c>
      <c r="K58" s="32">
        <f>+FACTURACIÓN!O57</f>
        <v>0</v>
      </c>
      <c r="L58" s="32">
        <f>+FACTURACIÓN!P57</f>
        <v>0</v>
      </c>
      <c r="M58" s="35">
        <v>0</v>
      </c>
      <c r="N58" s="32">
        <f t="shared" si="1"/>
        <v>0</v>
      </c>
      <c r="O58" s="32">
        <f t="shared" si="2"/>
        <v>1708.173897131358</v>
      </c>
    </row>
    <row r="59" spans="1:15" x14ac:dyDescent="0.2">
      <c r="A59" s="49" t="s">
        <v>128</v>
      </c>
      <c r="B59" s="48" t="s">
        <v>129</v>
      </c>
      <c r="C59" s="108">
        <f>+FACTURACIÓN!C58+FACTURACIÓN!D58+FACTURACIÓN!E58+FACTURACIÓN!F58+FACTURACIÓN!G58+FACTURACIÓN!H58+FACTURACIÓN!I58-'C&amp;A'!I59</f>
        <v>5262.8</v>
      </c>
      <c r="D59" s="59">
        <v>0</v>
      </c>
      <c r="E59" s="32">
        <f t="shared" si="0"/>
        <v>5262.8</v>
      </c>
      <c r="F59" s="32">
        <f>+FACTURACIÓN!J58</f>
        <v>0</v>
      </c>
      <c r="G59" s="32">
        <f>+FACTURACIÓN!K58</f>
        <v>0</v>
      </c>
      <c r="H59" s="32">
        <f>+FACTURACIÓN!L58</f>
        <v>0</v>
      </c>
      <c r="I59" s="32">
        <f>+FACTURACIÓN!M58</f>
        <v>0</v>
      </c>
      <c r="J59" s="32">
        <f>+FACTURACIÓN!N58</f>
        <v>0</v>
      </c>
      <c r="K59" s="32">
        <f>+FACTURACIÓN!O58</f>
        <v>0</v>
      </c>
      <c r="L59" s="32">
        <f>+FACTURACIÓN!P58</f>
        <v>0</v>
      </c>
      <c r="M59" s="35">
        <v>650</v>
      </c>
      <c r="N59" s="32">
        <f t="shared" si="1"/>
        <v>650</v>
      </c>
      <c r="O59" s="32">
        <f t="shared" si="2"/>
        <v>4612.8</v>
      </c>
    </row>
    <row r="60" spans="1:15" x14ac:dyDescent="0.2">
      <c r="A60" s="49" t="s">
        <v>130</v>
      </c>
      <c r="B60" s="48" t="s">
        <v>131</v>
      </c>
      <c r="C60" s="108">
        <f>+FACTURACIÓN!C59+FACTURACIÓN!D59+FACTURACIÓN!E59+FACTURACIÓN!F59+FACTURACIÓN!G59+FACTURACIÓN!H59+FACTURACIÓN!I59-'C&amp;A'!I60</f>
        <v>1908.173897131358</v>
      </c>
      <c r="D60" s="59">
        <v>0</v>
      </c>
      <c r="E60" s="32">
        <f t="shared" si="0"/>
        <v>1908.173897131358</v>
      </c>
      <c r="F60" s="32">
        <f>+FACTURACIÓN!J59</f>
        <v>0</v>
      </c>
      <c r="G60" s="32">
        <f>+FACTURACIÓN!K59</f>
        <v>0</v>
      </c>
      <c r="H60" s="32">
        <f>+FACTURACIÓN!L59</f>
        <v>0</v>
      </c>
      <c r="I60" s="32">
        <f>+FACTURACIÓN!M59</f>
        <v>0</v>
      </c>
      <c r="J60" s="32">
        <f>+FACTURACIÓN!N59</f>
        <v>117.81</v>
      </c>
      <c r="K60" s="32">
        <f>+FACTURACIÓN!O59</f>
        <v>317.80500000000001</v>
      </c>
      <c r="L60" s="32">
        <f>+FACTURACIÓN!P59</f>
        <v>0</v>
      </c>
      <c r="M60" s="35">
        <v>0</v>
      </c>
      <c r="N60" s="32">
        <f t="shared" si="1"/>
        <v>435.61500000000001</v>
      </c>
      <c r="O60" s="32">
        <f t="shared" si="2"/>
        <v>1472.558897131358</v>
      </c>
    </row>
    <row r="61" spans="1:15" x14ac:dyDescent="0.2">
      <c r="A61" s="49" t="s">
        <v>132</v>
      </c>
      <c r="B61" s="48" t="s">
        <v>133</v>
      </c>
      <c r="C61" s="108">
        <f>+FACTURACIÓN!C60+FACTURACIÓN!D60+FACTURACIÓN!E60+FACTURACIÓN!F60+FACTURACIÓN!G60+FACTURACIÓN!H60+FACTURACIÓN!I60-'C&amp;A'!I61</f>
        <v>3162.8</v>
      </c>
      <c r="D61" s="59">
        <v>0</v>
      </c>
      <c r="E61" s="32">
        <f t="shared" si="0"/>
        <v>3162.8</v>
      </c>
      <c r="F61" s="32">
        <f>+FACTURACIÓN!J60</f>
        <v>0</v>
      </c>
      <c r="G61" s="32">
        <f>+FACTURACIÓN!K60</f>
        <v>0</v>
      </c>
      <c r="H61" s="32">
        <f>+FACTURACIÓN!L60</f>
        <v>0</v>
      </c>
      <c r="I61" s="32">
        <f>+FACTURACIÓN!M60</f>
        <v>0</v>
      </c>
      <c r="J61" s="32">
        <f>+FACTURACIÓN!N60</f>
        <v>0</v>
      </c>
      <c r="K61" s="32">
        <f>+FACTURACIÓN!O60</f>
        <v>0</v>
      </c>
      <c r="L61" s="32">
        <f>+FACTURACIÓN!P60</f>
        <v>1967.75</v>
      </c>
      <c r="M61" s="35">
        <v>0</v>
      </c>
      <c r="N61" s="32">
        <f t="shared" si="1"/>
        <v>1967.75</v>
      </c>
      <c r="O61" s="32">
        <f t="shared" si="2"/>
        <v>1195.0500000000002</v>
      </c>
    </row>
    <row r="62" spans="1:15" x14ac:dyDescent="0.2">
      <c r="A62" s="49" t="s">
        <v>283</v>
      </c>
      <c r="B62" s="48" t="s">
        <v>16</v>
      </c>
      <c r="C62" s="108">
        <f>+FACTURACIÓN!C61+FACTURACIÓN!D61+FACTURACIÓN!E61+FACTURACIÓN!F61+FACTURACIÓN!G61+FACTURACIÓN!H61+FACTURACIÓN!I61-'C&amp;A'!I62</f>
        <v>4318.8</v>
      </c>
      <c r="D62" s="59">
        <v>0</v>
      </c>
      <c r="E62" s="32">
        <f t="shared" si="0"/>
        <v>4318.8</v>
      </c>
      <c r="F62" s="32">
        <f>+FACTURACIÓN!J61</f>
        <v>0</v>
      </c>
      <c r="G62" s="32">
        <f>+FACTURACIÓN!K61</f>
        <v>0</v>
      </c>
      <c r="H62" s="32">
        <f>+FACTURACIÓN!L61</f>
        <v>0</v>
      </c>
      <c r="I62" s="32">
        <f>+FACTURACIÓN!M61</f>
        <v>0</v>
      </c>
      <c r="J62" s="32">
        <f>+FACTURACIÓN!N61</f>
        <v>0</v>
      </c>
      <c r="K62" s="32">
        <f>+FACTURACIÓN!O61</f>
        <v>0</v>
      </c>
      <c r="L62" s="32">
        <f>+FACTURACIÓN!P61</f>
        <v>0</v>
      </c>
      <c r="M62" s="35">
        <v>555.6</v>
      </c>
      <c r="N62" s="32">
        <f t="shared" si="1"/>
        <v>555.6</v>
      </c>
      <c r="O62" s="32">
        <f t="shared" si="2"/>
        <v>3763.2000000000003</v>
      </c>
    </row>
    <row r="63" spans="1:15" x14ac:dyDescent="0.2">
      <c r="A63" s="49" t="s">
        <v>134</v>
      </c>
      <c r="B63" s="48" t="s">
        <v>135</v>
      </c>
      <c r="C63" s="108">
        <f>+FACTURACIÓN!C62+FACTURACIÓN!D62+FACTURACIÓN!E62+FACTURACIÓN!F62+FACTURACIÓN!G62+FACTURACIÓN!H62+FACTURACIÓN!I62-'C&amp;A'!I63</f>
        <v>5697.8</v>
      </c>
      <c r="D63" s="59">
        <v>0</v>
      </c>
      <c r="E63" s="32">
        <f t="shared" si="0"/>
        <v>5697.8</v>
      </c>
      <c r="F63" s="32">
        <f>+FACTURACIÓN!J62</f>
        <v>0</v>
      </c>
      <c r="G63" s="32">
        <f>+FACTURACIÓN!K62</f>
        <v>0</v>
      </c>
      <c r="H63" s="32">
        <f>+FACTURACIÓN!L62</f>
        <v>0</v>
      </c>
      <c r="I63" s="32">
        <f>+FACTURACIÓN!M62</f>
        <v>0</v>
      </c>
      <c r="J63" s="32">
        <f>+FACTURACIÓN!N62</f>
        <v>0</v>
      </c>
      <c r="K63" s="32">
        <f>+FACTURACIÓN!O62</f>
        <v>0</v>
      </c>
      <c r="L63" s="32">
        <f>+FACTURACIÓN!P62</f>
        <v>909.93</v>
      </c>
      <c r="M63" s="35">
        <v>693.5</v>
      </c>
      <c r="N63" s="32">
        <f t="shared" si="1"/>
        <v>1603.4299999999998</v>
      </c>
      <c r="O63" s="32">
        <f t="shared" si="2"/>
        <v>4094.3700000000003</v>
      </c>
    </row>
    <row r="64" spans="1:15" x14ac:dyDescent="0.2">
      <c r="A64" s="49" t="s">
        <v>136</v>
      </c>
      <c r="B64" s="48" t="s">
        <v>137</v>
      </c>
      <c r="C64" s="108">
        <f>+FACTURACIÓN!C63+FACTURACIÓN!D63+FACTURACIÓN!E63+FACTURACIÓN!F63+FACTURACIÓN!G63+FACTURACIÓN!H63+FACTURACIÓN!I63-'C&amp;A'!I64</f>
        <v>18762.8</v>
      </c>
      <c r="D64" s="59">
        <v>0</v>
      </c>
      <c r="E64" s="32">
        <f t="shared" si="0"/>
        <v>18762.8</v>
      </c>
      <c r="F64" s="32">
        <f>+FACTURACIÓN!J63</f>
        <v>0</v>
      </c>
      <c r="G64" s="32">
        <f>+FACTURACIÓN!K63</f>
        <v>0</v>
      </c>
      <c r="H64" s="32">
        <f>+FACTURACIÓN!L63</f>
        <v>0</v>
      </c>
      <c r="I64" s="32">
        <f>+FACTURACIÓN!M63</f>
        <v>491.57</v>
      </c>
      <c r="J64" s="32">
        <f>+FACTURACIÓN!N63</f>
        <v>0</v>
      </c>
      <c r="K64" s="32">
        <f>+FACTURACIÓN!O63</f>
        <v>0</v>
      </c>
      <c r="L64" s="32">
        <f>+FACTURACIÓN!P63</f>
        <v>120.42999999999999</v>
      </c>
      <c r="M64" s="35">
        <v>2000</v>
      </c>
      <c r="N64" s="32">
        <f t="shared" si="1"/>
        <v>2612</v>
      </c>
      <c r="O64" s="32">
        <f t="shared" si="2"/>
        <v>16150.8</v>
      </c>
    </row>
    <row r="65" spans="1:15" x14ac:dyDescent="0.2">
      <c r="A65" s="64"/>
      <c r="B65" s="48"/>
      <c r="C65" s="63"/>
      <c r="D65" s="63"/>
      <c r="E65" s="63"/>
      <c r="F65" s="63"/>
      <c r="G65" s="63"/>
      <c r="K65" s="25"/>
      <c r="L65" s="25"/>
      <c r="M65" s="25"/>
      <c r="N65" s="59"/>
      <c r="O65" s="59"/>
    </row>
    <row r="66" spans="1:15" x14ac:dyDescent="0.2">
      <c r="K66" s="25"/>
      <c r="L66" s="25"/>
      <c r="M66" s="25"/>
      <c r="N66" s="25"/>
      <c r="O66" s="25"/>
    </row>
    <row r="67" spans="1:15" x14ac:dyDescent="0.2">
      <c r="A67" s="61"/>
      <c r="B67" s="54"/>
      <c r="C67" s="54" t="s">
        <v>17</v>
      </c>
      <c r="D67" s="54" t="s">
        <v>17</v>
      </c>
      <c r="E67" s="54" t="s">
        <v>17</v>
      </c>
      <c r="F67" s="54" t="s">
        <v>17</v>
      </c>
      <c r="G67" s="54" t="s">
        <v>17</v>
      </c>
      <c r="H67" s="54" t="s">
        <v>17</v>
      </c>
      <c r="I67" s="54" t="s">
        <v>17</v>
      </c>
      <c r="J67" s="54" t="s">
        <v>17</v>
      </c>
      <c r="K67" s="54" t="s">
        <v>17</v>
      </c>
      <c r="L67" s="54" t="s">
        <v>17</v>
      </c>
      <c r="M67" s="54" t="s">
        <v>17</v>
      </c>
      <c r="N67" s="54" t="s">
        <v>17</v>
      </c>
      <c r="O67" s="54" t="s">
        <v>17</v>
      </c>
    </row>
    <row r="68" spans="1:15" x14ac:dyDescent="0.2">
      <c r="A68" s="64" t="s">
        <v>18</v>
      </c>
      <c r="B68" s="48" t="s">
        <v>19</v>
      </c>
      <c r="C68" s="63">
        <f>SUM(C10:C67)</f>
        <v>166812.07705743858</v>
      </c>
      <c r="D68" s="63">
        <f t="shared" ref="D68:O68" si="3">SUM(D10:D67)</f>
        <v>0</v>
      </c>
      <c r="E68" s="63">
        <f t="shared" si="3"/>
        <v>166812.07705743858</v>
      </c>
      <c r="F68" s="63">
        <f t="shared" si="3"/>
        <v>1400</v>
      </c>
      <c r="G68" s="63">
        <f t="shared" si="3"/>
        <v>200</v>
      </c>
      <c r="H68" s="63">
        <f t="shared" si="3"/>
        <v>0</v>
      </c>
      <c r="I68" s="63">
        <f t="shared" si="3"/>
        <v>1720.54</v>
      </c>
      <c r="J68" s="63">
        <f t="shared" si="3"/>
        <v>1554.3399999999995</v>
      </c>
      <c r="K68" s="63">
        <f t="shared" si="3"/>
        <v>317.80500000000001</v>
      </c>
      <c r="L68" s="63">
        <f t="shared" si="3"/>
        <v>19223.739999999998</v>
      </c>
      <c r="M68" s="63">
        <f t="shared" si="3"/>
        <v>9727.0333333333328</v>
      </c>
      <c r="N68" s="63">
        <f t="shared" si="3"/>
        <v>34143.458333333336</v>
      </c>
      <c r="O68" s="63">
        <f t="shared" si="3"/>
        <v>132668.6187241053</v>
      </c>
    </row>
    <row r="69" spans="1:15" s="54" customFormat="1" x14ac:dyDescent="0.2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</row>
    <row r="70" spans="1:15" s="1" customFormat="1" ht="15" x14ac:dyDescent="0.25">
      <c r="A70" s="47"/>
      <c r="B70" s="47"/>
      <c r="C70" s="48" t="s">
        <v>19</v>
      </c>
      <c r="D70" s="48" t="s">
        <v>19</v>
      </c>
      <c r="E70" s="48" t="s">
        <v>19</v>
      </c>
      <c r="F70" s="107"/>
      <c r="G70" s="107"/>
      <c r="H70" s="48" t="s">
        <v>19</v>
      </c>
      <c r="I70" s="107"/>
      <c r="J70" s="107"/>
      <c r="K70" s="107"/>
      <c r="L70" s="48" t="s">
        <v>19</v>
      </c>
      <c r="M70" s="48"/>
      <c r="N70" s="48" t="s">
        <v>19</v>
      </c>
      <c r="O70" s="48" t="s">
        <v>19</v>
      </c>
    </row>
    <row r="71" spans="1:15" x14ac:dyDescent="0.2">
      <c r="A71" s="49" t="s">
        <v>19</v>
      </c>
      <c r="B71" s="48" t="s">
        <v>19</v>
      </c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</row>
    <row r="72" spans="1:15" x14ac:dyDescent="0.2">
      <c r="K72" s="25"/>
      <c r="L72" s="25"/>
      <c r="M72" s="25"/>
      <c r="N72" s="25"/>
      <c r="O72" s="25"/>
    </row>
    <row r="73" spans="1:15" x14ac:dyDescent="0.2">
      <c r="K73" s="25"/>
      <c r="L73" s="25"/>
      <c r="M73" s="25"/>
      <c r="N73" s="25"/>
      <c r="O73" s="25"/>
    </row>
    <row r="74" spans="1:15" x14ac:dyDescent="0.2">
      <c r="K74" s="25"/>
      <c r="L74" s="25"/>
      <c r="M74" s="25"/>
    </row>
    <row r="75" spans="1:15" x14ac:dyDescent="0.2">
      <c r="K75" s="25"/>
      <c r="L75" s="25"/>
    </row>
    <row r="76" spans="1:15" x14ac:dyDescent="0.2">
      <c r="K76" s="25"/>
      <c r="L76" s="25"/>
    </row>
    <row r="78" spans="1:15" x14ac:dyDescent="0.2">
      <c r="L78" s="54"/>
      <c r="M78" s="54"/>
      <c r="N78" s="54"/>
    </row>
    <row r="79" spans="1:15" ht="14.25" x14ac:dyDescent="0.2">
      <c r="L79" s="1"/>
      <c r="M79" s="1"/>
      <c r="N79" s="1"/>
    </row>
  </sheetData>
  <mergeCells count="1">
    <mergeCell ref="B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tabSelected="1" workbookViewId="0">
      <selection activeCell="E11" sqref="E11"/>
    </sheetView>
  </sheetViews>
  <sheetFormatPr baseColWidth="10" defaultRowHeight="15" x14ac:dyDescent="0.25"/>
  <sheetData>
    <row r="1" spans="1:8" x14ac:dyDescent="0.25">
      <c r="A1" s="79" t="s">
        <v>461</v>
      </c>
      <c r="B1" s="79"/>
      <c r="C1" s="79"/>
      <c r="D1" s="79"/>
      <c r="E1" s="79"/>
      <c r="F1" s="79"/>
      <c r="G1" s="79"/>
      <c r="H1" s="79"/>
    </row>
    <row r="2" spans="1:8" x14ac:dyDescent="0.25">
      <c r="A2" s="238" t="s">
        <v>462</v>
      </c>
      <c r="B2" s="238"/>
      <c r="C2" s="238"/>
      <c r="D2" s="238"/>
      <c r="E2" s="238"/>
      <c r="F2" s="238"/>
      <c r="G2" s="238"/>
      <c r="H2" s="238"/>
    </row>
    <row r="3" spans="1:8" x14ac:dyDescent="0.25">
      <c r="A3" s="238"/>
      <c r="B3" s="238"/>
      <c r="C3" s="238"/>
      <c r="D3" s="238"/>
      <c r="E3" s="238"/>
      <c r="F3" s="238"/>
      <c r="G3" s="238"/>
      <c r="H3" s="238"/>
    </row>
    <row r="4" spans="1:8" x14ac:dyDescent="0.25">
      <c r="A4" s="238" t="s">
        <v>463</v>
      </c>
      <c r="B4" s="239" t="s">
        <v>468</v>
      </c>
      <c r="C4" s="238"/>
      <c r="D4" s="238"/>
      <c r="E4" s="238"/>
      <c r="F4" s="238"/>
      <c r="G4" s="238"/>
      <c r="H4" s="238"/>
    </row>
    <row r="5" spans="1:8" x14ac:dyDescent="0.25">
      <c r="A5" s="238" t="s">
        <v>467</v>
      </c>
      <c r="B5" s="238"/>
      <c r="C5" s="238"/>
      <c r="D5" s="238"/>
      <c r="E5" s="238"/>
      <c r="F5" s="238"/>
      <c r="G5" s="238"/>
      <c r="H5" s="238"/>
    </row>
    <row r="6" spans="1:8" x14ac:dyDescent="0.25">
      <c r="A6" s="238"/>
      <c r="B6" s="238"/>
      <c r="C6" s="238"/>
      <c r="D6" s="238"/>
      <c r="E6" s="238"/>
      <c r="F6" s="238"/>
      <c r="G6" s="238"/>
      <c r="H6" s="238"/>
    </row>
    <row r="7" spans="1:8" x14ac:dyDescent="0.25">
      <c r="A7" s="240" t="s">
        <v>464</v>
      </c>
      <c r="B7" s="240" t="s">
        <v>465</v>
      </c>
      <c r="C7" s="238"/>
      <c r="D7" s="238"/>
      <c r="E7" s="238"/>
      <c r="F7" s="238"/>
      <c r="G7" s="238"/>
      <c r="H7" s="238"/>
    </row>
    <row r="8" spans="1:8" x14ac:dyDescent="0.25">
      <c r="A8" s="238">
        <v>700070</v>
      </c>
      <c r="B8" s="241">
        <v>92879.05</v>
      </c>
      <c r="C8" s="238"/>
      <c r="D8" s="238"/>
      <c r="E8" s="238"/>
      <c r="F8" s="238"/>
      <c r="G8" s="238"/>
      <c r="H8" s="238"/>
    </row>
    <row r="9" spans="1:8" x14ac:dyDescent="0.25">
      <c r="A9" s="238">
        <v>701070</v>
      </c>
      <c r="B9" s="241">
        <v>3612.03</v>
      </c>
      <c r="C9" s="238"/>
      <c r="D9" s="238"/>
      <c r="E9" s="238"/>
      <c r="F9" s="238"/>
      <c r="G9" s="238"/>
      <c r="H9" s="238"/>
    </row>
    <row r="10" spans="1:8" x14ac:dyDescent="0.25">
      <c r="A10" s="238">
        <v>702070</v>
      </c>
      <c r="B10" s="241">
        <v>10166.24</v>
      </c>
      <c r="C10" s="238"/>
      <c r="D10" s="238"/>
      <c r="E10" s="238"/>
      <c r="F10" s="238"/>
      <c r="G10" s="238"/>
      <c r="H10" s="238"/>
    </row>
    <row r="11" spans="1:8" x14ac:dyDescent="0.25">
      <c r="A11" s="238">
        <v>703070</v>
      </c>
      <c r="B11" s="241">
        <v>56478.95</v>
      </c>
      <c r="C11" s="238"/>
      <c r="D11" s="238"/>
      <c r="E11" s="238"/>
      <c r="F11" s="238"/>
      <c r="G11" s="238"/>
      <c r="H11" s="238"/>
    </row>
    <row r="12" spans="1:8" x14ac:dyDescent="0.25">
      <c r="A12" s="238">
        <v>704070</v>
      </c>
      <c r="B12" s="241">
        <v>20795.47</v>
      </c>
      <c r="C12" s="238"/>
      <c r="D12" s="238"/>
      <c r="E12" s="238"/>
      <c r="F12" s="238"/>
      <c r="G12" s="238"/>
      <c r="H12" s="238"/>
    </row>
    <row r="13" spans="1:8" x14ac:dyDescent="0.25">
      <c r="A13" s="238">
        <v>705070</v>
      </c>
      <c r="B13" s="241">
        <f>60051.36+0.11</f>
        <v>60051.47</v>
      </c>
      <c r="C13" s="238"/>
      <c r="D13" s="238"/>
      <c r="E13" s="238"/>
      <c r="F13" s="238"/>
      <c r="G13" s="238"/>
      <c r="H13" s="238"/>
    </row>
    <row r="14" spans="1:8" ht="15.75" thickBot="1" x14ac:dyDescent="0.3">
      <c r="A14" s="238" t="s">
        <v>466</v>
      </c>
      <c r="B14" s="242"/>
      <c r="C14" s="238"/>
      <c r="D14" s="238"/>
      <c r="E14" s="238"/>
      <c r="F14" s="238"/>
      <c r="G14" s="238"/>
      <c r="H14" s="238"/>
    </row>
    <row r="15" spans="1:8" x14ac:dyDescent="0.25">
      <c r="A15" s="238"/>
      <c r="B15" s="243">
        <f>SUM(B8:B14)</f>
        <v>243983.21000000002</v>
      </c>
      <c r="C15" s="238"/>
      <c r="D15" s="238"/>
      <c r="E15" s="238"/>
      <c r="F15" s="238"/>
      <c r="G15" s="238"/>
      <c r="H15" s="238"/>
    </row>
    <row r="16" spans="1:8" ht="15.75" thickBot="1" x14ac:dyDescent="0.3">
      <c r="A16" s="238"/>
      <c r="B16" s="242">
        <f>B15*0.16</f>
        <v>39037.313600000001</v>
      </c>
      <c r="C16" s="238"/>
      <c r="D16" s="238"/>
      <c r="E16" s="238"/>
      <c r="F16" s="238"/>
      <c r="G16" s="238"/>
      <c r="H16" s="238"/>
    </row>
    <row r="17" spans="1:8" ht="15.75" thickBot="1" x14ac:dyDescent="0.3">
      <c r="A17" s="238"/>
      <c r="B17" s="244">
        <f>+B15+B16</f>
        <v>283020.52360000001</v>
      </c>
      <c r="C17" s="238"/>
      <c r="D17" s="238"/>
      <c r="E17" s="238"/>
      <c r="F17" s="238"/>
      <c r="G17" s="238"/>
      <c r="H17" s="238"/>
    </row>
    <row r="18" spans="1:8" ht="15.75" thickTop="1" x14ac:dyDescent="0.25">
      <c r="A18" s="238"/>
      <c r="B18" s="243"/>
      <c r="C18" s="238"/>
      <c r="D18" s="238"/>
      <c r="E18" s="238"/>
      <c r="F18" s="238"/>
      <c r="G18" s="238"/>
      <c r="H18" s="238"/>
    </row>
    <row r="19" spans="1:8" x14ac:dyDescent="0.25">
      <c r="A19" s="238"/>
      <c r="B19" s="241"/>
      <c r="C19" s="238"/>
      <c r="D19" s="238"/>
      <c r="E19" s="238"/>
      <c r="F19" s="238"/>
      <c r="G19" s="238"/>
      <c r="H19" s="238"/>
    </row>
    <row r="20" spans="1:8" x14ac:dyDescent="0.25">
      <c r="A20" s="238"/>
      <c r="B20" s="241"/>
      <c r="C20" s="238"/>
      <c r="D20" s="238"/>
      <c r="E20" s="238"/>
      <c r="F20" s="238"/>
      <c r="G20" s="238"/>
      <c r="H20" s="238"/>
    </row>
    <row r="21" spans="1:8" x14ac:dyDescent="0.25">
      <c r="A21" s="238"/>
      <c r="B21" s="238"/>
      <c r="C21" s="238"/>
      <c r="D21" s="238"/>
      <c r="E21" s="238"/>
      <c r="F21" s="238"/>
      <c r="G21" s="238"/>
      <c r="H21" s="238"/>
    </row>
    <row r="22" spans="1:8" x14ac:dyDescent="0.25">
      <c r="A22" s="238"/>
      <c r="B22" s="238"/>
      <c r="C22" s="238"/>
      <c r="D22" s="238"/>
      <c r="E22" s="238"/>
      <c r="F22" s="238"/>
      <c r="G22" s="238"/>
      <c r="H22" s="238"/>
    </row>
    <row r="23" spans="1:8" x14ac:dyDescent="0.25">
      <c r="A23" s="238"/>
      <c r="B23" s="238"/>
      <c r="C23" s="238"/>
      <c r="D23" s="238"/>
      <c r="E23" s="238"/>
      <c r="F23" s="238"/>
      <c r="G23" s="238"/>
      <c r="H23" s="238"/>
    </row>
    <row r="24" spans="1:8" x14ac:dyDescent="0.25">
      <c r="A24" s="238"/>
      <c r="B24" s="238"/>
      <c r="C24" s="238"/>
      <c r="D24" s="238"/>
      <c r="E24" s="238"/>
      <c r="F24" s="238"/>
      <c r="G24" s="238"/>
      <c r="H24" s="238"/>
    </row>
    <row r="25" spans="1:8" x14ac:dyDescent="0.25">
      <c r="A25" s="238"/>
      <c r="B25" s="238"/>
      <c r="C25" s="238"/>
      <c r="D25" s="238"/>
      <c r="E25" s="238"/>
      <c r="F25" s="238"/>
      <c r="G25" s="238"/>
      <c r="H25" s="238"/>
    </row>
  </sheetData>
  <pageMargins left="0.70866141732283472" right="0.70866141732283472" top="0.74803149606299213" bottom="0.74803149606299213" header="0.31496062992125984" footer="0.31496062992125984"/>
  <pageSetup scale="98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FACTURACIÓN</vt:lpstr>
      <vt:lpstr>C&amp;A</vt:lpstr>
      <vt:lpstr>SINDICATO</vt:lpstr>
      <vt:lpstr>Hoja1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Lizbeth</dc:creator>
  <cp:lastModifiedBy>ljimenez</cp:lastModifiedBy>
  <cp:lastPrinted>2016-03-07T22:49:55Z</cp:lastPrinted>
  <dcterms:created xsi:type="dcterms:W3CDTF">2016-01-16T18:25:25Z</dcterms:created>
  <dcterms:modified xsi:type="dcterms:W3CDTF">2016-03-07T22:50:57Z</dcterms:modified>
</cp:coreProperties>
</file>