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-120" windowWidth="28800" windowHeight="12555" tabRatio="597"/>
  </bookViews>
  <sheets>
    <sheet name="Operador" sheetId="20" r:id="rId1"/>
    <sheet name="Tabulador" sheetId="18" r:id="rId2"/>
    <sheet name="hora operarios" sheetId="14" r:id="rId3"/>
    <sheet name="Hoja1" sheetId="21" r:id="rId4"/>
  </sheets>
  <definedNames>
    <definedName name="_xlnm._FilterDatabase" localSheetId="2" hidden="1">'hora operarios'!#REF!</definedName>
    <definedName name="_xlnm.Print_Area" localSheetId="2">'hora operarios'!#REF!</definedName>
    <definedName name="_xlnm.Print_Area" localSheetId="0">Operador!$A$1:$S$29</definedName>
  </definedNames>
  <calcPr calcId="145621"/>
</workbook>
</file>

<file path=xl/calcChain.xml><?xml version="1.0" encoding="utf-8"?>
<calcChain xmlns="http://schemas.openxmlformats.org/spreadsheetml/2006/main">
  <c r="F31" i="14" l="1"/>
  <c r="A32" i="20" l="1"/>
  <c r="D32" i="20" s="1"/>
  <c r="A31" i="20"/>
  <c r="E31" i="20" s="1"/>
  <c r="A30" i="20"/>
  <c r="D30" i="20" s="1"/>
  <c r="A29" i="20"/>
  <c r="E29" i="20" s="1"/>
  <c r="A28" i="20"/>
  <c r="G28" i="20" s="1"/>
  <c r="F28" i="20" s="1"/>
  <c r="A27" i="20"/>
  <c r="A26" i="20"/>
  <c r="A25" i="20"/>
  <c r="E25" i="20" s="1"/>
  <c r="A24" i="20"/>
  <c r="A23" i="20"/>
  <c r="B23" i="20" s="1"/>
  <c r="A22" i="20"/>
  <c r="D22" i="20" s="1"/>
  <c r="A21" i="20"/>
  <c r="D21" i="20" s="1"/>
  <c r="A20" i="20"/>
  <c r="B20" i="20" s="1"/>
  <c r="A19" i="20"/>
  <c r="B19" i="20" s="1"/>
  <c r="A18" i="20"/>
  <c r="D18" i="20" s="1"/>
  <c r="A17" i="20"/>
  <c r="D17" i="20" s="1"/>
  <c r="A16" i="20"/>
  <c r="A15" i="20"/>
  <c r="D15" i="20" s="1"/>
  <c r="A14" i="20"/>
  <c r="C14" i="20" s="1"/>
  <c r="A13" i="20"/>
  <c r="C13" i="20" s="1"/>
  <c r="A12" i="20"/>
  <c r="E12" i="20" s="1"/>
  <c r="A11" i="20"/>
  <c r="E11" i="20" s="1"/>
  <c r="O11" i="20" s="1"/>
  <c r="A10" i="20"/>
  <c r="D10" i="20" s="1"/>
  <c r="A9" i="20"/>
  <c r="A8" i="20"/>
  <c r="A7" i="20"/>
  <c r="G7" i="20" s="1"/>
  <c r="F7" i="20" s="1"/>
  <c r="A6" i="20"/>
  <c r="E6" i="20" s="1"/>
  <c r="A5" i="20"/>
  <c r="G5" i="20" s="1"/>
  <c r="F5" i="20" s="1"/>
  <c r="A4" i="20"/>
  <c r="E4" i="20" s="1"/>
  <c r="A3" i="20"/>
  <c r="D3" i="20" s="1"/>
  <c r="B31" i="20"/>
  <c r="D4" i="20" l="1"/>
  <c r="D31" i="20"/>
  <c r="G30" i="20"/>
  <c r="F30" i="20" s="1"/>
  <c r="Q30" i="20" s="1"/>
  <c r="B10" i="20"/>
  <c r="E32" i="20"/>
  <c r="B4" i="20"/>
  <c r="C31" i="20"/>
  <c r="G23" i="20"/>
  <c r="F23" i="20" s="1"/>
  <c r="M23" i="20" s="1"/>
  <c r="B6" i="20"/>
  <c r="D12" i="20"/>
  <c r="H12" i="20" s="1"/>
  <c r="I12" i="20" s="1"/>
  <c r="B15" i="20"/>
  <c r="C12" i="20"/>
  <c r="B29" i="20"/>
  <c r="E21" i="20"/>
  <c r="G12" i="20"/>
  <c r="F12" i="20" s="1"/>
  <c r="M12" i="20" s="1"/>
  <c r="G22" i="20"/>
  <c r="F22" i="20" s="1"/>
  <c r="M22" i="20" s="1"/>
  <c r="G4" i="20"/>
  <c r="F4" i="20" s="1"/>
  <c r="Q4" i="20" s="1"/>
  <c r="B25" i="20"/>
  <c r="G15" i="20"/>
  <c r="F15" i="20" s="1"/>
  <c r="Q15" i="20" s="1"/>
  <c r="C15" i="20"/>
  <c r="G25" i="20"/>
  <c r="F25" i="20" s="1"/>
  <c r="Q25" i="20" s="1"/>
  <c r="E20" i="20"/>
  <c r="B21" i="20"/>
  <c r="G18" i="20"/>
  <c r="F18" i="20" s="1"/>
  <c r="M18" i="20" s="1"/>
  <c r="B32" i="20"/>
  <c r="O32" i="20" s="1"/>
  <c r="C32" i="20"/>
  <c r="E30" i="20"/>
  <c r="G32" i="20"/>
  <c r="F32" i="20" s="1"/>
  <c r="G21" i="20"/>
  <c r="F21" i="20" s="1"/>
  <c r="Q21" i="20" s="1"/>
  <c r="C30" i="20"/>
  <c r="B28" i="20"/>
  <c r="E23" i="20"/>
  <c r="B12" i="20"/>
  <c r="D20" i="20"/>
  <c r="C23" i="20"/>
  <c r="B30" i="20"/>
  <c r="O30" i="20" s="1"/>
  <c r="D25" i="20"/>
  <c r="H25" i="20" s="1"/>
  <c r="I25" i="20" s="1"/>
  <c r="M5" i="20"/>
  <c r="Q5" i="20"/>
  <c r="Q7" i="20"/>
  <c r="M7" i="20"/>
  <c r="C3" i="20"/>
  <c r="E3" i="20"/>
  <c r="B3" i="20"/>
  <c r="G9" i="20"/>
  <c r="F9" i="20" s="1"/>
  <c r="B9" i="20"/>
  <c r="E9" i="20"/>
  <c r="C9" i="20"/>
  <c r="D27" i="20"/>
  <c r="C27" i="20"/>
  <c r="G27" i="20"/>
  <c r="F27" i="20" s="1"/>
  <c r="B27" i="20"/>
  <c r="G3" i="20"/>
  <c r="F3" i="20" s="1"/>
  <c r="M3" i="20" s="1"/>
  <c r="O12" i="20"/>
  <c r="D7" i="20"/>
  <c r="B7" i="20"/>
  <c r="C7" i="20"/>
  <c r="G13" i="20"/>
  <c r="F13" i="20" s="1"/>
  <c r="E13" i="20"/>
  <c r="B13" i="20"/>
  <c r="D13" i="20"/>
  <c r="B16" i="20"/>
  <c r="E16" i="20"/>
  <c r="M30" i="20"/>
  <c r="D5" i="20"/>
  <c r="E5" i="20"/>
  <c r="H15" i="20" s="1"/>
  <c r="B5" i="20"/>
  <c r="C5" i="20"/>
  <c r="G8" i="20"/>
  <c r="F8" i="20" s="1"/>
  <c r="E8" i="20"/>
  <c r="C8" i="20"/>
  <c r="D8" i="20"/>
  <c r="H8" i="20" s="1"/>
  <c r="B8" i="20"/>
  <c r="E7" i="20"/>
  <c r="D9" i="20"/>
  <c r="H9" i="20" s="1"/>
  <c r="G20" i="20"/>
  <c r="F20" i="20" s="1"/>
  <c r="C17" i="20"/>
  <c r="D23" i="20"/>
  <c r="H23" i="20" s="1"/>
  <c r="C25" i="20"/>
  <c r="C21" i="20"/>
  <c r="C20" i="20"/>
  <c r="G31" i="20"/>
  <c r="F31" i="20" s="1"/>
  <c r="O31" i="20" s="1"/>
  <c r="G14" i="20"/>
  <c r="F14" i="20" s="1"/>
  <c r="M14" i="20" s="1"/>
  <c r="E15" i="20"/>
  <c r="M28" i="20"/>
  <c r="Q28" i="20"/>
  <c r="D24" i="20"/>
  <c r="E24" i="20"/>
  <c r="G24" i="20"/>
  <c r="F24" i="20" s="1"/>
  <c r="C24" i="20"/>
  <c r="B26" i="20"/>
  <c r="C26" i="20"/>
  <c r="D26" i="20"/>
  <c r="B18" i="20"/>
  <c r="E26" i="20"/>
  <c r="D14" i="20"/>
  <c r="G16" i="20"/>
  <c r="F16" i="20" s="1"/>
  <c r="E28" i="20"/>
  <c r="H3" i="20" s="1"/>
  <c r="C16" i="20"/>
  <c r="C28" i="20"/>
  <c r="H10" i="20"/>
  <c r="C19" i="20"/>
  <c r="E19" i="20"/>
  <c r="D19" i="20"/>
  <c r="G19" i="20"/>
  <c r="F19" i="20" s="1"/>
  <c r="E10" i="20"/>
  <c r="E18" i="20"/>
  <c r="H17" i="20" s="1"/>
  <c r="H32" i="20"/>
  <c r="C6" i="20"/>
  <c r="G26" i="20"/>
  <c r="F26" i="20" s="1"/>
  <c r="D28" i="20"/>
  <c r="H28" i="20" s="1"/>
  <c r="B11" i="20"/>
  <c r="E17" i="20"/>
  <c r="G17" i="20"/>
  <c r="F17" i="20" s="1"/>
  <c r="B17" i="20"/>
  <c r="G29" i="20"/>
  <c r="F29" i="20" s="1"/>
  <c r="C29" i="20"/>
  <c r="D29" i="20"/>
  <c r="B22" i="20"/>
  <c r="D11" i="20"/>
  <c r="G6" i="20"/>
  <c r="F6" i="20" s="1"/>
  <c r="C22" i="20"/>
  <c r="C10" i="20"/>
  <c r="G10" i="20"/>
  <c r="F10" i="20" s="1"/>
  <c r="C4" i="20"/>
  <c r="C11" i="20"/>
  <c r="H21" i="20"/>
  <c r="E27" i="20"/>
  <c r="G11" i="20"/>
  <c r="F11" i="20" s="1"/>
  <c r="B14" i="20"/>
  <c r="D16" i="20"/>
  <c r="H16" i="20" s="1"/>
  <c r="C18" i="20"/>
  <c r="B24" i="20"/>
  <c r="E14" i="20"/>
  <c r="E22" i="20"/>
  <c r="D6" i="20"/>
  <c r="H31" i="20" l="1"/>
  <c r="I31" i="20" s="1"/>
  <c r="M25" i="20"/>
  <c r="P25" i="20" s="1"/>
  <c r="O25" i="20"/>
  <c r="P12" i="20"/>
  <c r="Q18" i="20"/>
  <c r="I23" i="20"/>
  <c r="N23" i="20" s="1"/>
  <c r="Q12" i="20"/>
  <c r="Q14" i="20"/>
  <c r="H6" i="20"/>
  <c r="I6" i="20" s="1"/>
  <c r="H30" i="20"/>
  <c r="I30" i="20" s="1"/>
  <c r="N30" i="20" s="1"/>
  <c r="H29" i="20"/>
  <c r="I29" i="20" s="1"/>
  <c r="H22" i="20"/>
  <c r="I22" i="20" s="1"/>
  <c r="N22" i="20" s="1"/>
  <c r="H24" i="20"/>
  <c r="I24" i="20" s="1"/>
  <c r="H13" i="20"/>
  <c r="I13" i="20" s="1"/>
  <c r="H18" i="20"/>
  <c r="I18" i="20" s="1"/>
  <c r="N18" i="20" s="1"/>
  <c r="Q23" i="20"/>
  <c r="H5" i="20"/>
  <c r="I5" i="20" s="1"/>
  <c r="N5" i="20" s="1"/>
  <c r="M15" i="20"/>
  <c r="P15" i="20" s="1"/>
  <c r="H11" i="20"/>
  <c r="I11" i="20" s="1"/>
  <c r="I32" i="20"/>
  <c r="H26" i="20"/>
  <c r="I26" i="20" s="1"/>
  <c r="H4" i="20"/>
  <c r="I4" i="20" s="1"/>
  <c r="H7" i="20"/>
  <c r="I7" i="20" s="1"/>
  <c r="N7" i="20" s="1"/>
  <c r="H27" i="20"/>
  <c r="I27" i="20" s="1"/>
  <c r="H20" i="20"/>
  <c r="I20" i="20" s="1"/>
  <c r="M4" i="20"/>
  <c r="P4" i="20" s="1"/>
  <c r="O6" i="20"/>
  <c r="O4" i="20"/>
  <c r="P23" i="20"/>
  <c r="I21" i="20"/>
  <c r="O29" i="20"/>
  <c r="M21" i="20"/>
  <c r="P21" i="20" s="1"/>
  <c r="Q3" i="20"/>
  <c r="O23" i="20"/>
  <c r="Q22" i="20"/>
  <c r="N25" i="20"/>
  <c r="R25" i="20" s="1"/>
  <c r="H19" i="20"/>
  <c r="I19" i="20" s="1"/>
  <c r="I9" i="20"/>
  <c r="H14" i="20"/>
  <c r="I14" i="20" s="1"/>
  <c r="N14" i="20" s="1"/>
  <c r="N12" i="20"/>
  <c r="R12" i="20" s="1"/>
  <c r="M32" i="20"/>
  <c r="P32" i="20" s="1"/>
  <c r="Q32" i="20"/>
  <c r="O21" i="20"/>
  <c r="M31" i="20"/>
  <c r="P31" i="20" s="1"/>
  <c r="Q31" i="20"/>
  <c r="Q9" i="20"/>
  <c r="M9" i="20"/>
  <c r="P9" i="20" s="1"/>
  <c r="I15" i="20"/>
  <c r="Q20" i="20"/>
  <c r="M20" i="20"/>
  <c r="O7" i="20"/>
  <c r="I8" i="20"/>
  <c r="O8" i="20"/>
  <c r="O5" i="20"/>
  <c r="P5" i="20"/>
  <c r="O16" i="20"/>
  <c r="I16" i="20"/>
  <c r="O13" i="20"/>
  <c r="Q27" i="20"/>
  <c r="M27" i="20"/>
  <c r="P27" i="20" s="1"/>
  <c r="O20" i="20"/>
  <c r="P7" i="20"/>
  <c r="P30" i="20"/>
  <c r="Q8" i="20"/>
  <c r="M8" i="20"/>
  <c r="P8" i="20" s="1"/>
  <c r="Q13" i="20"/>
  <c r="M13" i="20"/>
  <c r="P13" i="20" s="1"/>
  <c r="O9" i="20"/>
  <c r="O15" i="20"/>
  <c r="I3" i="20"/>
  <c r="N3" i="20" s="1"/>
  <c r="O3" i="20"/>
  <c r="P3" i="20" s="1"/>
  <c r="M29" i="20"/>
  <c r="P29" i="20" s="1"/>
  <c r="Q29" i="20"/>
  <c r="I10" i="20"/>
  <c r="O10" i="20"/>
  <c r="P28" i="20"/>
  <c r="O28" i="20"/>
  <c r="I28" i="20"/>
  <c r="N28" i="20" s="1"/>
  <c r="M16" i="20"/>
  <c r="Q16" i="20"/>
  <c r="M24" i="20"/>
  <c r="P24" i="20" s="1"/>
  <c r="Q24" i="20"/>
  <c r="P22" i="20"/>
  <c r="O22" i="20"/>
  <c r="Q11" i="20"/>
  <c r="M11" i="20"/>
  <c r="P11" i="20" s="1"/>
  <c r="M19" i="20"/>
  <c r="P19" i="20" s="1"/>
  <c r="Q19" i="20"/>
  <c r="O24" i="20"/>
  <c r="P14" i="20"/>
  <c r="O14" i="20"/>
  <c r="O27" i="20"/>
  <c r="M6" i="20"/>
  <c r="Q6" i="20"/>
  <c r="Q17" i="20"/>
  <c r="M17" i="20"/>
  <c r="P17" i="20" s="1"/>
  <c r="O26" i="20"/>
  <c r="Q10" i="20"/>
  <c r="M10" i="20"/>
  <c r="I17" i="20"/>
  <c r="O17" i="20"/>
  <c r="Q26" i="20"/>
  <c r="M26" i="20"/>
  <c r="P26" i="20" s="1"/>
  <c r="O18" i="20"/>
  <c r="P18" i="20"/>
  <c r="O19" i="20"/>
  <c r="P10" i="20" l="1"/>
  <c r="N31" i="20"/>
  <c r="N21" i="20"/>
  <c r="R21" i="20" s="1"/>
  <c r="N4" i="20"/>
  <c r="R4" i="20" s="1"/>
  <c r="R5" i="20"/>
  <c r="R23" i="20"/>
  <c r="N32" i="20"/>
  <c r="R32" i="20" s="1"/>
  <c r="N29" i="20"/>
  <c r="R29" i="20" s="1"/>
  <c r="N15" i="20"/>
  <c r="R15" i="20" s="1"/>
  <c r="R3" i="20"/>
  <c r="N9" i="20"/>
  <c r="R9" i="20" s="1"/>
  <c r="R18" i="20"/>
  <c r="N19" i="20"/>
  <c r="R19" i="20" s="1"/>
  <c r="R22" i="20"/>
  <c r="R14" i="20"/>
  <c r="N24" i="20"/>
  <c r="R24" i="20" s="1"/>
  <c r="N17" i="20"/>
  <c r="R17" i="20" s="1"/>
  <c r="N8" i="20"/>
  <c r="R8" i="20" s="1"/>
  <c r="R31" i="20"/>
  <c r="R28" i="20"/>
  <c r="R30" i="20"/>
  <c r="R7" i="20"/>
  <c r="N13" i="20"/>
  <c r="R13" i="20" s="1"/>
  <c r="N20" i="20"/>
  <c r="P20" i="20"/>
  <c r="N27" i="20"/>
  <c r="R27" i="20" s="1"/>
  <c r="N10" i="20"/>
  <c r="R10" i="20" s="1"/>
  <c r="N16" i="20"/>
  <c r="P16" i="20"/>
  <c r="N26" i="20"/>
  <c r="R26" i="20" s="1"/>
  <c r="N6" i="20"/>
  <c r="P6" i="20"/>
  <c r="N11" i="20"/>
  <c r="R11" i="20" s="1"/>
  <c r="R20" i="20" l="1"/>
  <c r="R6" i="20"/>
  <c r="R16" i="20"/>
</calcChain>
</file>

<file path=xl/sharedStrings.xml><?xml version="1.0" encoding="utf-8"?>
<sst xmlns="http://schemas.openxmlformats.org/spreadsheetml/2006/main" count="179" uniqueCount="100">
  <si>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</si>
  <si>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</si>
  <si>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</si>
  <si>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</si>
  <si>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</si>
  <si>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</si>
  <si>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</si>
  <si>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</si>
  <si>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</si>
  <si>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</si>
  <si>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</si>
  <si>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</si>
  <si>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</si>
  <si>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</si>
  <si>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</si>
  <si>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</si>
  <si>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</si>
  <si>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</si>
  <si>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</si>
  <si>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</si>
  <si>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</si>
  <si>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</si>
  <si>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</si>
  <si>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</si>
  <si>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</si>
  <si>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</si>
  <si>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</si>
  <si>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</si>
  <si>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</si>
  <si>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</si>
  <si>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</si>
  <si>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</si>
  <si>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</si>
  <si>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</si>
  <si>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ARMANDO OLVERA LANDAVERDE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</si>
  <si>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</si>
  <si>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</si>
  <si>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</si>
  <si>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</si>
  <si>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</si>
  <si>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</si>
  <si>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</si>
  <si>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</si>
  <si>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</si>
  <si>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</si>
  <si>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</si>
  <si>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</si>
  <si>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</si>
  <si>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</si>
  <si>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</si>
  <si>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</si>
  <si>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</si>
  <si>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</si>
  <si>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</si>
  <si>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</si>
  <si>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</si>
  <si>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</si>
  <si>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</si>
  <si>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</si>
  <si>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</si>
  <si>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</si>
  <si>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</si>
  <si>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</si>
  <si>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</si>
  <si>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</si>
  <si>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</si>
  <si>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</si>
  <si>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</si>
  <si>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</si>
  <si>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</si>
  <si>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</si>
  <si>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</si>
  <si>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</si>
  <si>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</si>
  <si>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</si>
  <si>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58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</si>
  <si>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</si>
  <si>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</si>
  <si>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</si>
  <si>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</si>
  <si>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</si>
  <si>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</si>
  <si>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</si>
  <si>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</si>
  <si>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</si>
  <si>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</si>
  <si>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</si>
  <si>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</si>
  <si>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</si>
  <si>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52</t>
  </si>
  <si>
    <t>OSCAR ESTRADA ALMARAZ</t>
  </si>
  <si>
    <t>59</t>
  </si>
  <si>
    <t>GERARDO MIRELES GONZALEZ</t>
  </si>
  <si>
    <t>56</t>
  </si>
  <si>
    <t>JOSE LUIS GOZALEZ CORDOBA</t>
  </si>
  <si>
    <t>JOSE ADRIAN CRUZ CRUZ</t>
  </si>
  <si>
    <t>51</t>
  </si>
  <si>
    <t>FREDY SANCHEZ RODRIGUEZ</t>
  </si>
  <si>
    <t>54</t>
  </si>
  <si>
    <t>MIGUEL ANGEL RAMOS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</si>
</sst>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Font="1" applyFill="1"/>
    <xf numFmtId="43" fontId="3" fillId="0" borderId="1" xfId="2" applyFont="1" applyFill="1" applyBorder="1" applyAlignment="1" applyProtection="1">
      <alignment horizontal="right" vertical="top" wrapText="1"/>
    </xf>
    <xf numFmtId="43" fontId="0" fillId="0" borderId="0" xfId="2" applyFont="1" applyFill="1"/>
    <xf numFmtId="0" fontId="0" fillId="0" borderId="0" xfId="0" applyAlignment="1">
      <alignment horizontal="center"/>
    </xf>
    <xf numFmtId="2" fontId="3" fillId="0" borderId="1" xfId="0" applyNumberFormat="1" applyFont="1" applyFill="1" applyBorder="1" applyAlignment="1" applyProtection="1">
      <alignment horizontal="right" vertical="top" wrapText="1"/>
    </xf>
  </cellXfs>
  <cellStyles count="3">
    <cellStyle name="Euro" xfId="1"/>
    <cellStyle name="Millare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39"/>
  <sheetViews>
    <sheetView tabSelected="1" workbookViewId="0">
      <selection activeCell="F26" sqref="F26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6384" width="11.42578125" style="2"/>
  </cols>
  <sheetData>
    <row r="1" spans="1:18" x14ac:dyDescent="0.2">
      <c r="E1" s="2"/>
      <c r="I1" s="2"/>
      <c r="J1" s="2">
        <v>1</v>
      </c>
      <c r="K1" s="2">
        <v>0</v>
      </c>
      <c r="L1" s="2"/>
    </row>
    <row r="2" spans="1:18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52</v>
      </c>
      <c r="G2" s="2" t="s">
        <v>87</v>
      </c>
      <c r="H2" s="2" t="s">
        <v>14</v>
      </c>
      <c r="I2" s="2" t="s">
        <v>13</v>
      </c>
      <c r="J2" s="2" t="s">
        <v>49</v>
      </c>
      <c r="K2" s="2" t="s">
        <v>50</v>
      </c>
      <c r="L2" s="2" t="s">
        <v>51</v>
      </c>
      <c r="M2" s="2" t="s">
        <v>12</v>
      </c>
      <c r="N2" s="2" t="s">
        <v>54</v>
      </c>
      <c r="O2" s="2" t="s">
        <v>55</v>
      </c>
      <c r="P2" s="2" t="s">
        <v>56</v>
      </c>
      <c r="Q2" s="2" t="s">
        <v>57</v>
      </c>
      <c r="R2" s="2" t="s">
        <v>58</v>
      </c>
    </row>
    <row r="3" spans="1:18" x14ac:dyDescent="0.2">
      <c r="A3" s="2" t="str">
        <f>'hora operarios'!A1</f>
        <v>1</v>
      </c>
      <c r="B3" s="2" t="str">
        <f>VLOOKUP(A3,'hora operarios'!$A$1:$F$29,4,FALSE)</f>
        <v>B</v>
      </c>
      <c r="C3" s="2" t="str">
        <f>VLOOKUP(A3,'hora operarios'!A1:D29,2,FALSE)</f>
        <v>MIGUEL ALEJANDRO CERVANTES NAR</v>
      </c>
      <c r="D3" s="2" t="str">
        <f>IFERROR(VLOOKUP(Operador!A3,'hora operarios'!$A$1:$F$30,5,FALSE),"")</f>
        <v>6</v>
      </c>
      <c r="E3" s="3">
        <f>VLOOKUP(A3,'hora operarios'!$A$1:$F$29,6,FALSE)</f>
        <v>31.453600784148989</v>
      </c>
      <c r="F3" s="2">
        <f>VLOOKUP(G3,Tabulador!$B$27:$C$30,2,FALSE)</f>
        <v>1</v>
      </c>
      <c r="G3" s="2" t="str">
        <f>VLOOKUP(A3,'hora operarios'!$A$1:$F$29,3,FALSE)</f>
        <v>TECNICO</v>
      </c>
      <c r="H3" s="2">
        <f>IFERROR(VLOOKUP(D3,$A$3:$E$32,5,FALSE),0)</f>
        <v>16.656927816285094</v>
      </c>
      <c r="I3" s="3">
        <f>IF(E3&gt;=Tabulador!$D$3,Operador!E3+Operador!H3,Operador!E3)</f>
        <v>48.11052860043408</v>
      </c>
      <c r="J3" s="4">
        <v>1</v>
      </c>
      <c r="K3" s="4">
        <v>1</v>
      </c>
      <c r="L3" s="4">
        <v>1</v>
      </c>
      <c r="M3" s="2">
        <f>VLOOKUP(F3,Tabulador!$A$3:$D$7,4,FALSE)</f>
        <v>10</v>
      </c>
      <c r="N3" s="3">
        <f>IFERROR(IF(I3&gt;M3,(I3-M3)*(VLOOKUP(B3,Tabulador!$A$11:$B$17,2,FALSE)),0),0)</f>
        <v>2035.1022272631799</v>
      </c>
      <c r="O3" s="2">
        <f>IFERROR(IF(E3&lt;=Tabulador!B19,0,IF(E3&lt;=Tabulador!C19,VLOOKUP(Operador!B3,Tabulador!$A$19:$G$24,3,FALSE),IF(E3&lt;=Tabulador!$D$19,VLOOKUP(B3,Tabulador!$A$19:$G$24,4,FALSE),IF(F3&lt;=Tabulador!$E$19,VLOOKUP(B3,Tabulador!$A$19:$G$24,5,FALSE),IF(F3&lt;=Tabulador!$F$19,VLOOKUP(B3,Tabulador!$A$19:$G$24,6,FALSE),IF(F3&lt;=Tabulador!$G$19,VLOOKUP(B3,Tabulador!$A$19:$G$24,7,FALSE),"?")))))),0)</f>
        <v>2.972</v>
      </c>
      <c r="P3" s="2">
        <f>IFERROR(IF(E3&gt;=M3,IF((J3+K3+L3)&gt;=3,O3*(E3-M3),0),0),0)</f>
        <v>63.760101530490793</v>
      </c>
      <c r="Q3" s="2">
        <f>VLOOKUP(F3,Tabulador!$A$3:$D$7,3,FALSE)</f>
        <v>608.16</v>
      </c>
      <c r="R3" s="3">
        <f>IF(E3&gt;0,Q3+P3+N3,0)</f>
        <v>2707.0223287936706</v>
      </c>
    </row>
    <row r="4" spans="1:18" x14ac:dyDescent="0.2">
      <c r="A4" s="2" t="str">
        <f>'hora operarios'!A2</f>
        <v>10</v>
      </c>
      <c r="B4" s="2" t="str">
        <f>VLOOKUP(A4,'hora operarios'!$A$1:$F$29,4,FALSE)</f>
        <v>AYUDANTE</v>
      </c>
      <c r="C4" s="2" t="str">
        <f>VLOOKUP(A4,'hora operarios'!A2:D30,2,FALSE)</f>
        <v>AGUILAR PEREZ MARCOS ARTEMIO</v>
      </c>
      <c r="D4" s="2">
        <f>IFERROR(VLOOKUP(Operador!A4,'hora operarios'!$A$1:$F$30,5,FALSE),"")</f>
        <v>0</v>
      </c>
      <c r="E4" s="3">
        <f>VLOOKUP(A4,'hora operarios'!$A$1:$F$29,6,FALSE)</f>
        <v>28.972080095218089</v>
      </c>
      <c r="F4" s="2">
        <f>VLOOKUP(G4,Tabulador!$B$27:$C$30,2,FALSE)</f>
        <v>4</v>
      </c>
      <c r="G4" s="2" t="str">
        <f>VLOOKUP(A4,'hora operarios'!$A$1:$F$29,3,FALSE)</f>
        <v>AYUDANTE</v>
      </c>
      <c r="H4" s="2">
        <f t="shared" ref="H4:H32" si="0">IFERROR(VLOOKUP(D4,$A$3:$E$32,5,FALSE),0)</f>
        <v>0</v>
      </c>
      <c r="I4" s="3">
        <f>IF(E4&gt;=Tabulador!$D$3,Operador!E4+Operador!H4,Operador!E4)</f>
        <v>28.972080095218089</v>
      </c>
      <c r="J4" s="4">
        <v>0</v>
      </c>
      <c r="K4" s="4">
        <v>0</v>
      </c>
      <c r="L4" s="4">
        <v>0</v>
      </c>
      <c r="M4" s="2">
        <f>VLOOKUP(F4,Tabulador!$A$3:$D$7,4,FALSE)</f>
        <v>0</v>
      </c>
      <c r="N4" s="3">
        <f>IFERROR(IF(I4&gt;M4,(I4-M4)*(VLOOKUP(B4,Tabulador!$A$11:$B$17,2,FALSE)),0),0)</f>
        <v>289.72080095218087</v>
      </c>
      <c r="O4" s="2">
        <f>IFERROR(IF(E4&lt;=Tabulador!B20,0,IF(E4&lt;=Tabulador!C20,VLOOKUP(Operador!B4,Tabulador!$A$19:$G$24,3,FALSE),IF(E4&lt;=Tabulador!$D$19,VLOOKUP(B4,Tabulador!$A$19:$G$24,4,FALSE),IF(F4&lt;=Tabulador!$E$19,VLOOKUP(B4,Tabulador!$A$19:$G$24,5,FALSE),IF(F4&lt;=Tabulador!$F$19,VLOOKUP(B4,Tabulador!$A$19:$G$24,6,FALSE),IF(F4&lt;=Tabulador!$G$19,VLOOKUP(B4,Tabulador!$A$19:$G$24,7,FALSE),"?")))))),0)</f>
        <v>0</v>
      </c>
      <c r="P4" s="2">
        <f t="shared" ref="P4:P32" si="1">IFERROR(IF(E4&gt;=M4,IF((J4+K4+L4)&gt;=3,O4*(E4-M4),0),0),0)</f>
        <v>0</v>
      </c>
      <c r="Q4" s="2">
        <f>VLOOKUP(F4,Tabulador!$A$3:$D$7,3,FALSE)</f>
        <v>543.20000000000005</v>
      </c>
      <c r="R4" s="3">
        <f t="shared" ref="R4:R32" si="2">IF(E4&gt;0,Q4+P4+N4,0)</f>
        <v>832.92080095218091</v>
      </c>
    </row>
    <row r="5" spans="1:18" x14ac:dyDescent="0.2">
      <c r="A5" s="2" t="str">
        <f>'hora operarios'!A3</f>
        <v>11</v>
      </c>
      <c r="B5" s="2" t="str">
        <f>VLOOKUP(A5,'hora operarios'!$A$1:$F$29,4,FALSE)</f>
        <v>C</v>
      </c>
      <c r="C5" s="2" t="str">
        <f>VLOOKUP(A5,'hora operarios'!A3:F31,2,FALSE)</f>
        <v>MARTINEZ GALLEGOS LUIS FERNAND</v>
      </c>
      <c r="D5" s="2">
        <f>IFERROR(VLOOKUP(Operador!A5,'hora operarios'!$A$1:$F$30,5,FALSE),"")</f>
        <v>0</v>
      </c>
      <c r="E5" s="3">
        <f>VLOOKUP(A5,'hora operarios'!$A$1:$F$29,6,FALSE)</f>
        <v>36.97</v>
      </c>
      <c r="F5" s="2">
        <f>VLOOKUP(G5,Tabulador!$B$27:$C$30,2,FALSE)</f>
        <v>1</v>
      </c>
      <c r="G5" s="2" t="str">
        <f>VLOOKUP(A5,'hora operarios'!$A$1:$F$29,3,FALSE)</f>
        <v>TECNICO</v>
      </c>
      <c r="H5" s="2">
        <f t="shared" si="0"/>
        <v>0</v>
      </c>
      <c r="I5" s="3">
        <f>IF(E5&gt;=Tabulador!$D$3,Operador!E5+Operador!H5,Operador!E5)</f>
        <v>36.97</v>
      </c>
      <c r="J5" s="4">
        <v>1</v>
      </c>
      <c r="K5" s="4">
        <v>1</v>
      </c>
      <c r="L5" s="4">
        <v>0</v>
      </c>
      <c r="M5" s="2">
        <f>VLOOKUP(F5,Tabulador!$A$3:$D$7,4,FALSE)</f>
        <v>10</v>
      </c>
      <c r="N5" s="3">
        <f>IFERROR(IF(I5&gt;M5,(I5-M5)*(VLOOKUP(B5,Tabulador!$A$11:$B$17,2,FALSE)),0),0)</f>
        <v>1206.9075</v>
      </c>
      <c r="O5" s="2">
        <f>IFERROR(IF(E5&lt;=Tabulador!B21,0,IF(E5&lt;=Tabulador!C21,VLOOKUP(Operador!B5,Tabulador!$A$19:$G$24,3,FALSE),IF(E5&lt;=Tabulador!$D$19,VLOOKUP(B5,Tabulador!$A$19:$G$24,4,FALSE),IF(F5&lt;=Tabulador!$E$19,VLOOKUP(B5,Tabulador!$A$19:$G$24,5,FALSE),IF(F5&lt;=Tabulador!$F$19,VLOOKUP(B5,Tabulador!$A$19:$G$24,6,FALSE),IF(F5&lt;=Tabulador!$G$19,VLOOKUP(B5,Tabulador!$A$19:$G$24,7,FALSE),"?")))))),0)</f>
        <v>3.7360000000000002</v>
      </c>
      <c r="P5" s="2">
        <f t="shared" si="1"/>
        <v>0</v>
      </c>
      <c r="Q5" s="2">
        <f>VLOOKUP(F5,Tabulador!$A$3:$D$7,3,FALSE)</f>
        <v>608.16</v>
      </c>
      <c r="R5" s="3">
        <f t="shared" si="2"/>
        <v>1815.0675000000001</v>
      </c>
    </row>
    <row r="6" spans="1:18" x14ac:dyDescent="0.2">
      <c r="A6" s="2" t="str">
        <f>'hora operarios'!A4</f>
        <v>12</v>
      </c>
      <c r="B6" s="2" t="str">
        <f>VLOOKUP(A6,'hora operarios'!$A$1:$F$29,4,FALSE)</f>
        <v>AYUDANTE</v>
      </c>
      <c r="C6" s="2" t="str">
        <f>VLOOKUP(A6,'hora operarios'!A4:F32,2,FALSE)</f>
        <v>MARTINEZ ALVARADO ADRIAN</v>
      </c>
      <c r="D6" s="2">
        <f>IFERROR(VLOOKUP(Operador!A6,'hora operarios'!$A$1:$F$30,5,FALSE),"")</f>
        <v>0</v>
      </c>
      <c r="E6" s="3">
        <f>VLOOKUP(A6,'hora operarios'!$A$1:$F$29,6,FALSE)</f>
        <v>39.479533011272139</v>
      </c>
      <c r="F6" s="2">
        <f>VLOOKUP(G6,Tabulador!$B$27:$C$30,2,FALSE)</f>
        <v>4</v>
      </c>
      <c r="G6" s="2" t="str">
        <f>VLOOKUP(A6,'hora operarios'!$A$1:$F$29,3,FALSE)</f>
        <v>AYUDANTE</v>
      </c>
      <c r="H6" s="2">
        <f t="shared" si="0"/>
        <v>0</v>
      </c>
      <c r="I6" s="3">
        <f>IF(E6&gt;=Tabulador!$D$3,Operador!E6+Operador!H6,Operador!E6)</f>
        <v>39.479533011272139</v>
      </c>
      <c r="J6" s="4">
        <v>0</v>
      </c>
      <c r="K6" s="4">
        <v>0</v>
      </c>
      <c r="L6" s="4">
        <v>0</v>
      </c>
      <c r="M6" s="2">
        <f>VLOOKUP(F6,Tabulador!$A$3:$D$7,4,FALSE)</f>
        <v>0</v>
      </c>
      <c r="N6" s="3">
        <f>IFERROR(IF(I6&gt;M6,(I6-M6)*(VLOOKUP(B6,Tabulador!$A$11:$B$17,2,FALSE)),0),0)</f>
        <v>394.79533011272139</v>
      </c>
      <c r="O6" s="2">
        <f>IFERROR(IF(E6&lt;=Tabulador!B22,0,IF(E6&lt;=Tabulador!C22,VLOOKUP(Operador!B6,Tabulador!$A$19:$G$24,3,FALSE),IF(E6&lt;=Tabulador!$D$19,VLOOKUP(B6,Tabulador!$A$19:$G$24,4,FALSE),IF(F6&lt;=Tabulador!$E$19,VLOOKUP(B6,Tabulador!$A$19:$G$24,5,FALSE),IF(F6&lt;=Tabulador!$F$19,VLOOKUP(B6,Tabulador!$A$19:$G$24,6,FALSE),IF(F6&lt;=Tabulador!$G$19,VLOOKUP(B6,Tabulador!$A$19:$G$24,7,FALSE),"?")))))),0)</f>
        <v>0</v>
      </c>
      <c r="P6" s="2">
        <f t="shared" si="1"/>
        <v>0</v>
      </c>
      <c r="Q6" s="2">
        <f>VLOOKUP(F6,Tabulador!$A$3:$D$7,3,FALSE)</f>
        <v>543.20000000000005</v>
      </c>
      <c r="R6" s="3">
        <f t="shared" si="2"/>
        <v>937.99533011272138</v>
      </c>
    </row>
    <row r="7" spans="1:18" x14ac:dyDescent="0.2">
      <c r="A7" s="2" t="str">
        <f>'hora operarios'!A5</f>
        <v>13</v>
      </c>
      <c r="B7" s="2" t="str">
        <f>VLOOKUP(A7,'hora operarios'!$A$1:$F$29,4,FALSE)</f>
        <v>C</v>
      </c>
      <c r="C7" s="2" t="str">
        <f>VLOOKUP(A7,'hora operarios'!A5:F33,2,FALSE)</f>
        <v>CARLOS SANCHEZ HURTADO</v>
      </c>
      <c r="D7" s="2" t="str">
        <f>IFERROR(VLOOKUP(Operador!A7,'hora operarios'!$A$1:$F$30,5,FALSE),"")</f>
        <v>8</v>
      </c>
      <c r="E7" s="3">
        <f>VLOOKUP(A7,'hora operarios'!$A$1:$F$29,6,FALSE)</f>
        <v>21.799856472729818</v>
      </c>
      <c r="F7" s="2">
        <f>VLOOKUP(G7,Tabulador!$B$27:$C$30,2,FALSE)</f>
        <v>1</v>
      </c>
      <c r="G7" s="2" t="str">
        <f>VLOOKUP(A7,'hora operarios'!$A$1:$F$29,3,FALSE)</f>
        <v>TECNICO</v>
      </c>
      <c r="H7" s="2">
        <f t="shared" si="0"/>
        <v>27.565783798921792</v>
      </c>
      <c r="I7" s="3">
        <f>IF(E7&gt;=Tabulador!$D$3,Operador!E7+Operador!H7,Operador!E7)</f>
        <v>49.365640271651614</v>
      </c>
      <c r="J7" s="4">
        <v>1</v>
      </c>
      <c r="K7" s="4">
        <v>1</v>
      </c>
      <c r="L7" s="4">
        <v>0</v>
      </c>
      <c r="M7" s="2">
        <f>VLOOKUP(F7,Tabulador!$A$3:$D$7,4,FALSE)</f>
        <v>10</v>
      </c>
      <c r="N7" s="3">
        <f>IFERROR(IF(I7&gt;M7,(I7-M7)*(VLOOKUP(B7,Tabulador!$A$11:$B$17,2,FALSE)),0),0)</f>
        <v>1761.6124021564096</v>
      </c>
      <c r="O7" s="2">
        <f>IFERROR(IF(E7&lt;=Tabulador!B23,0,IF(E7&lt;=Tabulador!C23,VLOOKUP(Operador!B7,Tabulador!$A$19:$G$24,3,FALSE),IF(E7&lt;=Tabulador!$D$19,VLOOKUP(B7,Tabulador!$A$19:$G$24,4,FALSE),IF(F7&lt;=Tabulador!$E$19,VLOOKUP(B7,Tabulador!$A$19:$G$24,5,FALSE),IF(F7&lt;=Tabulador!$F$19,VLOOKUP(B7,Tabulador!$A$19:$G$24,6,FALSE),IF(F7&lt;=Tabulador!$G$19,VLOOKUP(B7,Tabulador!$A$19:$G$24,7,FALSE),"?")))))),0)</f>
        <v>3.7360000000000002</v>
      </c>
      <c r="P7" s="2">
        <f t="shared" si="1"/>
        <v>0</v>
      </c>
      <c r="Q7" s="2">
        <f>VLOOKUP(F7,Tabulador!$A$3:$D$7,3,FALSE)</f>
        <v>608.16</v>
      </c>
      <c r="R7" s="3">
        <f t="shared" si="2"/>
        <v>2369.7724021564095</v>
      </c>
    </row>
    <row r="8" spans="1:18" x14ac:dyDescent="0.2">
      <c r="A8" s="2" t="str">
        <f>'hora operarios'!A6</f>
        <v>14</v>
      </c>
      <c r="B8" s="2" t="str">
        <f>VLOOKUP(A8,'hora operarios'!$A$1:$F$29,4,FALSE)</f>
        <v>B</v>
      </c>
      <c r="C8" s="2" t="str">
        <f>VLOOKUP(A8,'hora operarios'!A6:F34,2,FALSE)</f>
        <v>LEONEL MARTINEZ GUERRERO</v>
      </c>
      <c r="D8" s="2" t="str">
        <f>IFERROR(VLOOKUP(Operador!A8,'hora operarios'!$A$1:$F$30,5,FALSE),"")</f>
        <v>12</v>
      </c>
      <c r="E8" s="3">
        <f>VLOOKUP(A8,'hora operarios'!$A$1:$F$29,6,FALSE)</f>
        <v>17.273380942379053</v>
      </c>
      <c r="F8" s="2">
        <f>VLOOKUP(G8,Tabulador!$B$27:$C$30,2,FALSE)</f>
        <v>1</v>
      </c>
      <c r="G8" s="2" t="str">
        <f>VLOOKUP(A8,'hora operarios'!$A$1:$F$29,3,FALSE)</f>
        <v>TECNICO</v>
      </c>
      <c r="H8" s="2">
        <f t="shared" si="0"/>
        <v>39.479533011272139</v>
      </c>
      <c r="I8" s="3">
        <f>IF(E8&gt;=Tabulador!$D$3,Operador!E8+Operador!H8,Operador!E8)</f>
        <v>56.752913953651188</v>
      </c>
      <c r="J8" s="4">
        <v>1</v>
      </c>
      <c r="K8" s="4">
        <v>1</v>
      </c>
      <c r="L8" s="4">
        <v>0</v>
      </c>
      <c r="M8" s="2">
        <f>VLOOKUP(F8,Tabulador!$A$3:$D$7,4,FALSE)</f>
        <v>10</v>
      </c>
      <c r="N8" s="3">
        <f>IFERROR(IF(I8&gt;M8,(I8-M8)*(VLOOKUP(B8,Tabulador!$A$11:$B$17,2,FALSE)),0),0)</f>
        <v>2496.6056051249734</v>
      </c>
      <c r="O8" s="2">
        <f>IFERROR(IF(E8&lt;=Tabulador!B24,0,IF(E8&lt;=Tabulador!C24,VLOOKUP(Operador!B8,Tabulador!$A$19:$G$24,3,FALSE),IF(E8&lt;=Tabulador!$D$19,VLOOKUP(B8,Tabulador!$A$19:$G$24,4,FALSE),IF(F8&lt;=Tabulador!$E$19,VLOOKUP(B8,Tabulador!$A$19:$G$24,5,FALSE),IF(F8&lt;=Tabulador!$F$19,VLOOKUP(B8,Tabulador!$A$19:$G$24,6,FALSE),IF(F8&lt;=Tabulador!$G$19,VLOOKUP(B8,Tabulador!$A$19:$G$24,7,FALSE),"?")))))),0)</f>
        <v>5.5709999999999997</v>
      </c>
      <c r="P8" s="2">
        <f t="shared" si="1"/>
        <v>0</v>
      </c>
      <c r="Q8" s="2">
        <f>VLOOKUP(F8,Tabulador!$A$3:$D$7,3,FALSE)</f>
        <v>608.16</v>
      </c>
      <c r="R8" s="3">
        <f t="shared" si="2"/>
        <v>3104.7656051249733</v>
      </c>
    </row>
    <row r="9" spans="1:18" x14ac:dyDescent="0.2">
      <c r="A9" s="2" t="str">
        <f>'hora operarios'!A7</f>
        <v>15</v>
      </c>
      <c r="B9" s="2" t="str">
        <f>VLOOKUP(A9,'hora operarios'!$A$1:$F$29,4,FALSE)</f>
        <v>AYUDANTE</v>
      </c>
      <c r="C9" s="2" t="str">
        <f>VLOOKUP(A9,'hora operarios'!A7:F35,2,FALSE)</f>
        <v>GUILLERMO REYEZ HURTADO</v>
      </c>
      <c r="D9" s="2">
        <f>IFERROR(VLOOKUP(Operador!A9,'hora operarios'!$A$1:$F$30,5,FALSE),"")</f>
        <v>0</v>
      </c>
      <c r="E9" s="3">
        <f>VLOOKUP(A9,'hora operarios'!$A$1:$F$29,6,FALSE)</f>
        <v>46.292194917034237</v>
      </c>
      <c r="F9" s="2">
        <f>VLOOKUP(G9,Tabulador!$B$27:$C$30,2,FALSE)</f>
        <v>4</v>
      </c>
      <c r="G9" s="2" t="str">
        <f>VLOOKUP(A9,'hora operarios'!$A$1:$F$29,3,FALSE)</f>
        <v>AYUDANTE</v>
      </c>
      <c r="H9" s="2">
        <f t="shared" si="0"/>
        <v>0</v>
      </c>
      <c r="I9" s="3">
        <f>IF(E9&gt;=Tabulador!$D$3,Operador!E9+Operador!H9,Operador!E9)</f>
        <v>46.292194917034237</v>
      </c>
      <c r="J9" s="4">
        <v>0</v>
      </c>
      <c r="K9" s="4">
        <v>0</v>
      </c>
      <c r="L9" s="4">
        <v>0</v>
      </c>
      <c r="M9" s="2">
        <f>VLOOKUP(F9,Tabulador!$A$3:$D$7,4,FALSE)</f>
        <v>0</v>
      </c>
      <c r="N9" s="3">
        <f>IFERROR(IF(I9&gt;M9,(I9-M9)*(VLOOKUP(B9,Tabulador!$A$11:$B$17,2,FALSE)),0),0)</f>
        <v>462.92194917034237</v>
      </c>
      <c r="O9" s="2">
        <f>IFERROR(IF(E9&lt;=Tabulador!B25,0,IF(E9&lt;=Tabulador!C25,VLOOKUP(Operador!B9,Tabulador!$A$19:$G$24,3,FALSE),IF(E9&lt;=Tabulador!$D$19,VLOOKUP(B9,Tabulador!$A$19:$G$24,4,FALSE),IF(F9&lt;=Tabulador!$E$19,VLOOKUP(B9,Tabulador!$A$19:$G$24,5,FALSE),IF(F9&lt;=Tabulador!$F$19,VLOOKUP(B9,Tabulador!$A$19:$G$24,6,FALSE),IF(F9&lt;=Tabulador!$G$19,VLOOKUP(B9,Tabulador!$A$19:$G$24,7,FALSE),"?")))))),0)</f>
        <v>0</v>
      </c>
      <c r="P9" s="2">
        <f t="shared" si="1"/>
        <v>0</v>
      </c>
      <c r="Q9" s="2">
        <f>VLOOKUP(F9,Tabulador!$A$3:$D$7,3,FALSE)</f>
        <v>543.20000000000005</v>
      </c>
      <c r="R9" s="3">
        <f t="shared" si="2"/>
        <v>1006.1219491703424</v>
      </c>
    </row>
    <row r="10" spans="1:18" x14ac:dyDescent="0.2">
      <c r="A10" s="2" t="str">
        <f>'hora operarios'!A8</f>
        <v>16</v>
      </c>
      <c r="B10" s="2" t="str">
        <f>VLOOKUP(A10,'hora operarios'!$A$1:$F$29,4,FALSE)</f>
        <v>C</v>
      </c>
      <c r="C10" s="2" t="str">
        <f>VLOOKUP(A10,'hora operarios'!A8:F36,2,FALSE)</f>
        <v>ALAVEZ LOPEZ INOCENCIO</v>
      </c>
      <c r="D10" s="2" t="str">
        <f>IFERROR(VLOOKUP(Operador!A10,'hora operarios'!$A$1:$F$30,5,FALSE),"")</f>
        <v>17</v>
      </c>
      <c r="E10" s="3">
        <f>VLOOKUP(A10,'hora operarios'!$A$1:$F$29,6,FALSE)</f>
        <v>33.541625708884688</v>
      </c>
      <c r="F10" s="2">
        <f>VLOOKUP(G10,Tabulador!$B$27:$C$30,2,FALSE)</f>
        <v>1</v>
      </c>
      <c r="G10" s="2" t="str">
        <f>VLOOKUP(A10,'hora operarios'!$A$1:$F$29,3,FALSE)</f>
        <v>TECNICO</v>
      </c>
      <c r="H10" s="2">
        <f t="shared" si="0"/>
        <v>125.29776797591542</v>
      </c>
      <c r="I10" s="3">
        <f>IF(E10&gt;=Tabulador!$D$3,Operador!E10+Operador!H10,Operador!E10)</f>
        <v>158.83939368480011</v>
      </c>
      <c r="J10" s="4">
        <v>1</v>
      </c>
      <c r="K10" s="4">
        <v>1</v>
      </c>
      <c r="L10" s="4">
        <v>1</v>
      </c>
      <c r="M10" s="2">
        <f>VLOOKUP(F10,Tabulador!$A$3:$D$7,4,FALSE)</f>
        <v>10</v>
      </c>
      <c r="N10" s="3">
        <f>IFERROR(IF(I10&gt;M10,(I10-M10)*(VLOOKUP(B10,Tabulador!$A$11:$B$17,2,FALSE)),0),0)</f>
        <v>6660.5628673948049</v>
      </c>
      <c r="O10" s="2">
        <f>IFERROR(IF(E10&lt;=Tabulador!B26,0,IF(E10&lt;=Tabulador!C26,VLOOKUP(Operador!B10,Tabulador!$A$19:$G$24,3,FALSE),IF(E10&lt;=Tabulador!$D$19,VLOOKUP(B10,Tabulador!$A$19:$G$24,4,FALSE),IF(F10&lt;=Tabulador!$E$19,VLOOKUP(B10,Tabulador!$A$19:$G$24,5,FALSE),IF(F10&lt;=Tabulador!$F$19,VLOOKUP(B10,Tabulador!$A$19:$G$24,6,FALSE),IF(F10&lt;=Tabulador!$G$19,VLOOKUP(B10,Tabulador!$A$19:$G$24,7,FALSE),"?")))))),0)</f>
        <v>3.7360000000000002</v>
      </c>
      <c r="P10" s="2">
        <f t="shared" si="1"/>
        <v>87.951513648393203</v>
      </c>
      <c r="Q10" s="2">
        <f>VLOOKUP(F10,Tabulador!$A$3:$D$7,3,FALSE)</f>
        <v>608.16</v>
      </c>
      <c r="R10" s="3">
        <f t="shared" si="2"/>
        <v>7356.6743810431981</v>
      </c>
    </row>
    <row r="11" spans="1:18" x14ac:dyDescent="0.2">
      <c r="A11" s="2" t="str">
        <f>'hora operarios'!A9</f>
        <v>17</v>
      </c>
      <c r="B11" s="2" t="str">
        <f>VLOOKUP(A11,'hora operarios'!$A$1:$F$29,4,FALSE)</f>
        <v>AYUDANTE</v>
      </c>
      <c r="C11" s="2" t="str">
        <f>VLOOKUP(A11,'hora operarios'!A9:F37,2,FALSE)</f>
        <v>MARCO ANTONIO SALDAÑA GARCIA</v>
      </c>
      <c r="D11" s="2">
        <f>IFERROR(VLOOKUP(Operador!A11,'hora operarios'!$A$1:$F$30,5,FALSE),"")</f>
        <v>0</v>
      </c>
      <c r="E11" s="3">
        <f>VLOOKUP(A11,'hora operarios'!$A$1:$F$29,6,FALSE)</f>
        <v>125.29776797591542</v>
      </c>
      <c r="F11" s="2">
        <f>VLOOKUP(G11,Tabulador!$B$27:$C$30,2,FALSE)</f>
        <v>4</v>
      </c>
      <c r="G11" s="2" t="str">
        <f>VLOOKUP(A11,'hora operarios'!$A$1:$F$29,3,FALSE)</f>
        <v>AYUDANTE</v>
      </c>
      <c r="H11" s="2">
        <f t="shared" si="0"/>
        <v>0</v>
      </c>
      <c r="I11" s="3">
        <f>IF(E11&gt;=Tabulador!$D$3,Operador!E11+Operador!H11,Operador!E11)</f>
        <v>125.29776797591542</v>
      </c>
      <c r="J11" s="4">
        <v>0</v>
      </c>
      <c r="K11" s="4">
        <v>0</v>
      </c>
      <c r="L11" s="4">
        <v>0</v>
      </c>
      <c r="M11" s="2">
        <f>VLOOKUP(F11,Tabulador!$A$3:$D$7,4,FALSE)</f>
        <v>0</v>
      </c>
      <c r="N11" s="3">
        <f>IFERROR(IF(I11&gt;M11,(I11-M11)*(VLOOKUP(B11,Tabulador!$A$11:$B$17,2,FALSE)),0),0)</f>
        <v>1252.9776797591542</v>
      </c>
      <c r="O11" s="2">
        <f>IFERROR(IF(E11&lt;=Tabulador!B27,0,IF(E11&lt;=Tabulador!C27,VLOOKUP(Operador!B11,Tabulador!$A$19:$G$24,3,FALSE),IF(E11&lt;=Tabulador!$D$19,VLOOKUP(B11,Tabulador!$A$19:$G$24,4,FALSE),IF(F11&lt;=Tabulador!$E$19,VLOOKUP(B11,Tabulador!$A$19:$G$24,5,FALSE),IF(F11&lt;=Tabulador!$F$19,VLOOKUP(B11,Tabulador!$A$19:$G$24,6,FALSE),IF(F11&lt;=Tabulador!$G$19,VLOOKUP(B11,Tabulador!$A$19:$G$24,7,FALSE),"?")))))),0)</f>
        <v>0</v>
      </c>
      <c r="P11" s="2">
        <f t="shared" si="1"/>
        <v>0</v>
      </c>
      <c r="Q11" s="2">
        <f>VLOOKUP(F11,Tabulador!$A$3:$D$7,3,FALSE)</f>
        <v>543.20000000000005</v>
      </c>
      <c r="R11" s="3">
        <f t="shared" si="2"/>
        <v>1796.1776797591542</v>
      </c>
    </row>
    <row r="12" spans="1:18" x14ac:dyDescent="0.2">
      <c r="A12" s="2" t="str">
        <f>'hora operarios'!A10</f>
        <v>20</v>
      </c>
      <c r="B12" s="2" t="str">
        <f>VLOOKUP(A12,'hora operarios'!$A$1:$F$29,4,FALSE)</f>
        <v>A</v>
      </c>
      <c r="C12" s="2" t="str">
        <f>VLOOKUP(A12,'hora operarios'!A10:F38,2,FALSE)</f>
        <v>OLVERA HERNANDEZ JOSE TOMAS</v>
      </c>
      <c r="D12" s="2" t="str">
        <f>IFERROR(VLOOKUP(Operador!A12,'hora operarios'!$A$1:$F$30,5,FALSE),"")</f>
        <v>10</v>
      </c>
      <c r="E12" s="3">
        <f>VLOOKUP(A12,'hora operarios'!$A$1:$F$29,6,FALSE)</f>
        <v>27.960719036616954</v>
      </c>
      <c r="F12" s="2">
        <f>VLOOKUP(G12,Tabulador!$B$27:$C$30,2,FALSE)</f>
        <v>1</v>
      </c>
      <c r="G12" s="2" t="str">
        <f>VLOOKUP(A12,'hora operarios'!$A$1:$F$29,3,FALSE)</f>
        <v>TECNICO</v>
      </c>
      <c r="H12" s="2">
        <f t="shared" si="0"/>
        <v>28.972080095218089</v>
      </c>
      <c r="I12" s="3">
        <f>IF(E12&gt;=Tabulador!$D$3,Operador!E12+Operador!H12,Operador!E12)</f>
        <v>56.93279913183504</v>
      </c>
      <c r="J12" s="4">
        <v>1</v>
      </c>
      <c r="K12" s="4">
        <v>1</v>
      </c>
      <c r="L12" s="4">
        <v>1</v>
      </c>
      <c r="M12" s="2">
        <f>VLOOKUP(F12,Tabulador!$A$3:$D$7,4,FALSE)</f>
        <v>10</v>
      </c>
      <c r="N12" s="3">
        <f>IFERROR(IF(I12&gt;M12,(I12-M12)*(VLOOKUP(B12,Tabulador!$A$11:$B$17,2,FALSE)),0),0)</f>
        <v>3073.1596871525585</v>
      </c>
      <c r="O12" s="2">
        <f>IFERROR(IF(E12&lt;=Tabulador!B28,0,IF(E12&lt;=Tabulador!C28,VLOOKUP(Operador!B12,Tabulador!$A$19:$G$24,3,FALSE),IF(E12&lt;=Tabulador!$D$19,VLOOKUP(B12,Tabulador!$A$19:$G$24,4,FALSE),IF(F12&lt;=Tabulador!$E$19,VLOOKUP(B12,Tabulador!$A$19:$G$24,5,FALSE),IF(F12&lt;=Tabulador!$F$19,VLOOKUP(B12,Tabulador!$A$19:$G$24,6,FALSE),IF(F12&lt;=Tabulador!$G$19,VLOOKUP(B12,Tabulador!$A$19:$G$24,7,FALSE),"?")))))),0)</f>
        <v>0</v>
      </c>
      <c r="P12" s="2">
        <f t="shared" si="1"/>
        <v>0</v>
      </c>
      <c r="Q12" s="2">
        <f>VLOOKUP(F12,Tabulador!$A$3:$D$7,3,FALSE)</f>
        <v>608.16</v>
      </c>
      <c r="R12" s="3">
        <f t="shared" si="2"/>
        <v>3681.3196871525583</v>
      </c>
    </row>
    <row r="13" spans="1:18" x14ac:dyDescent="0.2">
      <c r="A13" s="2" t="str">
        <f>'hora operarios'!A11</f>
        <v>3</v>
      </c>
      <c r="B13" s="2" t="str">
        <f>VLOOKUP(A13,'hora operarios'!$A$1:$F$29,4,FALSE)</f>
        <v>A</v>
      </c>
      <c r="C13" s="2" t="str">
        <f>VLOOKUP(A13,'hora operarios'!A11:F39,2,FALSE)</f>
        <v>MARTIN VALDEZ</v>
      </c>
      <c r="D13" s="2" t="str">
        <f>IFERROR(VLOOKUP(Operador!A13,'hora operarios'!$A$1:$F$30,5,FALSE),"")</f>
        <v>15</v>
      </c>
      <c r="E13" s="3">
        <f>VLOOKUP(A13,'hora operarios'!$A$1:$F$29,6,FALSE)</f>
        <v>14.029258559126234</v>
      </c>
      <c r="F13" s="2">
        <f>VLOOKUP(G13,Tabulador!$B$27:$C$30,2,FALSE)</f>
        <v>1</v>
      </c>
      <c r="G13" s="2" t="str">
        <f>VLOOKUP(A13,'hora operarios'!$A$1:$F$29,3,FALSE)</f>
        <v>TECNICO</v>
      </c>
      <c r="H13" s="2">
        <f t="shared" si="0"/>
        <v>46.292194917034237</v>
      </c>
      <c r="I13" s="3">
        <f>IF(E13&gt;=Tabulador!$D$3,Operador!E13+Operador!H13,Operador!E13)</f>
        <v>60.321453476160471</v>
      </c>
      <c r="J13" s="4">
        <v>1</v>
      </c>
      <c r="K13" s="4">
        <v>1</v>
      </c>
      <c r="L13" s="4">
        <v>1</v>
      </c>
      <c r="M13" s="2">
        <f>VLOOKUP(F13,Tabulador!$A$3:$D$7,4,FALSE)</f>
        <v>10</v>
      </c>
      <c r="N13" s="3">
        <f>IFERROR(IF(I13&gt;M13,(I13-M13)*(VLOOKUP(B13,Tabulador!$A$11:$B$17,2,FALSE)),0),0)</f>
        <v>3295.048773618988</v>
      </c>
      <c r="O13" s="2">
        <f>IFERROR(IF(E13&lt;=Tabulador!B30,0,IF(E13&lt;=Tabulador!C29,VLOOKUP(Operador!B13,Tabulador!$A$19:$G$24,3,FALSE),IF(E13&lt;=Tabulador!$D$19,VLOOKUP(B13,Tabulador!$A$19:$G$24,4,FALSE),IF(F13&lt;=Tabulador!$E$19,VLOOKUP(B13,Tabulador!$A$19:$G$24,5,FALSE),IF(F13&lt;=Tabulador!$F$19,VLOOKUP(B13,Tabulador!$A$19:$G$24,6,FALSE),IF(F13&lt;=Tabulador!$G$19,VLOOKUP(B13,Tabulador!$A$19:$G$24,7,FALSE),"?")))))),0)</f>
        <v>0</v>
      </c>
      <c r="P13" s="2">
        <f t="shared" si="1"/>
        <v>0</v>
      </c>
      <c r="Q13" s="2">
        <f>VLOOKUP(F13,Tabulador!$A$3:$D$7,3,FALSE)</f>
        <v>608.16</v>
      </c>
      <c r="R13" s="3">
        <f t="shared" si="2"/>
        <v>3903.2087736189878</v>
      </c>
    </row>
    <row r="14" spans="1:18" x14ac:dyDescent="0.2">
      <c r="A14" s="2" t="str">
        <f>'hora operarios'!A12</f>
        <v>33</v>
      </c>
      <c r="B14" s="2" t="str">
        <f>VLOOKUP(A14,'hora operarios'!$A$1:$F$29,4,FALSE)</f>
        <v>C</v>
      </c>
      <c r="C14" s="2" t="str">
        <f>VLOOKUP(A14,'hora operarios'!A12:F40,2,FALSE)</f>
        <v>GREGORIO CANCINO</v>
      </c>
      <c r="D14" s="2">
        <f>IFERROR(VLOOKUP(Operador!A14,'hora operarios'!$A$1:$F$30,5,FALSE),"")</f>
        <v>0</v>
      </c>
      <c r="E14" s="3">
        <f>VLOOKUP(A14,'hora operarios'!$A$1:$F$29,6,FALSE)</f>
        <v>107</v>
      </c>
      <c r="F14" s="2">
        <f>VLOOKUP(G14,Tabulador!$B$27:$C$30,2,FALSE)</f>
        <v>3</v>
      </c>
      <c r="G14" s="2" t="str">
        <f>VLOOKUP(A14,'hora operarios'!$A$1:$F$29,3,FALSE)</f>
        <v>LAVADOR</v>
      </c>
      <c r="H14" s="2">
        <f t="shared" si="0"/>
        <v>0</v>
      </c>
      <c r="I14" s="3">
        <f>IF(E14&gt;=Tabulador!$D$3,Operador!E14+Operador!H14,Operador!E14)</f>
        <v>107</v>
      </c>
      <c r="J14" s="4">
        <v>1</v>
      </c>
      <c r="K14" s="4">
        <v>1</v>
      </c>
      <c r="L14" s="4">
        <v>0</v>
      </c>
      <c r="M14" s="2">
        <f>VLOOKUP(F14,Tabulador!$A$3:$D$7,4,FALSE)</f>
        <v>12</v>
      </c>
      <c r="N14" s="3">
        <f>IFERROR(IF(I14&gt;M14,(I14-M14)*(VLOOKUP(B14,Tabulador!$A$11:$B$17,2,FALSE)),0),0)</f>
        <v>4251.25</v>
      </c>
      <c r="O14" s="2">
        <f>IFERROR(IF(E14&lt;=Tabulador!#REF!,0,IF(E14&lt;=Tabulador!C30,VLOOKUP(Operador!B14,Tabulador!$A$19:$G$24,3,FALSE),IF(E14&lt;=Tabulador!$D$19,VLOOKUP(B14,Tabulador!$A$19:$G$24,4,FALSE),IF(F14&lt;=Tabulador!$E$19,VLOOKUP(B14,Tabulador!$A$19:$G$24,5,FALSE),IF(F14&lt;=Tabulador!$F$19,VLOOKUP(B14,Tabulador!$A$19:$G$24,6,FALSE),IF(F14&lt;=Tabulador!$G$19,VLOOKUP(B14,Tabulador!$A$19:$G$24,7,FALSE),"?")))))),0)</f>
        <v>0</v>
      </c>
      <c r="P14" s="2">
        <f t="shared" si="1"/>
        <v>0</v>
      </c>
      <c r="Q14" s="2">
        <f>VLOOKUP(F14,Tabulador!$A$3:$D$7,3,FALSE)</f>
        <v>471.77</v>
      </c>
      <c r="R14" s="3">
        <f t="shared" si="2"/>
        <v>4723.0200000000004</v>
      </c>
    </row>
    <row r="15" spans="1:18" x14ac:dyDescent="0.2">
      <c r="A15" s="2" t="str">
        <f>'hora operarios'!A13</f>
        <v>40</v>
      </c>
      <c r="B15" s="2" t="str">
        <f>VLOOKUP(A15,'hora operarios'!$A$1:$F$29,4,FALSE)</f>
        <v>B</v>
      </c>
      <c r="C15" s="2" t="str">
        <f>VLOOKUP(A15,'hora operarios'!A13:F41,2,FALSE)</f>
        <v>FONSECA GUILLEN JOSE FELIPE</v>
      </c>
      <c r="D15" s="2" t="str">
        <f>IFERROR(VLOOKUP(Operador!A15,'hora operarios'!$A$1:$F$30,5,FALSE),"")</f>
        <v>11</v>
      </c>
      <c r="E15" s="3">
        <f>VLOOKUP(A15,'hora operarios'!$A$1:$F$29,6,FALSE)</f>
        <v>13</v>
      </c>
      <c r="F15" s="2">
        <f>VLOOKUP(G15,Tabulador!$B$27:$C$30,2,FALSE)</f>
        <v>1</v>
      </c>
      <c r="G15" s="2" t="str">
        <f>VLOOKUP(A15,'hora operarios'!$A$1:$F$29,3,FALSE)</f>
        <v>TECNICO</v>
      </c>
      <c r="H15" s="2">
        <f t="shared" si="0"/>
        <v>36.97</v>
      </c>
      <c r="I15" s="3">
        <f>IF(E15&gt;=Tabulador!$D$3,Operador!E15+Operador!H15,Operador!E15)</f>
        <v>49.97</v>
      </c>
      <c r="J15" s="4">
        <v>1</v>
      </c>
      <c r="K15" s="4">
        <v>1</v>
      </c>
      <c r="L15" s="4">
        <v>0</v>
      </c>
      <c r="M15" s="2">
        <f>VLOOKUP(F15,Tabulador!$A$3:$D$7,4,FALSE)</f>
        <v>10</v>
      </c>
      <c r="N15" s="3">
        <f>IFERROR(IF(I15&gt;M15,(I15-M15)*(VLOOKUP(B15,Tabulador!$A$11:$B$17,2,FALSE)),0),0)</f>
        <v>2134.3979999999997</v>
      </c>
      <c r="O15" s="2">
        <f>IFERROR(IF(E15&lt;=Tabulador!B31,0,IF(E15&lt;=Tabulador!C31,VLOOKUP(Operador!B15,Tabulador!$A$19:$G$24,3,FALSE),IF(E15&lt;=Tabulador!$D$19,VLOOKUP(B15,Tabulador!$A$19:$G$24,4,FALSE),IF(F15&lt;=Tabulador!$E$19,VLOOKUP(B15,Tabulador!$A$19:$G$24,5,FALSE),IF(F15&lt;=Tabulador!$F$19,VLOOKUP(B15,Tabulador!$A$19:$G$24,6,FALSE),IF(F15&lt;=Tabulador!$G$19,VLOOKUP(B15,Tabulador!$A$19:$G$24,7,FALSE),"?")))))),0)</f>
        <v>5.5709999999999997</v>
      </c>
      <c r="P15" s="2">
        <f t="shared" si="1"/>
        <v>0</v>
      </c>
      <c r="Q15" s="2">
        <f>VLOOKUP(F15,Tabulador!$A$3:$D$7,3,FALSE)</f>
        <v>608.16</v>
      </c>
      <c r="R15" s="3">
        <f t="shared" si="2"/>
        <v>2742.5579999999995</v>
      </c>
    </row>
    <row r="16" spans="1:18" x14ac:dyDescent="0.2">
      <c r="A16" s="2" t="str">
        <f>'hora operarios'!A14</f>
        <v>43</v>
      </c>
      <c r="B16" s="2" t="str">
        <f>VLOOKUP(A16,'hora operarios'!$A$1:$F$29,4,FALSE)</f>
        <v>C</v>
      </c>
      <c r="C16" s="2" t="str">
        <f>VLOOKUP(A16,'hora operarios'!A14:F42,2,FALSE)</f>
        <v>MARIO ALBERTO RESENDIZ ECHEVER</v>
      </c>
      <c r="D16" s="2" t="str">
        <f>IFERROR(VLOOKUP(Operador!A16,'hora operarios'!$A$1:$F$30,5,FALSE),"")</f>
        <v>9</v>
      </c>
      <c r="E16" s="3">
        <f>VLOOKUP(A16,'hora operarios'!$A$1:$F$29,6,FALSE)</f>
        <v>27.505943429251559</v>
      </c>
      <c r="F16" s="2">
        <f>VLOOKUP(G16,Tabulador!$B$27:$C$30,2,FALSE)</f>
        <v>1</v>
      </c>
      <c r="G16" s="2" t="str">
        <f>VLOOKUP(A16,'hora operarios'!$A$1:$F$29,3,FALSE)</f>
        <v>TECNICO</v>
      </c>
      <c r="H16" s="2">
        <f t="shared" si="0"/>
        <v>0</v>
      </c>
      <c r="I16" s="3">
        <f>IF(E16&gt;=Tabulador!$D$3,Operador!E16+Operador!H16,Operador!E16)</f>
        <v>27.505943429251559</v>
      </c>
      <c r="J16" s="4">
        <v>1</v>
      </c>
      <c r="K16" s="4">
        <v>1</v>
      </c>
      <c r="L16" s="4">
        <v>0</v>
      </c>
      <c r="M16" s="2">
        <f>VLOOKUP(F16,Tabulador!$A$3:$D$7,4,FALSE)</f>
        <v>10</v>
      </c>
      <c r="N16" s="3">
        <f>IFERROR(IF(I16&gt;M16,(I16-M16)*(VLOOKUP(B16,Tabulador!$A$11:$B$17,2,FALSE)),0),0)</f>
        <v>783.39096845900724</v>
      </c>
      <c r="O16" s="2">
        <f>IFERROR(IF(E16&lt;=Tabulador!B32,0,IF(E16&lt;=Tabulador!C32,VLOOKUP(Operador!B16,Tabulador!$A$19:$G$24,3,FALSE),IF(E16&lt;=Tabulador!$D$19,VLOOKUP(B16,Tabulador!$A$19:$G$24,4,FALSE),IF(F16&lt;=Tabulador!$E$19,VLOOKUP(B16,Tabulador!$A$19:$G$24,5,FALSE),IF(F16&lt;=Tabulador!$F$19,VLOOKUP(B16,Tabulador!$A$19:$G$24,6,FALSE),IF(F16&lt;=Tabulador!$G$19,VLOOKUP(B16,Tabulador!$A$19:$G$24,7,FALSE),"?")))))),0)</f>
        <v>3.7360000000000002</v>
      </c>
      <c r="P16" s="2">
        <f t="shared" si="1"/>
        <v>0</v>
      </c>
      <c r="Q16" s="2">
        <f>VLOOKUP(F16,Tabulador!$A$3:$D$7,3,FALSE)</f>
        <v>608.16</v>
      </c>
      <c r="R16" s="3">
        <f t="shared" si="2"/>
        <v>1391.5509684590072</v>
      </c>
    </row>
    <row r="17" spans="1:18" x14ac:dyDescent="0.2">
      <c r="A17" s="2" t="str">
        <f>'hora operarios'!A15</f>
        <v>47</v>
      </c>
      <c r="B17" s="2" t="str">
        <f>VLOOKUP(A17,'hora operarios'!$A$1:$F$29,4,FALSE)</f>
        <v>C</v>
      </c>
      <c r="C17" s="2" t="str">
        <f>VLOOKUP(A17,'hora operarios'!A15:F43,2,FALSE)</f>
        <v>FERNANDO ENRIQUEZ RUBIO</v>
      </c>
      <c r="D17" s="2" t="str">
        <f>IFERROR(VLOOKUP(Operador!A17,'hora operarios'!$A$1:$F$30,5,FALSE),"")</f>
        <v>5</v>
      </c>
      <c r="E17" s="3">
        <f>VLOOKUP(A17,'hora operarios'!$A$1:$F$29,6,FALSE)</f>
        <v>48.625167681859558</v>
      </c>
      <c r="F17" s="2">
        <f>VLOOKUP(G17,Tabulador!$B$27:$C$30,2,FALSE)</f>
        <v>1</v>
      </c>
      <c r="G17" s="2" t="str">
        <f>VLOOKUP(A17,'hora operarios'!$A$1:$F$29,3,FALSE)</f>
        <v>TECNICO</v>
      </c>
      <c r="H17" s="2">
        <f t="shared" si="0"/>
        <v>0.9</v>
      </c>
      <c r="I17" s="3">
        <f>IF(E17&gt;=Tabulador!$D$3,Operador!E17+Operador!H17,Operador!E17)</f>
        <v>49.525167681859557</v>
      </c>
      <c r="J17" s="4">
        <v>1</v>
      </c>
      <c r="K17" s="4">
        <v>1</v>
      </c>
      <c r="L17" s="4">
        <v>0</v>
      </c>
      <c r="M17" s="2">
        <f>VLOOKUP(F17,Tabulador!$A$3:$D$7,4,FALSE)</f>
        <v>10</v>
      </c>
      <c r="N17" s="3">
        <f>IFERROR(IF(I17&gt;M17,(I17-M17)*(VLOOKUP(B17,Tabulador!$A$11:$B$17,2,FALSE)),0),0)</f>
        <v>1768.7512537632151</v>
      </c>
      <c r="O17" s="2">
        <f>IFERROR(IF(E17&lt;=Tabulador!B33,0,IF(E17&lt;=Tabulador!C33,VLOOKUP(Operador!B17,Tabulador!$A$19:$G$24,3,FALSE),IF(E17&lt;=Tabulador!$D$19,VLOOKUP(B17,Tabulador!$A$19:$G$24,4,FALSE),IF(F17&lt;=Tabulador!$E$19,VLOOKUP(B17,Tabulador!$A$19:$G$24,5,FALSE),IF(F17&lt;=Tabulador!$F$19,VLOOKUP(B17,Tabulador!$A$19:$G$24,6,FALSE),IF(F17&lt;=Tabulador!$G$19,VLOOKUP(B17,Tabulador!$A$19:$G$24,7,FALSE),"?")))))),0)</f>
        <v>3.7360000000000002</v>
      </c>
      <c r="P17" s="2">
        <f t="shared" si="1"/>
        <v>0</v>
      </c>
      <c r="Q17" s="2">
        <f>VLOOKUP(F17,Tabulador!$A$3:$D$7,3,FALSE)</f>
        <v>608.16</v>
      </c>
      <c r="R17" s="3">
        <f t="shared" si="2"/>
        <v>2376.911253763215</v>
      </c>
    </row>
    <row r="18" spans="1:18" x14ac:dyDescent="0.2">
      <c r="A18" s="2" t="str">
        <f>'hora operarios'!A16</f>
        <v>5</v>
      </c>
      <c r="B18" s="2" t="str">
        <f>VLOOKUP(A18,'hora operarios'!$A$1:$F$29,4,FALSE)</f>
        <v>AYUDANTE</v>
      </c>
      <c r="C18" s="2" t="str">
        <f>VLOOKUP(A18,'hora operarios'!A16:F44,2,FALSE)</f>
        <v>JOSE ADRIAN CRUZ CRUZ</v>
      </c>
      <c r="D18" s="2">
        <f>IFERROR(VLOOKUP(Operador!A18,'hora operarios'!$A$1:$F$30,5,FALSE),"")</f>
        <v>0</v>
      </c>
      <c r="E18" s="3">
        <f>VLOOKUP(A18,'hora operarios'!$A$1:$F$29,6,FALSE)</f>
        <v>0.9</v>
      </c>
      <c r="F18" s="2">
        <f>VLOOKUP(G18,Tabulador!$B$27:$C$30,2,FALSE)</f>
        <v>4</v>
      </c>
      <c r="G18" s="2" t="str">
        <f>VLOOKUP(A18,'hora operarios'!$A$1:$F$29,3,FALSE)</f>
        <v>AYUDANTE</v>
      </c>
      <c r="H18" s="2">
        <f t="shared" si="0"/>
        <v>0</v>
      </c>
      <c r="I18" s="3">
        <f>IF(E18&gt;=Tabulador!$D$3,Operador!E18+Operador!H18,Operador!E18)</f>
        <v>0.9</v>
      </c>
      <c r="J18" s="4">
        <v>0</v>
      </c>
      <c r="K18" s="4">
        <v>0</v>
      </c>
      <c r="L18" s="4">
        <v>0</v>
      </c>
      <c r="M18" s="2">
        <f>VLOOKUP(F18,Tabulador!$A$3:$D$7,4,FALSE)</f>
        <v>0</v>
      </c>
      <c r="N18" s="3">
        <f>IFERROR(IF(I18&gt;M18,(I18-M18)*(VLOOKUP(B18,Tabulador!$A$11:$B$17,2,FALSE)),0),0)</f>
        <v>9</v>
      </c>
      <c r="O18" s="2">
        <f>IFERROR(IF(E18&lt;=Tabulador!B34,0,IF(E18&lt;=Tabulador!C34,VLOOKUP(Operador!B18,Tabulador!$A$19:$G$24,3,FALSE),IF(E18&lt;=Tabulador!$D$19,VLOOKUP(B18,Tabulador!$A$19:$G$24,4,FALSE),IF(F18&lt;=Tabulador!$E$19,VLOOKUP(B18,Tabulador!$A$19:$G$24,5,FALSE),IF(F18&lt;=Tabulador!$F$19,VLOOKUP(B18,Tabulador!$A$19:$G$24,6,FALSE),IF(F18&lt;=Tabulador!$G$19,VLOOKUP(B18,Tabulador!$A$19:$G$24,7,FALSE),"?")))))),0)</f>
        <v>0</v>
      </c>
      <c r="P18" s="2">
        <f t="shared" si="1"/>
        <v>0</v>
      </c>
      <c r="Q18" s="2">
        <f>VLOOKUP(F18,Tabulador!$A$3:$D$7,3,FALSE)</f>
        <v>543.20000000000005</v>
      </c>
      <c r="R18" s="3">
        <f t="shared" si="2"/>
        <v>552.20000000000005</v>
      </c>
    </row>
    <row r="19" spans="1:18" x14ac:dyDescent="0.2">
      <c r="A19" s="2" t="str">
        <f>'hora operarios'!A17</f>
        <v>51</v>
      </c>
      <c r="B19" s="2" t="str">
        <f>VLOOKUP(A19,'hora operarios'!$A$1:$F$29,4,FALSE)</f>
        <v>C</v>
      </c>
      <c r="C19" s="2" t="str">
        <f>VLOOKUP(A19,'hora operarios'!A17:F45,2,FALSE)</f>
        <v>FREDY SANCHEZ RODRIGUEZ</v>
      </c>
      <c r="D19" s="2">
        <f>IFERROR(VLOOKUP(Operador!A19,'hora operarios'!$A$1:$F$30,5,FALSE),"")</f>
        <v>0</v>
      </c>
      <c r="E19" s="3">
        <f>VLOOKUP(A19,'hora operarios'!$A$1:$F$29,6,FALSE)</f>
        <v>33</v>
      </c>
      <c r="F19" s="2">
        <f>VLOOKUP(G19,Tabulador!$B$27:$C$30,2,FALSE)</f>
        <v>2</v>
      </c>
      <c r="G19" s="2" t="str">
        <f>VLOOKUP(A19,'hora operarios'!$A$1:$F$29,3,FALSE)</f>
        <v>HOJALATERO</v>
      </c>
      <c r="H19" s="2">
        <f t="shared" si="0"/>
        <v>0</v>
      </c>
      <c r="I19" s="3">
        <f>IF(E19&gt;=Tabulador!$D$3,Operador!E19+Operador!H19,Operador!E19)</f>
        <v>33</v>
      </c>
      <c r="J19" s="4">
        <v>0</v>
      </c>
      <c r="K19" s="4">
        <v>0</v>
      </c>
      <c r="L19" s="4">
        <v>0</v>
      </c>
      <c r="M19" s="2">
        <f>VLOOKUP(F19,Tabulador!$A$3:$D$7,4,FALSE)</f>
        <v>12</v>
      </c>
      <c r="N19" s="3">
        <f>IFERROR(IF(I19&gt;M19,(I19-M19)*(VLOOKUP(B19,Tabulador!$A$11:$B$17,2,FALSE)),0),0)</f>
        <v>939.75</v>
      </c>
      <c r="O19" s="2">
        <f>IFERROR(IF(E19&lt;=Tabulador!B35,0,IF(E19&lt;=Tabulador!C35,VLOOKUP(Operador!B19,Tabulador!$A$19:$G$24,3,FALSE),IF(E19&lt;=Tabulador!$D$19,VLOOKUP(B19,Tabulador!$A$19:$G$24,4,FALSE),IF(F19&lt;=Tabulador!$E$19,VLOOKUP(B19,Tabulador!$A$19:$G$24,5,FALSE),IF(F19&lt;=Tabulador!$F$19,VLOOKUP(B19,Tabulador!$A$19:$G$24,6,FALSE),IF(F19&lt;=Tabulador!$G$19,VLOOKUP(B19,Tabulador!$A$19:$G$24,7,FALSE),"?")))))),0)</f>
        <v>3.7360000000000002</v>
      </c>
      <c r="P19" s="2">
        <f t="shared" si="1"/>
        <v>0</v>
      </c>
      <c r="Q19" s="2">
        <f>VLOOKUP(F19,Tabulador!$A$3:$D$7,3,FALSE)</f>
        <v>550</v>
      </c>
      <c r="R19" s="3">
        <f t="shared" si="2"/>
        <v>1489.75</v>
      </c>
    </row>
    <row r="20" spans="1:18" x14ac:dyDescent="0.2">
      <c r="A20" s="2" t="str">
        <f>'hora operarios'!A18</f>
        <v>52</v>
      </c>
      <c r="B20" s="2" t="str">
        <f>VLOOKUP(A20,'hora operarios'!$A$1:$F$29,4,FALSE)</f>
        <v>A</v>
      </c>
      <c r="C20" s="2" t="str">
        <f>VLOOKUP(A20,'hora operarios'!A18:F46,2,FALSE)</f>
        <v>OSCAR ESTRADA ALMARAZ</v>
      </c>
      <c r="D20" s="2">
        <f>IFERROR(VLOOKUP(Operador!A20,'hora operarios'!$A$1:$F$30,5,FALSE),"")</f>
        <v>0</v>
      </c>
      <c r="E20" s="3">
        <f>VLOOKUP(A20,'hora operarios'!$A$1:$F$29,6,FALSE)</f>
        <v>58.4</v>
      </c>
      <c r="F20" s="2">
        <f>VLOOKUP(G20,Tabulador!$B$27:$C$30,2,FALSE)</f>
        <v>2</v>
      </c>
      <c r="G20" s="2" t="str">
        <f>VLOOKUP(A20,'hora operarios'!$A$1:$F$29,3,FALSE)</f>
        <v>HOJALATERO</v>
      </c>
      <c r="H20" s="2">
        <f t="shared" si="0"/>
        <v>0</v>
      </c>
      <c r="I20" s="3">
        <f>IF(E20&gt;=Tabulador!$D$3,Operador!E20+Operador!H20,Operador!E20)</f>
        <v>58.4</v>
      </c>
      <c r="J20" s="4">
        <v>0</v>
      </c>
      <c r="K20" s="4">
        <v>0</v>
      </c>
      <c r="L20" s="4">
        <v>0</v>
      </c>
      <c r="M20" s="2">
        <f>VLOOKUP(F20,Tabulador!$A$3:$D$7,4,FALSE)</f>
        <v>12</v>
      </c>
      <c r="N20" s="3">
        <f>IFERROR(IF(I20&gt;M20,(I20-M20)*(VLOOKUP(B20,Tabulador!$A$11:$B$17,2,FALSE)),0),0)</f>
        <v>3038.2719999999999</v>
      </c>
      <c r="O20" s="2">
        <f>IFERROR(IF(E20&lt;=Tabulador!B36,0,IF(E20&lt;=Tabulador!C36,VLOOKUP(Operador!B20,Tabulador!$A$19:$G$24,3,FALSE),IF(E20&lt;=Tabulador!$D$19,VLOOKUP(B20,Tabulador!$A$19:$G$24,4,FALSE),IF(F20&lt;=Tabulador!$E$19,VLOOKUP(B20,Tabulador!$A$19:$G$24,5,FALSE),IF(F20&lt;=Tabulador!$F$19,VLOOKUP(B20,Tabulador!$A$19:$G$24,6,FALSE),IF(F20&lt;=Tabulador!$G$19,VLOOKUP(B20,Tabulador!$A$19:$G$24,7,FALSE),"?")))))),0)</f>
        <v>7.4279999999999999</v>
      </c>
      <c r="P20" s="2">
        <f t="shared" si="1"/>
        <v>0</v>
      </c>
      <c r="Q20" s="2">
        <f>VLOOKUP(F20,Tabulador!$A$3:$D$7,3,FALSE)</f>
        <v>550</v>
      </c>
      <c r="R20" s="3">
        <f t="shared" si="2"/>
        <v>3588.2719999999999</v>
      </c>
    </row>
    <row r="21" spans="1:18" x14ac:dyDescent="0.2">
      <c r="A21" s="2" t="str">
        <f>'hora operarios'!A19</f>
        <v>53</v>
      </c>
      <c r="B21" s="2" t="str">
        <f>VLOOKUP(A21,'hora operarios'!$A$1:$F$29,4,FALSE)</f>
        <v>C</v>
      </c>
      <c r="C21" s="2" t="str">
        <f>VLOOKUP(A21,'hora operarios'!A19:F47,2,FALSE)</f>
        <v>ROMAN DURAN ACUÑA</v>
      </c>
      <c r="D21" s="2">
        <f>IFERROR(VLOOKUP(Operador!A21,'hora operarios'!$A$1:$F$30,5,FALSE),"")</f>
        <v>0</v>
      </c>
      <c r="E21" s="3">
        <f>VLOOKUP(A21,'hora operarios'!$A$1:$F$29,6,FALSE)</f>
        <v>34.5</v>
      </c>
      <c r="F21" s="2">
        <f>IFERROR(VLOOKUP(G21,Tabulador!$B$27:$C$30,2,FALSE),0)</f>
        <v>2</v>
      </c>
      <c r="G21" s="2" t="str">
        <f>VLOOKUP(A21,'hora operarios'!$A$1:$F$29,3,FALSE)</f>
        <v>HOJALATERO</v>
      </c>
      <c r="H21" s="2">
        <f t="shared" si="0"/>
        <v>0</v>
      </c>
      <c r="I21" s="3">
        <f>IF(E21&gt;=Tabulador!$D$3,Operador!E21+Operador!H21,Operador!E21)</f>
        <v>34.5</v>
      </c>
      <c r="J21" s="4">
        <v>0</v>
      </c>
      <c r="K21" s="4">
        <v>0</v>
      </c>
      <c r="L21" s="4">
        <v>0</v>
      </c>
      <c r="M21" s="2">
        <f>IFERROR(VLOOKUP(F21,Tabulador!$A$3:$D$7,4,FALSE),0)</f>
        <v>12</v>
      </c>
      <c r="N21" s="3">
        <f>IFERROR(IF(I21&gt;M21,(I21-M21)*(VLOOKUP(B21,Tabulador!$A$11:$B$17,2,FALSE)),0),0)</f>
        <v>1006.875</v>
      </c>
      <c r="O21" s="2">
        <f>IFERROR(IF(E21&lt;=Tabulador!B37,0,IF(E21&lt;=Tabulador!C37,VLOOKUP(Operador!B21,Tabulador!$A$19:$G$24,3,FALSE),IF(E21&lt;=Tabulador!$D$19,VLOOKUP(B21,Tabulador!$A$19:$G$24,4,FALSE),IF(F21&lt;=Tabulador!$E$19,VLOOKUP(B21,Tabulador!$A$19:$G$24,5,FALSE),IF(F21&lt;=Tabulador!$F$19,VLOOKUP(B21,Tabulador!$A$19:$G$24,6,FALSE),IF(F21&lt;=Tabulador!$G$19,VLOOKUP(B21,Tabulador!$A$19:$G$24,7,FALSE),"?")))))),0)</f>
        <v>3.7360000000000002</v>
      </c>
      <c r="P21" s="2">
        <f t="shared" si="1"/>
        <v>0</v>
      </c>
      <c r="Q21" s="2">
        <f>IFERROR(VLOOKUP(F21,Tabulador!$A$3:$D$7,3,FALSE),0)</f>
        <v>550</v>
      </c>
      <c r="R21" s="3">
        <f t="shared" si="2"/>
        <v>1556.875</v>
      </c>
    </row>
    <row r="22" spans="1:18" x14ac:dyDescent="0.2">
      <c r="A22" s="2" t="str">
        <f>'hora operarios'!A20</f>
        <v>54</v>
      </c>
      <c r="B22" s="2" t="str">
        <f>VLOOKUP(A22,'hora operarios'!$A$1:$F$29,4,FALSE)</f>
        <v>A</v>
      </c>
      <c r="C22" s="2" t="str">
        <f>VLOOKUP(A22,'hora operarios'!A20:F48,2,FALSE)</f>
        <v>MIGUEL ANGEL RAMOS RAMIREZ</v>
      </c>
      <c r="D22" s="2">
        <f>IFERROR(VLOOKUP(Operador!A22,'hora operarios'!$A$1:$F$30,5,FALSE),"")</f>
        <v>0</v>
      </c>
      <c r="E22" s="3">
        <f>VLOOKUP(A22,'hora operarios'!$A$1:$F$29,6,FALSE)</f>
        <v>16.62</v>
      </c>
      <c r="F22" s="2">
        <f>VLOOKUP(G22,Tabulador!$B$27:$C$30,2,FALSE)</f>
        <v>2</v>
      </c>
      <c r="G22" s="2" t="str">
        <f>VLOOKUP(A22,'hora operarios'!$A$1:$F$29,3,FALSE)</f>
        <v>HOJALATERO</v>
      </c>
      <c r="H22" s="2">
        <f t="shared" si="0"/>
        <v>0</v>
      </c>
      <c r="I22" s="3">
        <f>IF(E22&gt;=Tabulador!$D$3,Operador!E22+Operador!H22,Operador!E22)</f>
        <v>16.62</v>
      </c>
      <c r="J22" s="4">
        <v>0</v>
      </c>
      <c r="K22" s="4">
        <v>0</v>
      </c>
      <c r="L22" s="4">
        <v>0</v>
      </c>
      <c r="M22" s="2">
        <f>VLOOKUP(F22,Tabulador!$A$3:$D$7,4,FALSE)</f>
        <v>12</v>
      </c>
      <c r="N22" s="3">
        <f>IFERROR(IF(I22&gt;M22,(I22-M22)*(VLOOKUP(B22,Tabulador!$A$11:$B$17,2,FALSE)),0),0)</f>
        <v>302.51760000000007</v>
      </c>
      <c r="O22" s="2">
        <f>IFERROR(IF(E22&lt;=Tabulador!B38,0,IF(E22&lt;=Tabulador!C38,VLOOKUP(Operador!B22,Tabulador!$A$19:$G$24,3,FALSE),IF(E22&lt;=Tabulador!$D$19,VLOOKUP(B22,Tabulador!$A$19:$G$24,4,FALSE),IF(F22&lt;=Tabulador!$E$19,VLOOKUP(B22,Tabulador!$A$19:$G$24,5,FALSE),IF(F22&lt;=Tabulador!$F$19,VLOOKUP(B22,Tabulador!$A$19:$G$24,6,FALSE),IF(F22&lt;=Tabulador!$G$19,VLOOKUP(B22,Tabulador!$A$19:$G$24,7,FALSE),"?")))))),0)</f>
        <v>7.4279999999999999</v>
      </c>
      <c r="P22" s="2">
        <f t="shared" si="1"/>
        <v>0</v>
      </c>
      <c r="Q22" s="2">
        <f>VLOOKUP(F22,Tabulador!$A$3:$D$7,3,FALSE)</f>
        <v>550</v>
      </c>
      <c r="R22" s="3">
        <f t="shared" si="2"/>
        <v>852.51760000000013</v>
      </c>
    </row>
    <row r="23" spans="1:18" x14ac:dyDescent="0.2">
      <c r="A23" s="2" t="str">
        <f>'hora operarios'!A21</f>
        <v>55</v>
      </c>
      <c r="B23" s="2" t="str">
        <f>VLOOKUP(A23,'hora operarios'!$A$1:$F$29,4,FALSE)</f>
        <v>A</v>
      </c>
      <c r="C23" s="2" t="str">
        <f>VLOOKUP(A23,'hora operarios'!A21:F49,2,FALSE)</f>
        <v>GERMAN CORTEZ HERNANDEZ</v>
      </c>
      <c r="D23" s="2">
        <f>IFERROR(VLOOKUP(Operador!A23,'hora operarios'!$A$1:$F$30,5,FALSE),"")</f>
        <v>0</v>
      </c>
      <c r="E23" s="3">
        <f>VLOOKUP(A23,'hora operarios'!$A$1:$F$29,6,FALSE)</f>
        <v>57</v>
      </c>
      <c r="F23" s="2">
        <f>VLOOKUP(G23,Tabulador!$B$27:$C$30,2,FALSE)</f>
        <v>2</v>
      </c>
      <c r="G23" s="2" t="str">
        <f>VLOOKUP(A23,'hora operarios'!$A$1:$F$29,3,FALSE)</f>
        <v>HOJALATERO</v>
      </c>
      <c r="H23" s="2">
        <f t="shared" si="0"/>
        <v>0</v>
      </c>
      <c r="I23" s="3">
        <f>IF(E23&gt;=Tabulador!$D$3,Operador!E23+Operador!H23,Operador!E23)</f>
        <v>57</v>
      </c>
      <c r="J23" s="4">
        <v>0</v>
      </c>
      <c r="K23" s="4">
        <v>0</v>
      </c>
      <c r="L23" s="4">
        <v>0</v>
      </c>
      <c r="M23" s="2">
        <f>VLOOKUP(F23,Tabulador!$A$3:$D$7,4,FALSE)</f>
        <v>12</v>
      </c>
      <c r="N23" s="3">
        <f>IFERROR(IF(I23&gt;M23,(I23-M23)*(VLOOKUP(B23,Tabulador!$A$11:$B$17,2,FALSE)),0),0)</f>
        <v>2946.6000000000004</v>
      </c>
      <c r="O23" s="2">
        <f>IFERROR(IF(E23&lt;=Tabulador!B39,0,IF(E23&lt;=Tabulador!C39,VLOOKUP(Operador!B23,Tabulador!$A$19:$G$24,3,FALSE),IF(E23&lt;=Tabulador!$D$19,VLOOKUP(B23,Tabulador!$A$19:$G$24,4,FALSE),IF(F23&lt;=Tabulador!$E$19,VLOOKUP(B23,Tabulador!$A$19:$G$24,5,FALSE),IF(F23&lt;=Tabulador!$F$19,VLOOKUP(B23,Tabulador!$A$19:$G$24,6,FALSE),IF(F23&lt;=Tabulador!$G$19,VLOOKUP(B23,Tabulador!$A$19:$G$24,7,FALSE),"?")))))),0)</f>
        <v>7.4279999999999999</v>
      </c>
      <c r="P23" s="2">
        <f t="shared" si="1"/>
        <v>0</v>
      </c>
      <c r="Q23" s="2">
        <f>VLOOKUP(F23,Tabulador!$A$3:$D$7,3,FALSE)</f>
        <v>550</v>
      </c>
      <c r="R23" s="3">
        <f t="shared" si="2"/>
        <v>3496.6000000000004</v>
      </c>
    </row>
    <row r="24" spans="1:18" x14ac:dyDescent="0.2">
      <c r="A24" s="2" t="str">
        <f>'hora operarios'!A22</f>
        <v>56</v>
      </c>
      <c r="B24" s="2" t="str">
        <f>VLOOKUP(A24,'hora operarios'!$A$1:$F$29,4,FALSE)</f>
        <v>B</v>
      </c>
      <c r="C24" s="2" t="str">
        <f>VLOOKUP(A24,'hora operarios'!A22:F50,2,FALSE)</f>
        <v>JOSE LUIS GOZALEZ CORDOBA</v>
      </c>
      <c r="D24" s="2">
        <f>IFERROR(VLOOKUP(Operador!A24,'hora operarios'!$A$1:$F$30,5,FALSE),"")</f>
        <v>0</v>
      </c>
      <c r="E24" s="3">
        <f>VLOOKUP(A24,'hora operarios'!$A$1:$F$29,6,FALSE)</f>
        <v>50.39</v>
      </c>
      <c r="F24" s="2">
        <f>VLOOKUP(G24,Tabulador!$B$27:$C$30,2,FALSE)</f>
        <v>2</v>
      </c>
      <c r="G24" s="2" t="str">
        <f>VLOOKUP(A24,'hora operarios'!$A$1:$F$29,3,FALSE)</f>
        <v>HOJALATERO</v>
      </c>
      <c r="H24" s="2">
        <f t="shared" si="0"/>
        <v>0</v>
      </c>
      <c r="I24" s="3">
        <f>IF(E24&gt;=Tabulador!$D$3,Operador!E24+Operador!H24,Operador!E24)</f>
        <v>50.39</v>
      </c>
      <c r="J24" s="4">
        <v>0</v>
      </c>
      <c r="K24" s="4">
        <v>0</v>
      </c>
      <c r="L24" s="4">
        <v>0</v>
      </c>
      <c r="M24" s="2">
        <f>VLOOKUP(F24,Tabulador!$A$3:$D$7,4,FALSE)</f>
        <v>12</v>
      </c>
      <c r="N24" s="3">
        <f>IFERROR(IF(I24&gt;M24,(I24-M24)*(VLOOKUP(B24,Tabulador!$A$11:$B$17,2,FALSE)),0),0)</f>
        <v>2050.0259999999998</v>
      </c>
      <c r="O24" s="2">
        <f>IFERROR(IF(E24&lt;=Tabulador!B40,0,IF(E24&lt;=Tabulador!C40,VLOOKUP(Operador!B24,Tabulador!$A$19:$G$24,3,FALSE),IF(E24&lt;=Tabulador!$D$19,VLOOKUP(B24,Tabulador!$A$19:$G$24,4,FALSE),IF(F24&lt;=Tabulador!$E$19,VLOOKUP(B24,Tabulador!$A$19:$G$24,5,FALSE),IF(F24&lt;=Tabulador!$F$19,VLOOKUP(B24,Tabulador!$A$19:$G$24,6,FALSE),IF(F24&lt;=Tabulador!$G$19,VLOOKUP(B24,Tabulador!$A$19:$G$24,7,FALSE),"?")))))),0)</f>
        <v>5.5709999999999997</v>
      </c>
      <c r="P24" s="2">
        <f t="shared" si="1"/>
        <v>0</v>
      </c>
      <c r="Q24" s="2">
        <f>VLOOKUP(F24,Tabulador!$A$3:$D$7,3,FALSE)</f>
        <v>550</v>
      </c>
      <c r="R24" s="3">
        <f t="shared" si="2"/>
        <v>2600.0259999999998</v>
      </c>
    </row>
    <row r="25" spans="1:18" x14ac:dyDescent="0.2">
      <c r="A25" s="2" t="str">
        <f>'hora operarios'!A23</f>
        <v>57</v>
      </c>
      <c r="B25" s="2" t="str">
        <f>VLOOKUP(A25,'hora operarios'!$A$1:$F$29,4,FALSE)</f>
        <v>A</v>
      </c>
      <c r="C25" s="2" t="str">
        <f>VLOOKUP(A25,'hora operarios'!A23:F51,2,FALSE)</f>
        <v>JUAN CARLOS VIGUERAS MARTINEZ</v>
      </c>
      <c r="D25" s="2">
        <f>IFERROR(VLOOKUP(Operador!A25,'hora operarios'!$A$1:$F$30,5,FALSE),"")</f>
        <v>0</v>
      </c>
      <c r="E25" s="3">
        <f>VLOOKUP(A25,'hora operarios'!$A$1:$F$29,6,FALSE)</f>
        <v>52</v>
      </c>
      <c r="F25" s="2">
        <f>VLOOKUP(G25,Tabulador!$B$27:$C$30,2,FALSE)</f>
        <v>2</v>
      </c>
      <c r="G25" s="2" t="str">
        <f>VLOOKUP(A25,'hora operarios'!$A$1:$F$29,3,FALSE)</f>
        <v>HOJALATERO</v>
      </c>
      <c r="H25" s="2">
        <f t="shared" si="0"/>
        <v>0</v>
      </c>
      <c r="I25" s="3">
        <f>IF(E25&gt;=Tabulador!$D$3,Operador!E25+Operador!H25,Operador!E25)</f>
        <v>52</v>
      </c>
      <c r="J25" s="4">
        <v>0</v>
      </c>
      <c r="K25" s="4">
        <v>0</v>
      </c>
      <c r="L25" s="4">
        <v>0</v>
      </c>
      <c r="M25" s="2">
        <f>VLOOKUP(F25,Tabulador!$A$3:$D$7,4,FALSE)</f>
        <v>12</v>
      </c>
      <c r="N25" s="3">
        <f>IFERROR(IF(I25&gt;M25,(I25-M25)*(VLOOKUP(B25,Tabulador!$A$11:$B$17,2,FALSE)),0),0)</f>
        <v>2619.2000000000003</v>
      </c>
      <c r="O25" s="2">
        <f>IFERROR(IF(E25&lt;=Tabulador!B41,0,IF(E25&lt;=Tabulador!C41,VLOOKUP(Operador!B25,Tabulador!$A$19:$G$24,3,FALSE),IF(E25&lt;=Tabulador!$D$19,VLOOKUP(B25,Tabulador!$A$19:$G$24,4,FALSE),IF(F25&lt;=Tabulador!$E$19,VLOOKUP(B25,Tabulador!$A$19:$G$24,5,FALSE),IF(F25&lt;=Tabulador!$F$19,VLOOKUP(B25,Tabulador!$A$19:$G$24,6,FALSE),IF(F25&lt;=Tabulador!$G$19,VLOOKUP(B25,Tabulador!$A$19:$G$24,7,FALSE),"?")))))),0)</f>
        <v>7.4279999999999999</v>
      </c>
      <c r="P25" s="2">
        <f t="shared" si="1"/>
        <v>0</v>
      </c>
      <c r="Q25" s="2">
        <f>VLOOKUP(F25,Tabulador!$A$3:$D$7,3,FALSE)</f>
        <v>550</v>
      </c>
      <c r="R25" s="3">
        <f t="shared" si="2"/>
        <v>3169.2000000000003</v>
      </c>
    </row>
    <row r="26" spans="1:18" x14ac:dyDescent="0.2">
      <c r="A26" s="2" t="str">
        <f>'hora operarios'!A24</f>
        <v>58</v>
      </c>
      <c r="B26" s="2" t="str">
        <f>VLOOKUP(A26,'hora operarios'!$A$1:$F$29,4,FALSE)</f>
        <v>A</v>
      </c>
      <c r="C26" s="2" t="str">
        <f>VLOOKUP(A26,'hora operarios'!A24:F52,2,FALSE)</f>
        <v>ARMANDO OLVERA LANDAVERDE</v>
      </c>
      <c r="D26" s="2">
        <f>IFERROR(VLOOKUP(Operador!A26,'hora operarios'!$A$1:$F$30,5,FALSE),"")</f>
        <v>0</v>
      </c>
      <c r="E26" s="3">
        <f>VLOOKUP(A26,'hora operarios'!$A$1:$F$29,6,FALSE)</f>
        <v>18</v>
      </c>
      <c r="F26" s="2">
        <f>VLOOKUP(G26,Tabulador!$B$27:$C$30,2,FALSE)</f>
        <v>2</v>
      </c>
      <c r="G26" s="2" t="str">
        <f>VLOOKUP(A26,'hora operarios'!$A$1:$F$29,3,FALSE)</f>
        <v>HOJALATERO</v>
      </c>
      <c r="H26" s="2">
        <f t="shared" si="0"/>
        <v>0</v>
      </c>
      <c r="I26" s="3">
        <f>IF(E26&gt;=Tabulador!$D$3,Operador!E26+Operador!H26,Operador!E26)</f>
        <v>18</v>
      </c>
      <c r="J26" s="4">
        <v>0</v>
      </c>
      <c r="K26" s="4">
        <v>0</v>
      </c>
      <c r="L26" s="4">
        <v>0</v>
      </c>
      <c r="M26" s="2">
        <f>VLOOKUP(F26,Tabulador!$A$3:$D$7,4,FALSE)</f>
        <v>12</v>
      </c>
      <c r="N26" s="3">
        <f>IFERROR(IF(I26&gt;M26,(I26-M26)*(VLOOKUP(B26,Tabulador!$A$11:$B$17,2,FALSE)),0),0)</f>
        <v>392.88</v>
      </c>
      <c r="O26" s="2">
        <f>IFERROR(IF(E26&lt;=Tabulador!B42,0,IF(E26&lt;=Tabulador!C42,VLOOKUP(Operador!B26,Tabulador!$A$19:$G$24,3,FALSE),IF(E26&lt;=Tabulador!$D$19,VLOOKUP(B26,Tabulador!$A$19:$G$24,4,FALSE),IF(F26&lt;=Tabulador!$E$19,VLOOKUP(B26,Tabulador!$A$19:$G$24,5,FALSE),IF(F26&lt;=Tabulador!$F$19,VLOOKUP(B26,Tabulador!$A$19:$G$24,6,FALSE),IF(F26&lt;=Tabulador!$G$19,VLOOKUP(B26,Tabulador!$A$19:$G$24,7,FALSE),"?")))))),0)</f>
        <v>7.4279999999999999</v>
      </c>
      <c r="P26" s="2">
        <f t="shared" si="1"/>
        <v>0</v>
      </c>
      <c r="Q26" s="2">
        <f>VLOOKUP(F26,Tabulador!$A$3:$D$7,3,FALSE)</f>
        <v>550</v>
      </c>
      <c r="R26" s="3">
        <f t="shared" si="2"/>
        <v>942.88</v>
      </c>
    </row>
    <row r="27" spans="1:18" x14ac:dyDescent="0.2">
      <c r="A27" s="2" t="str">
        <f>'hora operarios'!A25</f>
        <v>59</v>
      </c>
      <c r="B27" s="2" t="str">
        <f>VLOOKUP(A27,'hora operarios'!$A$1:$F$29,4,FALSE)</f>
        <v>A</v>
      </c>
      <c r="C27" s="2" t="str">
        <f>VLOOKUP(A27,'hora operarios'!A25:F53,2,FALSE)</f>
        <v>GERARDO MIRELES GONZALEZ</v>
      </c>
      <c r="D27" s="2">
        <f>IFERROR(VLOOKUP(Operador!A27,'hora operarios'!$A$1:$F$30,5,FALSE),"")</f>
        <v>0</v>
      </c>
      <c r="E27" s="3">
        <f>VLOOKUP(A27,'hora operarios'!$A$1:$F$29,6,FALSE)</f>
        <v>32.46</v>
      </c>
      <c r="F27" s="2">
        <f>VLOOKUP(G27,Tabulador!$B$27:$C$30,2,FALSE)</f>
        <v>2</v>
      </c>
      <c r="G27" s="2" t="str">
        <f>VLOOKUP(A27,'hora operarios'!$A$1:$F$29,3,FALSE)</f>
        <v>HOJALATERO</v>
      </c>
      <c r="H27" s="2">
        <f t="shared" si="0"/>
        <v>0</v>
      </c>
      <c r="I27" s="3">
        <f>IF(E27&gt;=Tabulador!$D$3,Operador!E27+Operador!H27,Operador!E27)</f>
        <v>32.46</v>
      </c>
      <c r="J27" s="4">
        <v>0</v>
      </c>
      <c r="K27" s="4">
        <v>0</v>
      </c>
      <c r="L27" s="4">
        <v>0</v>
      </c>
      <c r="M27" s="2">
        <f>VLOOKUP(F27,Tabulador!$A$3:$D$7,4,FALSE)</f>
        <v>12</v>
      </c>
      <c r="N27" s="3">
        <f>IFERROR(IF(I27&gt;M27,(I27-M27)*(VLOOKUP(B27,Tabulador!$A$11:$B$17,2,FALSE)),0),0)</f>
        <v>1339.7208000000001</v>
      </c>
      <c r="O27" s="2">
        <f>IFERROR(IF(E27&lt;=Tabulador!B43,0,IF(E27&lt;=Tabulador!C43,VLOOKUP(Operador!B27,Tabulador!$A$19:$G$24,3,FALSE),IF(E27&lt;=Tabulador!$D$19,VLOOKUP(B27,Tabulador!$A$19:$G$24,4,FALSE),IF(F27&lt;=Tabulador!$E$19,VLOOKUP(B27,Tabulador!$A$19:$G$24,5,FALSE),IF(F27&lt;=Tabulador!$F$19,VLOOKUP(B27,Tabulador!$A$19:$G$24,6,FALSE),IF(F27&lt;=Tabulador!$G$19,VLOOKUP(B27,Tabulador!$A$19:$G$24,7,FALSE),"?")))))),0)</f>
        <v>7.4279999999999999</v>
      </c>
      <c r="P27" s="2">
        <f t="shared" si="1"/>
        <v>0</v>
      </c>
      <c r="Q27" s="2">
        <f>VLOOKUP(F27,Tabulador!$A$3:$D$7,3,FALSE)</f>
        <v>550</v>
      </c>
      <c r="R27" s="3">
        <f t="shared" si="2"/>
        <v>1889.7208000000001</v>
      </c>
    </row>
    <row r="28" spans="1:18" x14ac:dyDescent="0.2">
      <c r="A28" s="2" t="str">
        <f>'hora operarios'!A26</f>
        <v>6</v>
      </c>
      <c r="B28" s="2" t="str">
        <f>VLOOKUP(A28,'hora operarios'!$A$1:$F$29,4,FALSE)</f>
        <v>C</v>
      </c>
      <c r="C28" s="2" t="str">
        <f>VLOOKUP(A28,'hora operarios'!A26:F54,2,FALSE)</f>
        <v>JOSE DAVID RESENDIZ CRESPO</v>
      </c>
      <c r="D28" s="2">
        <f>IFERROR(VLOOKUP(Operador!A28,'hora operarios'!$A$1:$F$30,5,FALSE),"")</f>
        <v>0</v>
      </c>
      <c r="E28" s="3">
        <f>VLOOKUP(A28,'hora operarios'!$A$1:$F$29,6,FALSE)</f>
        <v>16.656927816285094</v>
      </c>
      <c r="F28" s="2">
        <f>VLOOKUP(G28,Tabulador!$B$27:$C$30,2,FALSE)</f>
        <v>1</v>
      </c>
      <c r="G28" s="2" t="str">
        <f>VLOOKUP(A28,'hora operarios'!$A$1:$F$29,3,FALSE)</f>
        <v>TECNICO</v>
      </c>
      <c r="H28" s="2">
        <f t="shared" si="0"/>
        <v>0</v>
      </c>
      <c r="I28" s="3">
        <f>IF(E28&gt;=Tabulador!$D$3,Operador!E28+Operador!H28,Operador!E28)</f>
        <v>16.656927816285094</v>
      </c>
      <c r="J28" s="4">
        <v>0</v>
      </c>
      <c r="K28" s="4">
        <v>0</v>
      </c>
      <c r="L28" s="4">
        <v>0</v>
      </c>
      <c r="M28" s="2">
        <f>VLOOKUP(F28,Tabulador!$A$3:$D$7,4,FALSE)</f>
        <v>10</v>
      </c>
      <c r="N28" s="3">
        <f>IFERROR(IF(I28&gt;M28,(I28-M28)*(VLOOKUP(B28,Tabulador!$A$11:$B$17,2,FALSE)),0),0)</f>
        <v>297.89751977875795</v>
      </c>
      <c r="O28" s="2">
        <f>IFERROR(IF(E28&lt;=Tabulador!B44,0,IF(E28&lt;=Tabulador!C44,VLOOKUP(Operador!B28,Tabulador!$A$19:$G$24,3,FALSE),IF(E28&lt;=Tabulador!$D$19,VLOOKUP(B28,Tabulador!$A$19:$G$24,4,FALSE),IF(F28&lt;=Tabulador!$E$19,VLOOKUP(B28,Tabulador!$A$19:$G$24,5,FALSE),IF(F28&lt;=Tabulador!$F$19,VLOOKUP(B28,Tabulador!$A$19:$G$24,6,FALSE),IF(F28&lt;=Tabulador!$G$19,VLOOKUP(B28,Tabulador!$A$19:$G$24,7,FALSE),"?")))))),0)</f>
        <v>3.7360000000000002</v>
      </c>
      <c r="P28" s="2">
        <f t="shared" si="1"/>
        <v>0</v>
      </c>
      <c r="Q28" s="2">
        <f>VLOOKUP(F28,Tabulador!$A$3:$D$7,3,FALSE)</f>
        <v>608.16</v>
      </c>
      <c r="R28" s="3">
        <f t="shared" si="2"/>
        <v>906.05751977875798</v>
      </c>
    </row>
    <row r="29" spans="1:18" x14ac:dyDescent="0.2">
      <c r="A29" s="2" t="str">
        <f>'hora operarios'!A27</f>
        <v>61</v>
      </c>
      <c r="B29" s="2" t="str">
        <f>VLOOKUP(A29,'hora operarios'!$A$1:$F$29,4,FALSE)</f>
        <v>A</v>
      </c>
      <c r="C29" s="2" t="str">
        <f>VLOOKUP(A29,'hora operarios'!A27:F55,2,FALSE)</f>
        <v>ALEJANDRO MARTINEZ LORENZO</v>
      </c>
      <c r="D29" s="2">
        <f>IFERROR(VLOOKUP(Operador!A29,'hora operarios'!$A$1:$F$30,5,FALSE),"")</f>
        <v>0</v>
      </c>
      <c r="E29" s="3">
        <f>VLOOKUP(A29,'hora operarios'!$A$1:$F$29,6,FALSE)</f>
        <v>28.8</v>
      </c>
      <c r="F29" s="2">
        <f>VLOOKUP(G29,Tabulador!$B$27:$C$30,2,FALSE)</f>
        <v>2</v>
      </c>
      <c r="G29" s="2" t="str">
        <f>VLOOKUP(A29,'hora operarios'!$A$1:$F$29,3,FALSE)</f>
        <v>HOJALATERO</v>
      </c>
      <c r="H29" s="2">
        <f t="shared" si="0"/>
        <v>0</v>
      </c>
      <c r="I29" s="3">
        <f>IF(E29&gt;=Tabulador!$D$3,Operador!E29+Operador!H29,Operador!E29)</f>
        <v>28.8</v>
      </c>
      <c r="J29" s="4">
        <v>0</v>
      </c>
      <c r="K29" s="4">
        <v>0</v>
      </c>
      <c r="L29" s="4">
        <v>0</v>
      </c>
      <c r="M29" s="2">
        <f>VLOOKUP(F29,Tabulador!$A$3:$D$7,4,FALSE)</f>
        <v>12</v>
      </c>
      <c r="N29" s="3">
        <f>IFERROR(IF(I29&gt;M29,(I29-M29)*(VLOOKUP(B29,Tabulador!$A$11:$B$17,2,FALSE)),0),0)</f>
        <v>1100.0640000000001</v>
      </c>
      <c r="O29" s="2">
        <f>IFERROR(IF(E29&lt;=Tabulador!B45,0,IF(E29&lt;=Tabulador!C45,VLOOKUP(Operador!B29,Tabulador!$A$19:$G$24,3,FALSE),IF(E29&lt;=Tabulador!$D$19,VLOOKUP(B29,Tabulador!$A$19:$G$24,4,FALSE),IF(F29&lt;=Tabulador!$E$19,VLOOKUP(B29,Tabulador!$A$19:$G$24,5,FALSE),IF(F29&lt;=Tabulador!$F$19,VLOOKUP(B29,Tabulador!$A$19:$G$24,6,FALSE),IF(F29&lt;=Tabulador!$G$19,VLOOKUP(B29,Tabulador!$A$19:$G$24,7,FALSE),"?")))))),0)</f>
        <v>7.4279999999999999</v>
      </c>
      <c r="P29" s="2">
        <f t="shared" si="1"/>
        <v>0</v>
      </c>
      <c r="Q29" s="2">
        <f>VLOOKUP(F29,Tabulador!$A$3:$D$7,3,FALSE)</f>
        <v>550</v>
      </c>
      <c r="R29" s="3">
        <f t="shared" si="2"/>
        <v>1650.0640000000001</v>
      </c>
    </row>
    <row r="30" spans="1:18" x14ac:dyDescent="0.2">
      <c r="A30" s="2" t="str">
        <f>'hora operarios'!A28</f>
        <v>64</v>
      </c>
      <c r="B30" s="2" t="str">
        <f>VLOOKUP(A30,'hora operarios'!$A$1:$F$29,4,FALSE)</f>
        <v>A</v>
      </c>
      <c r="C30" s="2" t="str">
        <f>VLOOKUP(A30,'hora operarios'!A28:F56,2,FALSE)</f>
        <v>JOSE RODRIGUEZ ZEPEDA</v>
      </c>
      <c r="D30" s="2">
        <f>IFERROR(VLOOKUP(Operador!A30,'hora operarios'!$A$1:$F$30,5,FALSE),"")</f>
        <v>0</v>
      </c>
      <c r="E30" s="3">
        <f>VLOOKUP(A30,'hora operarios'!$A$1:$F$29,6,FALSE)</f>
        <v>102.5</v>
      </c>
      <c r="F30" s="2">
        <f>VLOOKUP(G30,Tabulador!$B$27:$C$30,2,FALSE)</f>
        <v>2</v>
      </c>
      <c r="G30" s="2" t="str">
        <f>VLOOKUP(A30,'hora operarios'!$A$1:$F$29,3,FALSE)</f>
        <v>HOJALATERO</v>
      </c>
      <c r="H30" s="2">
        <f t="shared" si="0"/>
        <v>0</v>
      </c>
      <c r="I30" s="3">
        <f>IF(E30&gt;=Tabulador!$D$3,Operador!E30+Operador!H30,Operador!E30)</f>
        <v>102.5</v>
      </c>
      <c r="J30" s="4">
        <v>0</v>
      </c>
      <c r="K30" s="4">
        <v>0</v>
      </c>
      <c r="L30" s="4">
        <v>0</v>
      </c>
      <c r="M30" s="2">
        <f>VLOOKUP(F30,Tabulador!$A$3:$D$7,4,FALSE)</f>
        <v>12</v>
      </c>
      <c r="N30" s="3">
        <f>IFERROR(IF(I30&gt;M30,(I30-M30)*(VLOOKUP(B30,Tabulador!$A$11:$B$17,2,FALSE)),0),0)</f>
        <v>5925.9400000000005</v>
      </c>
      <c r="O30" s="2">
        <f>IFERROR(IF(E30&lt;=Tabulador!B46,0,IF(E30&lt;=Tabulador!C46,VLOOKUP(Operador!B30,Tabulador!$A$19:$G$24,3,FALSE),IF(E30&lt;=Tabulador!$D$19,VLOOKUP(B30,Tabulador!$A$19:$G$24,4,FALSE),IF(F30&lt;=Tabulador!$E$19,VLOOKUP(B30,Tabulador!$A$19:$G$24,5,FALSE),IF(F30&lt;=Tabulador!$F$19,VLOOKUP(B30,Tabulador!$A$19:$G$24,6,FALSE),IF(F30&lt;=Tabulador!$G$19,VLOOKUP(B30,Tabulador!$A$19:$G$24,7,FALSE),"?")))))),0)</f>
        <v>7.4279999999999999</v>
      </c>
      <c r="P30" s="2">
        <f t="shared" si="1"/>
        <v>0</v>
      </c>
      <c r="Q30" s="2">
        <f>VLOOKUP(F30,Tabulador!$A$3:$D$7,3,FALSE)</f>
        <v>550</v>
      </c>
      <c r="R30" s="3">
        <f t="shared" si="2"/>
        <v>6475.9400000000005</v>
      </c>
    </row>
    <row r="31" spans="1:18" x14ac:dyDescent="0.2">
      <c r="A31" s="2" t="e">
        <f>'hora operarios'!#REF!</f>
        <v>#REF!</v>
      </c>
      <c r="B31" s="2" t="e">
        <f>VLOOKUP(A31,'hora operarios'!$A$1:$F$29,4,FALSE)</f>
        <v>#REF!</v>
      </c>
      <c r="C31" s="2" t="e">
        <f>VLOOKUP(A31,'hora operarios'!A29:F57,2,FALSE)</f>
        <v>#REF!</v>
      </c>
      <c r="D31" s="2" t="str">
        <f>IFERROR(VLOOKUP(Operador!A31,'hora operarios'!$A$1:$F$30,5,FALSE),"")</f>
        <v/>
      </c>
      <c r="E31" s="3" t="e">
        <f>VLOOKUP(A31,'hora operarios'!$A$1:$F$29,6,FALSE)</f>
        <v>#REF!</v>
      </c>
      <c r="F31" s="2" t="e">
        <f>VLOOKUP(G31,Tabulador!$B$27:$C$30,2,FALSE)</f>
        <v>#REF!</v>
      </c>
      <c r="G31" s="2" t="e">
        <f>VLOOKUP(A31,'hora operarios'!$A$1:$F$29,3,FALSE)</f>
        <v>#REF!</v>
      </c>
      <c r="H31" s="2">
        <f t="shared" si="0"/>
        <v>0</v>
      </c>
      <c r="I31" s="3" t="e">
        <f>IF(E31&gt;=Tabulador!$D$3,Operador!E31+Operador!H31,Operador!E31)</f>
        <v>#REF!</v>
      </c>
      <c r="J31" s="4">
        <v>0</v>
      </c>
      <c r="K31" s="4">
        <v>0</v>
      </c>
      <c r="L31" s="4">
        <v>0</v>
      </c>
      <c r="M31" s="2" t="e">
        <f>VLOOKUP(F31,Tabulador!$A$3:$D$7,4,FALSE)</f>
        <v>#REF!</v>
      </c>
      <c r="N31" s="3">
        <f>IFERROR(IF(I31&gt;M31,(I31-M31)*(VLOOKUP(B31,Tabulador!$A$11:$B$17,2,FALSE)),0),0)</f>
        <v>0</v>
      </c>
      <c r="O31" s="2">
        <f>IFERROR(IF(E31&lt;=Tabulador!B47,0,IF(E31&lt;=Tabulador!C47,VLOOKUP(Operador!B31,Tabulador!$A$19:$G$24,3,FALSE),IF(E31&lt;=Tabulador!$D$19,VLOOKUP(B31,Tabulador!$A$19:$G$24,4,FALSE),IF(F31&lt;=Tabulador!$E$19,VLOOKUP(B31,Tabulador!$A$19:$G$24,5,FALSE),IF(F31&lt;=Tabulador!$F$19,VLOOKUP(B31,Tabulador!$A$19:$G$24,6,FALSE),IF(F31&lt;=Tabulador!$G$19,VLOOKUP(B31,Tabulador!$A$19:$G$24,7,FALSE),"?")))))),0)</f>
        <v>0</v>
      </c>
      <c r="P31" s="2">
        <f t="shared" si="1"/>
        <v>0</v>
      </c>
      <c r="Q31" s="2" t="e">
        <f>VLOOKUP(F31,Tabulador!$A$3:$D$7,3,FALSE)</f>
        <v>#REF!</v>
      </c>
      <c r="R31" s="3" t="e">
        <f t="shared" si="2"/>
        <v>#REF!</v>
      </c>
    </row>
    <row r="32" spans="1:18" x14ac:dyDescent="0.2">
      <c r="A32" s="2" t="str">
        <f>'hora operarios'!A29</f>
        <v>8</v>
      </c>
      <c r="B32" s="2" t="str">
        <f>VLOOKUP(A32,'hora operarios'!$A$1:$F$29,4,FALSE)</f>
        <v>AYUDANTE</v>
      </c>
      <c r="C32" s="2" t="str">
        <f>VLOOKUP(A32,'hora operarios'!A29:F58,2,FALSE)</f>
        <v>ERICK DE JESUS AMADOR ROQUE</v>
      </c>
      <c r="D32" s="2">
        <f>IFERROR(VLOOKUP(Operador!A32,'hora operarios'!$A$1:$F$30,5,FALSE),"")</f>
        <v>0</v>
      </c>
      <c r="E32" s="3">
        <f>VLOOKUP(A32,'hora operarios'!$A$1:$F$29,6,FALSE)</f>
        <v>27.565783798921792</v>
      </c>
      <c r="F32" s="2">
        <f>VLOOKUP(G32,Tabulador!$B$27:$C$30,2,FALSE)</f>
        <v>4</v>
      </c>
      <c r="G32" s="2" t="str">
        <f>VLOOKUP(A32,'hora operarios'!$A$1:$F$29,3,FALSE)</f>
        <v>AYUDANTE</v>
      </c>
      <c r="H32" s="2">
        <f t="shared" si="0"/>
        <v>0</v>
      </c>
      <c r="I32" s="3">
        <f>IF(E32&gt;=Tabulador!$D$3,Operador!E32+Operador!H32,Operador!E32)</f>
        <v>27.565783798921792</v>
      </c>
      <c r="J32" s="4">
        <v>0</v>
      </c>
      <c r="K32" s="4">
        <v>0</v>
      </c>
      <c r="L32" s="4">
        <v>0</v>
      </c>
      <c r="M32" s="2">
        <f>VLOOKUP(F32,Tabulador!$A$3:$D$7,4,FALSE)</f>
        <v>0</v>
      </c>
      <c r="N32" s="3">
        <f>IFERROR(IF(I32&gt;M32,(I32-M32)*(VLOOKUP(B32,Tabulador!$A$11:$B$17,2,FALSE)),0),0)</f>
        <v>275.65783798921791</v>
      </c>
      <c r="O32" s="2">
        <f>IFERROR(IF(E32&lt;=Tabulador!B48,0,IF(E32&lt;=Tabulador!C48,VLOOKUP(Operador!B32,Tabulador!$A$19:$G$24,3,FALSE),IF(E32&lt;=Tabulador!$D$19,VLOOKUP(B32,Tabulador!$A$19:$G$24,4,FALSE),IF(F32&lt;=Tabulador!$E$19,VLOOKUP(B32,Tabulador!$A$19:$G$24,5,FALSE),IF(F32&lt;=Tabulador!$F$19,VLOOKUP(B32,Tabulador!$A$19:$G$24,6,FALSE),IF(F32&lt;=Tabulador!$G$19,VLOOKUP(B32,Tabulador!$A$19:$G$24,7,FALSE),"?")))))),0)</f>
        <v>0</v>
      </c>
      <c r="P32" s="2">
        <f t="shared" si="1"/>
        <v>0</v>
      </c>
      <c r="Q32" s="2">
        <f>VLOOKUP(F32,Tabulador!$A$3:$D$7,3,FALSE)</f>
        <v>543.20000000000005</v>
      </c>
      <c r="R32" s="3">
        <f t="shared" si="2"/>
        <v>818.85783798921796</v>
      </c>
    </row>
    <row r="33" spans="14:14" x14ac:dyDescent="0.2">
      <c r="N33" s="3"/>
    </row>
    <row r="34" spans="14:14" x14ac:dyDescent="0.2">
      <c r="N34" s="3"/>
    </row>
    <row r="35" spans="14:14" x14ac:dyDescent="0.2">
      <c r="N35" s="3"/>
    </row>
    <row r="36" spans="14:14" x14ac:dyDescent="0.2">
      <c r="N36" s="3"/>
    </row>
    <row r="37" spans="14:14" x14ac:dyDescent="0.2">
      <c r="N37" s="3"/>
    </row>
    <row r="38" spans="14:14" x14ac:dyDescent="0.2">
      <c r="N38" s="3"/>
    </row>
    <row r="39" spans="14:14" x14ac:dyDescent="0.2">
      <c r="N39" s="3"/>
    </row>
  </sheetData>
  <sheetProtection password="DF6A" sheet="1"/>
  <conditionalFormatting sqref="J3:L1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1:L14 M2:R2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32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B14" sqref="B14"/>
    </sheetView>
  </sheetViews>
  <sheetFormatPr baseColWidth="10" defaultRowHeight="12.75" x14ac:dyDescent="0.2"/>
  <sheetData>
    <row r="1" spans="1:4" x14ac:dyDescent="0.2">
      <c r="A1" s="10" t="s">
        <v>25</v>
      </c>
      <c r="B1" s="10"/>
      <c r="C1" s="10"/>
      <c r="D1" s="10"/>
    </row>
    <row r="2" spans="1:4" x14ac:dyDescent="0.2">
      <c r="A2" t="s">
        <v>53</v>
      </c>
      <c r="B2" s="1" t="s">
        <v>43</v>
      </c>
      <c r="C2" s="1" t="s">
        <v>44</v>
      </c>
      <c r="D2" s="1" t="s">
        <v>45</v>
      </c>
    </row>
    <row r="3" spans="1:4" x14ac:dyDescent="0.2">
      <c r="A3">
        <v>1</v>
      </c>
      <c r="B3" t="s">
        <v>38</v>
      </c>
      <c r="C3" s="4">
        <v>608.16</v>
      </c>
      <c r="D3" s="4">
        <v>10</v>
      </c>
    </row>
    <row r="4" spans="1:4" x14ac:dyDescent="0.2">
      <c r="A4">
        <v>2</v>
      </c>
      <c r="B4" t="s">
        <v>39</v>
      </c>
      <c r="C4" s="4">
        <v>550</v>
      </c>
      <c r="D4" s="4">
        <v>12</v>
      </c>
    </row>
    <row r="5" spans="1:4" x14ac:dyDescent="0.2">
      <c r="A5">
        <v>3</v>
      </c>
      <c r="B5" t="s">
        <v>40</v>
      </c>
      <c r="C5" s="4">
        <v>471.77</v>
      </c>
      <c r="D5" s="4">
        <v>12</v>
      </c>
    </row>
    <row r="6" spans="1:4" x14ac:dyDescent="0.2">
      <c r="A6">
        <v>4</v>
      </c>
      <c r="B6" t="s">
        <v>41</v>
      </c>
      <c r="C6" s="4">
        <v>543.20000000000005</v>
      </c>
      <c r="D6" s="4">
        <v>0</v>
      </c>
    </row>
    <row r="7" spans="1:4" x14ac:dyDescent="0.2">
      <c r="A7">
        <v>5</v>
      </c>
      <c r="B7" t="s">
        <v>42</v>
      </c>
      <c r="C7" s="4">
        <v>495.98</v>
      </c>
      <c r="D7" s="4">
        <v>0</v>
      </c>
    </row>
    <row r="9" spans="1:4" x14ac:dyDescent="0.2">
      <c r="A9" s="10" t="s">
        <v>46</v>
      </c>
      <c r="B9" s="10"/>
      <c r="C9" s="10"/>
    </row>
    <row r="10" spans="1:4" x14ac:dyDescent="0.2">
      <c r="A10" s="1" t="s">
        <v>47</v>
      </c>
      <c r="B10" s="1" t="s">
        <v>44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61</v>
      </c>
      <c r="B17" s="4">
        <v>10</v>
      </c>
    </row>
    <row r="18" spans="1:7" x14ac:dyDescent="0.2">
      <c r="A18" s="10" t="s">
        <v>48</v>
      </c>
      <c r="B18" s="10"/>
      <c r="C18" s="10"/>
      <c r="D18" s="10"/>
      <c r="E18" s="10"/>
      <c r="F18" s="10"/>
      <c r="G18" s="10"/>
    </row>
    <row r="19" spans="1:7" x14ac:dyDescent="0.2">
      <c r="A19" s="1" t="s">
        <v>47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0" t="s">
        <v>52</v>
      </c>
      <c r="B26" s="10"/>
    </row>
    <row r="27" spans="1:7" x14ac:dyDescent="0.2">
      <c r="A27">
        <v>1</v>
      </c>
      <c r="B27" t="s">
        <v>59</v>
      </c>
      <c r="C27">
        <v>1</v>
      </c>
    </row>
    <row r="28" spans="1:7" x14ac:dyDescent="0.2">
      <c r="A28">
        <v>2</v>
      </c>
      <c r="B28" t="s">
        <v>73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61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1"/>
  <sheetViews>
    <sheetView zoomScale="85" workbookViewId="0">
      <selection activeCell="F48" sqref="F48:F49"/>
    </sheetView>
  </sheetViews>
  <sheetFormatPr baseColWidth="10" defaultRowHeight="12.75" x14ac:dyDescent="0.2"/>
  <cols>
    <col min="1" max="1" width="11.42578125" style="7"/>
    <col min="2" max="2" width="39.28515625" style="7" customWidth="1"/>
    <col min="3" max="5" width="11.42578125" style="7"/>
    <col min="6" max="6" width="11.42578125" style="9"/>
    <col min="7" max="7" width="12.28515625" style="7" bestFit="1" customWidth="1"/>
    <col min="8" max="16384" width="11.42578125" style="7"/>
  </cols>
  <sheetData>
    <row r="1" spans="1:6" ht="12.75" customHeight="1" x14ac:dyDescent="0.2">
      <c r="A1" s="6" t="s">
        <v>78</v>
      </c>
      <c r="B1" s="6" t="s">
        <v>27</v>
      </c>
      <c r="C1" s="6" t="s">
        <v>59</v>
      </c>
      <c r="D1" s="6" t="s">
        <v>5</v>
      </c>
      <c r="E1" s="6" t="s">
        <v>67</v>
      </c>
      <c r="F1" s="11">
        <v>31.453600784148989</v>
      </c>
    </row>
    <row r="2" spans="1:6" ht="12.75" customHeight="1" x14ac:dyDescent="0.2">
      <c r="A2" s="6" t="s">
        <v>60</v>
      </c>
      <c r="B2" s="6" t="s">
        <v>15</v>
      </c>
      <c r="C2" s="6" t="s">
        <v>61</v>
      </c>
      <c r="D2" s="6" t="s">
        <v>61</v>
      </c>
      <c r="E2" s="6"/>
      <c r="F2" s="11">
        <v>28.972080095218089</v>
      </c>
    </row>
    <row r="3" spans="1:6" ht="12.75" customHeight="1" x14ac:dyDescent="0.2">
      <c r="A3" s="6" t="s">
        <v>62</v>
      </c>
      <c r="B3" s="6" t="s">
        <v>28</v>
      </c>
      <c r="C3" s="6" t="s">
        <v>59</v>
      </c>
      <c r="D3" s="6" t="s">
        <v>6</v>
      </c>
      <c r="E3" s="6"/>
      <c r="F3" s="11">
        <v>36.97</v>
      </c>
    </row>
    <row r="4" spans="1:6" ht="12.75" customHeight="1" x14ac:dyDescent="0.2">
      <c r="A4" s="6" t="s">
        <v>63</v>
      </c>
      <c r="B4" s="6" t="s">
        <v>26</v>
      </c>
      <c r="C4" s="6" t="s">
        <v>61</v>
      </c>
      <c r="D4" s="6" t="s">
        <v>61</v>
      </c>
      <c r="E4" s="6"/>
      <c r="F4" s="11">
        <v>39.479533011272139</v>
      </c>
    </row>
    <row r="5" spans="1:6" ht="12.75" customHeight="1" x14ac:dyDescent="0.2">
      <c r="A5" s="6" t="s">
        <v>79</v>
      </c>
      <c r="B5" s="6" t="s">
        <v>10</v>
      </c>
      <c r="C5" s="6" t="s">
        <v>59</v>
      </c>
      <c r="D5" s="6" t="s">
        <v>6</v>
      </c>
      <c r="E5" s="6" t="s">
        <v>68</v>
      </c>
      <c r="F5" s="11">
        <v>21.799856472729818</v>
      </c>
    </row>
    <row r="6" spans="1:6" ht="12.75" customHeight="1" x14ac:dyDescent="0.2">
      <c r="A6" s="6" t="s">
        <v>80</v>
      </c>
      <c r="B6" s="6" t="s">
        <v>16</v>
      </c>
      <c r="C6" s="6" t="s">
        <v>59</v>
      </c>
      <c r="D6" s="6" t="s">
        <v>5</v>
      </c>
      <c r="E6" s="6" t="s">
        <v>63</v>
      </c>
      <c r="F6" s="11">
        <v>17.273380942379053</v>
      </c>
    </row>
    <row r="7" spans="1:6" ht="12.75" customHeight="1" x14ac:dyDescent="0.2">
      <c r="A7" s="6" t="s">
        <v>64</v>
      </c>
      <c r="B7" s="6" t="s">
        <v>29</v>
      </c>
      <c r="C7" s="6" t="s">
        <v>61</v>
      </c>
      <c r="D7" s="6" t="s">
        <v>61</v>
      </c>
      <c r="E7" s="6"/>
      <c r="F7" s="11">
        <v>46.292194917034237</v>
      </c>
    </row>
    <row r="8" spans="1:6" ht="12.75" customHeight="1" x14ac:dyDescent="0.2">
      <c r="A8" s="6" t="s">
        <v>81</v>
      </c>
      <c r="B8" s="6" t="s">
        <v>11</v>
      </c>
      <c r="C8" s="6" t="s">
        <v>59</v>
      </c>
      <c r="D8" s="6" t="s">
        <v>6</v>
      </c>
      <c r="E8" s="6" t="s">
        <v>65</v>
      </c>
      <c r="F8" s="11">
        <v>33.541625708884688</v>
      </c>
    </row>
    <row r="9" spans="1:6" ht="12.75" customHeight="1" x14ac:dyDescent="0.2">
      <c r="A9" s="6" t="s">
        <v>65</v>
      </c>
      <c r="B9" s="6" t="s">
        <v>30</v>
      </c>
      <c r="C9" s="6" t="s">
        <v>61</v>
      </c>
      <c r="D9" s="6" t="s">
        <v>61</v>
      </c>
      <c r="E9" s="6"/>
      <c r="F9" s="11">
        <v>125.29776797591542</v>
      </c>
    </row>
    <row r="10" spans="1:6" ht="12.75" customHeight="1" x14ac:dyDescent="0.2">
      <c r="A10" s="6" t="s">
        <v>82</v>
      </c>
      <c r="B10" s="6" t="s">
        <v>17</v>
      </c>
      <c r="C10" s="6" t="s">
        <v>59</v>
      </c>
      <c r="D10" s="6" t="s">
        <v>4</v>
      </c>
      <c r="E10" s="6" t="s">
        <v>60</v>
      </c>
      <c r="F10" s="11">
        <v>27.960719036616954</v>
      </c>
    </row>
    <row r="11" spans="1:6" ht="12.75" customHeight="1" x14ac:dyDescent="0.2">
      <c r="A11" s="6" t="s">
        <v>83</v>
      </c>
      <c r="B11" s="6" t="s">
        <v>31</v>
      </c>
      <c r="C11" s="6" t="s">
        <v>59</v>
      </c>
      <c r="D11" s="6" t="s">
        <v>4</v>
      </c>
      <c r="E11" s="6" t="s">
        <v>64</v>
      </c>
      <c r="F11" s="11">
        <v>14.029258559126234</v>
      </c>
    </row>
    <row r="12" spans="1:6" ht="12.75" customHeight="1" x14ac:dyDescent="0.2">
      <c r="A12" s="6" t="s">
        <v>70</v>
      </c>
      <c r="B12" s="6" t="s">
        <v>8</v>
      </c>
      <c r="C12" s="6" t="s">
        <v>22</v>
      </c>
      <c r="D12" s="6" t="s">
        <v>6</v>
      </c>
      <c r="E12" s="6"/>
      <c r="F12" s="11">
        <v>107</v>
      </c>
    </row>
    <row r="13" spans="1:6" ht="12.75" customHeight="1" x14ac:dyDescent="0.2">
      <c r="A13" s="6" t="s">
        <v>84</v>
      </c>
      <c r="B13" s="6" t="s">
        <v>18</v>
      </c>
      <c r="C13" s="6" t="s">
        <v>59</v>
      </c>
      <c r="D13" s="6" t="s">
        <v>5</v>
      </c>
      <c r="E13" s="6" t="s">
        <v>62</v>
      </c>
      <c r="F13" s="11">
        <v>13</v>
      </c>
    </row>
    <row r="14" spans="1:6" ht="12.75" customHeight="1" x14ac:dyDescent="0.2">
      <c r="A14" s="6" t="s">
        <v>85</v>
      </c>
      <c r="B14" s="6" t="s">
        <v>32</v>
      </c>
      <c r="C14" s="6" t="s">
        <v>59</v>
      </c>
      <c r="D14" s="6" t="s">
        <v>6</v>
      </c>
      <c r="E14" s="6" t="s">
        <v>69</v>
      </c>
      <c r="F14" s="11">
        <v>27.505943429251559</v>
      </c>
    </row>
    <row r="15" spans="1:6" ht="12.75" customHeight="1" x14ac:dyDescent="0.2">
      <c r="A15" s="6" t="s">
        <v>86</v>
      </c>
      <c r="B15" s="6" t="s">
        <v>9</v>
      </c>
      <c r="C15" s="6" t="s">
        <v>59</v>
      </c>
      <c r="D15" s="6" t="s">
        <v>6</v>
      </c>
      <c r="E15" s="6" t="s">
        <v>66</v>
      </c>
      <c r="F15" s="11">
        <v>48.625167681859558</v>
      </c>
    </row>
    <row r="16" spans="1:6" ht="12.75" customHeight="1" x14ac:dyDescent="0.2">
      <c r="A16" s="6" t="s">
        <v>66</v>
      </c>
      <c r="B16" s="6" t="s">
        <v>95</v>
      </c>
      <c r="C16" s="6" t="s">
        <v>61</v>
      </c>
      <c r="D16" s="6" t="s">
        <v>61</v>
      </c>
      <c r="E16" s="6"/>
      <c r="F16" s="11">
        <v>0.9</v>
      </c>
    </row>
    <row r="17" spans="1:6" ht="12.75" customHeight="1" x14ac:dyDescent="0.2">
      <c r="A17" s="6" t="s">
        <v>96</v>
      </c>
      <c r="B17" s="6" t="s">
        <v>97</v>
      </c>
      <c r="C17" s="6" t="s">
        <v>73</v>
      </c>
      <c r="D17" s="6" t="s">
        <v>6</v>
      </c>
      <c r="E17" s="6"/>
      <c r="F17" s="11">
        <v>33</v>
      </c>
    </row>
    <row r="18" spans="1:6" ht="12.75" customHeight="1" x14ac:dyDescent="0.2">
      <c r="A18" s="6" t="s">
        <v>89</v>
      </c>
      <c r="B18" s="6" t="s">
        <v>90</v>
      </c>
      <c r="C18" s="6" t="s">
        <v>73</v>
      </c>
      <c r="D18" s="6" t="s">
        <v>4</v>
      </c>
      <c r="E18" s="6"/>
      <c r="F18" s="11">
        <v>58.4</v>
      </c>
    </row>
    <row r="19" spans="1:6" ht="12.75" customHeight="1" x14ac:dyDescent="0.2">
      <c r="A19" s="6" t="s">
        <v>71</v>
      </c>
      <c r="B19" s="6" t="s">
        <v>33</v>
      </c>
      <c r="C19" s="6" t="s">
        <v>73</v>
      </c>
      <c r="D19" s="6" t="s">
        <v>6</v>
      </c>
      <c r="E19" s="6"/>
      <c r="F19" s="11">
        <v>34.5</v>
      </c>
    </row>
    <row r="20" spans="1:6" ht="12.75" customHeight="1" x14ac:dyDescent="0.2">
      <c r="A20" s="6" t="s">
        <v>98</v>
      </c>
      <c r="B20" s="6" t="s">
        <v>99</v>
      </c>
      <c r="C20" s="6" t="s">
        <v>73</v>
      </c>
      <c r="D20" s="6" t="s">
        <v>4</v>
      </c>
      <c r="E20" s="6"/>
      <c r="F20" s="11">
        <v>16.62</v>
      </c>
    </row>
    <row r="21" spans="1:6" ht="12.75" customHeight="1" x14ac:dyDescent="0.2">
      <c r="A21" s="6" t="s">
        <v>72</v>
      </c>
      <c r="B21" s="6" t="s">
        <v>24</v>
      </c>
      <c r="C21" s="6" t="s">
        <v>73</v>
      </c>
      <c r="D21" s="6" t="s">
        <v>4</v>
      </c>
      <c r="E21" s="6"/>
      <c r="F21" s="11">
        <v>57</v>
      </c>
    </row>
    <row r="22" spans="1:6" ht="12.75" customHeight="1" x14ac:dyDescent="0.2">
      <c r="A22" s="6" t="s">
        <v>93</v>
      </c>
      <c r="B22" s="6" t="s">
        <v>94</v>
      </c>
      <c r="C22" s="6" t="s">
        <v>73</v>
      </c>
      <c r="D22" s="6" t="s">
        <v>5</v>
      </c>
      <c r="E22" s="6"/>
      <c r="F22" s="11">
        <v>50.39</v>
      </c>
    </row>
    <row r="23" spans="1:6" ht="12.75" customHeight="1" x14ac:dyDescent="0.2">
      <c r="A23" s="6" t="s">
        <v>74</v>
      </c>
      <c r="B23" s="6" t="s">
        <v>88</v>
      </c>
      <c r="C23" s="6" t="s">
        <v>73</v>
      </c>
      <c r="D23" s="6" t="s">
        <v>4</v>
      </c>
      <c r="E23" s="6"/>
      <c r="F23" s="11">
        <v>52</v>
      </c>
    </row>
    <row r="24" spans="1:6" ht="12.75" customHeight="1" x14ac:dyDescent="0.2">
      <c r="A24" s="6" t="s">
        <v>75</v>
      </c>
      <c r="B24" s="6" t="s">
        <v>34</v>
      </c>
      <c r="C24" s="6" t="s">
        <v>73</v>
      </c>
      <c r="D24" s="6" t="s">
        <v>4</v>
      </c>
      <c r="E24" s="6"/>
      <c r="F24" s="11">
        <v>18</v>
      </c>
    </row>
    <row r="25" spans="1:6" ht="12.75" customHeight="1" x14ac:dyDescent="0.2">
      <c r="A25" s="6" t="s">
        <v>91</v>
      </c>
      <c r="B25" s="6" t="s">
        <v>92</v>
      </c>
      <c r="C25" s="6" t="s">
        <v>73</v>
      </c>
      <c r="D25" s="6" t="s">
        <v>4</v>
      </c>
      <c r="E25" s="6"/>
      <c r="F25" s="11">
        <v>32.46</v>
      </c>
    </row>
    <row r="26" spans="1:6" ht="12.75" customHeight="1" x14ac:dyDescent="0.2">
      <c r="A26" s="6" t="s">
        <v>67</v>
      </c>
      <c r="B26" s="6" t="s">
        <v>19</v>
      </c>
      <c r="C26" s="6" t="s">
        <v>59</v>
      </c>
      <c r="D26" s="6" t="s">
        <v>6</v>
      </c>
      <c r="E26" s="6"/>
      <c r="F26" s="11">
        <v>16.656927816285094</v>
      </c>
    </row>
    <row r="27" spans="1:6" ht="12.75" customHeight="1" x14ac:dyDescent="0.2">
      <c r="A27" s="6" t="s">
        <v>76</v>
      </c>
      <c r="B27" s="6" t="s">
        <v>35</v>
      </c>
      <c r="C27" s="6" t="s">
        <v>73</v>
      </c>
      <c r="D27" s="6" t="s">
        <v>4</v>
      </c>
      <c r="E27" s="6"/>
      <c r="F27" s="11">
        <v>28.8</v>
      </c>
    </row>
    <row r="28" spans="1:6" ht="12.75" customHeight="1" x14ac:dyDescent="0.2">
      <c r="A28" s="6" t="s">
        <v>77</v>
      </c>
      <c r="B28" s="6" t="s">
        <v>36</v>
      </c>
      <c r="C28" s="6" t="s">
        <v>73</v>
      </c>
      <c r="D28" s="6" t="s">
        <v>4</v>
      </c>
      <c r="E28" s="6"/>
      <c r="F28" s="11">
        <v>102.5</v>
      </c>
    </row>
    <row r="29" spans="1:6" ht="12.75" customHeight="1" x14ac:dyDescent="0.2">
      <c r="A29" s="6" t="s">
        <v>68</v>
      </c>
      <c r="B29" s="6" t="s">
        <v>23</v>
      </c>
      <c r="C29" s="6" t="s">
        <v>61</v>
      </c>
      <c r="D29" s="6" t="s">
        <v>61</v>
      </c>
      <c r="E29" s="6"/>
      <c r="F29" s="11">
        <v>27.565783798921792</v>
      </c>
    </row>
    <row r="30" spans="1:6" ht="12.75" customHeight="1" x14ac:dyDescent="0.2">
      <c r="A30" s="6" t="s">
        <v>69</v>
      </c>
      <c r="B30" s="6" t="s">
        <v>37</v>
      </c>
      <c r="C30" s="6" t="s">
        <v>61</v>
      </c>
      <c r="D30" s="6" t="s">
        <v>61</v>
      </c>
      <c r="E30" s="6"/>
      <c r="F30" s="11">
        <v>84.400534901631318</v>
      </c>
    </row>
    <row r="31" spans="1:6" x14ac:dyDescent="0.2">
      <c r="A31" s="6"/>
      <c r="B31" s="6"/>
      <c r="C31" s="6"/>
      <c r="D31" s="6"/>
      <c r="E31" s="6"/>
      <c r="F31" s="8">
        <f>SUM(F1:F30)</f>
        <v>1232.394375131275</v>
      </c>
    </row>
  </sheetData>
  <phoneticPr fontId="0" type="noConversion"/>
  <pageMargins left="0.75" right="0.75" top="1" bottom="1" header="0" footer="0"/>
  <pageSetup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2015-03-11T18:35:40Z</cp:lastPrinted>
  <dcterms:created xsi:type="dcterms:W3CDTF">2008-02-06T15:11:01Z</dcterms:created>
  <dcterms:modified xsi:type="dcterms:W3CDTF">2015-03-25T20:02:31Z</dcterms:modified>
</cp:coreProperties>
</file>