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365" tabRatio="699" activeTab="11"/>
  </bookViews>
  <sheets>
    <sheet name="ENERO" sheetId="1" r:id="rId1"/>
    <sheet name="FEBRERO " sheetId="3" r:id="rId2"/>
    <sheet name="MARZO 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1" r:id="rId9"/>
    <sheet name="OCTUBRE" sheetId="12" r:id="rId10"/>
    <sheet name="NOVIEMBRE" sheetId="13" r:id="rId11"/>
    <sheet name="DICIEMBRE" sheetId="14" r:id="rId12"/>
    <sheet name="Hoja2" sheetId="16" r:id="rId13"/>
  </sheets>
  <externalReferences>
    <externalReference r:id="rId14"/>
  </externalReferences>
  <definedNames>
    <definedName name="_xlnm._FilterDatabase" localSheetId="3" hidden="1">ABRIL!$A$10:$I$374</definedName>
    <definedName name="_xlnm._FilterDatabase" localSheetId="7" hidden="1">AGOSTO!$A$8:$I$322</definedName>
    <definedName name="_xlnm._FilterDatabase" localSheetId="11" hidden="1">DICIEMBRE!$A$6:$I$508</definedName>
    <definedName name="_xlnm._FilterDatabase" localSheetId="0" hidden="1">ENERO!$A$9:$I$357</definedName>
    <definedName name="_xlnm._FilterDatabase" localSheetId="1" hidden="1">'FEBRERO '!$A$9:$I$387</definedName>
    <definedName name="_xlnm._FilterDatabase" localSheetId="6" hidden="1">JULIO!$A$10:$I$395</definedName>
    <definedName name="_xlnm._FilterDatabase" localSheetId="5" hidden="1">JUNIO!$A$10:$I$301</definedName>
    <definedName name="_xlnm._FilterDatabase" localSheetId="2" hidden="1">'MARZO '!$A$9:$I$363</definedName>
    <definedName name="_xlnm._FilterDatabase" localSheetId="4" hidden="1">MAYO!$A$10:$I$307</definedName>
    <definedName name="_xlnm._FilterDatabase" localSheetId="10" hidden="1">NOVIEMBRE!$A$6:$I$441</definedName>
    <definedName name="_xlnm._FilterDatabase" localSheetId="9" hidden="1">OCTUBRE!$A$7:$I$399</definedName>
    <definedName name="_xlnm._FilterDatabase" localSheetId="8" hidden="1">SEPTIEMBRE!$A$7:$I$382</definedName>
  </definedNames>
  <calcPr calcId="125725"/>
</workbook>
</file>

<file path=xl/calcChain.xml><?xml version="1.0" encoding="utf-8"?>
<calcChain xmlns="http://schemas.openxmlformats.org/spreadsheetml/2006/main">
  <c r="K480" i="13"/>
  <c r="O16" i="16"/>
  <c r="O15"/>
  <c r="C15"/>
  <c r="O14"/>
  <c r="N17"/>
  <c r="J454" i="6"/>
  <c r="J456"/>
  <c r="P9" i="16"/>
  <c r="O9"/>
  <c r="D16"/>
  <c r="E16"/>
  <c r="F16"/>
  <c r="H16"/>
  <c r="I16"/>
  <c r="J16"/>
  <c r="K16"/>
  <c r="L16"/>
  <c r="M16"/>
  <c r="N16"/>
  <c r="D15"/>
  <c r="E15"/>
  <c r="F15"/>
  <c r="G15"/>
  <c r="G16" s="1"/>
  <c r="H15"/>
  <c r="I15"/>
  <c r="J15"/>
  <c r="K15"/>
  <c r="L15"/>
  <c r="M15"/>
  <c r="N15"/>
  <c r="C16"/>
  <c r="N9"/>
  <c r="N12"/>
  <c r="M12"/>
  <c r="M9"/>
  <c r="L9"/>
  <c r="L10" s="1"/>
  <c r="L12"/>
  <c r="K12"/>
  <c r="K9"/>
  <c r="J12"/>
  <c r="I9"/>
  <c r="I12"/>
  <c r="N14"/>
  <c r="M13"/>
  <c r="L13"/>
  <c r="H13"/>
  <c r="H9"/>
  <c r="H12"/>
  <c r="G12"/>
  <c r="F9"/>
  <c r="F13"/>
  <c r="F10"/>
  <c r="G10"/>
  <c r="H10"/>
  <c r="I10"/>
  <c r="J10"/>
  <c r="K10"/>
  <c r="M10"/>
  <c r="N10"/>
  <c r="F12"/>
  <c r="D14"/>
  <c r="E14"/>
  <c r="F14"/>
  <c r="G14"/>
  <c r="H14"/>
  <c r="I14"/>
  <c r="J14"/>
  <c r="K14"/>
  <c r="L14"/>
  <c r="M14"/>
  <c r="E9"/>
  <c r="E10"/>
  <c r="D10"/>
  <c r="E12"/>
  <c r="E13"/>
  <c r="D13"/>
  <c r="D12"/>
  <c r="C13"/>
  <c r="C10"/>
  <c r="C14"/>
  <c r="C9"/>
  <c r="C12"/>
  <c r="O8" l="1"/>
  <c r="O7"/>
  <c r="J728" i="14"/>
  <c r="J468" i="12"/>
  <c r="J726" i="14"/>
  <c r="J727"/>
  <c r="J619" i="13"/>
  <c r="J618"/>
  <c r="J617"/>
  <c r="J512"/>
  <c r="J573" i="12"/>
  <c r="J575" s="1"/>
  <c r="J574"/>
  <c r="I495"/>
  <c r="J565" i="11"/>
  <c r="J564"/>
  <c r="J566" s="1"/>
  <c r="J498" i="9"/>
  <c r="J497"/>
  <c r="J496"/>
  <c r="J434"/>
  <c r="J550" i="8"/>
  <c r="J552" s="1"/>
  <c r="J440" i="7"/>
  <c r="J439"/>
  <c r="J438"/>
  <c r="J455" i="6"/>
  <c r="J528" i="5"/>
  <c r="J527"/>
  <c r="J526"/>
  <c r="J527" i="4"/>
  <c r="J526"/>
  <c r="J528" s="1"/>
  <c r="J566" i="3"/>
  <c r="J565"/>
  <c r="J564"/>
  <c r="J470"/>
  <c r="J528" i="1"/>
  <c r="J378"/>
  <c r="J527"/>
  <c r="J529" s="1"/>
  <c r="O11" i="16" l="1"/>
  <c r="I448" i="13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3"/>
  <c r="H613" s="1"/>
  <c r="I614"/>
  <c r="H614" s="1"/>
  <c r="I516" i="14"/>
  <c r="I517"/>
  <c r="I727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3"/>
  <c r="H613" s="1"/>
  <c r="I614"/>
  <c r="H614" s="1"/>
  <c r="I615"/>
  <c r="H615" s="1"/>
  <c r="I616"/>
  <c r="H616" s="1"/>
  <c r="I617"/>
  <c r="H617" s="1"/>
  <c r="I618"/>
  <c r="H618" s="1"/>
  <c r="I619"/>
  <c r="H619" s="1"/>
  <c r="I620"/>
  <c r="H620" s="1"/>
  <c r="I621"/>
  <c r="H621" s="1"/>
  <c r="I622"/>
  <c r="H622" s="1"/>
  <c r="I623"/>
  <c r="H623" s="1"/>
  <c r="I624"/>
  <c r="H624" s="1"/>
  <c r="I625"/>
  <c r="H625" s="1"/>
  <c r="I626"/>
  <c r="H626" s="1"/>
  <c r="I627"/>
  <c r="H627" s="1"/>
  <c r="I628"/>
  <c r="H628" s="1"/>
  <c r="I629"/>
  <c r="H629" s="1"/>
  <c r="I630"/>
  <c r="H630" s="1"/>
  <c r="I631"/>
  <c r="H631" s="1"/>
  <c r="I632"/>
  <c r="H632" s="1"/>
  <c r="I633"/>
  <c r="H633" s="1"/>
  <c r="I634"/>
  <c r="H634" s="1"/>
  <c r="I635"/>
  <c r="H635" s="1"/>
  <c r="I636"/>
  <c r="H636" s="1"/>
  <c r="I637"/>
  <c r="H637" s="1"/>
  <c r="I638"/>
  <c r="H638" s="1"/>
  <c r="I639"/>
  <c r="H639" s="1"/>
  <c r="I640"/>
  <c r="H640" s="1"/>
  <c r="I641"/>
  <c r="H641" s="1"/>
  <c r="I642"/>
  <c r="H642" s="1"/>
  <c r="I643"/>
  <c r="H643" s="1"/>
  <c r="I644"/>
  <c r="H644" s="1"/>
  <c r="I645"/>
  <c r="H645" s="1"/>
  <c r="I646"/>
  <c r="H646" s="1"/>
  <c r="I647"/>
  <c r="H647" s="1"/>
  <c r="I648"/>
  <c r="H648" s="1"/>
  <c r="I649"/>
  <c r="H649" s="1"/>
  <c r="I650"/>
  <c r="H650" s="1"/>
  <c r="I651"/>
  <c r="H651" s="1"/>
  <c r="I652"/>
  <c r="H652" s="1"/>
  <c r="I653"/>
  <c r="H653" s="1"/>
  <c r="I654"/>
  <c r="H654" s="1"/>
  <c r="I655"/>
  <c r="H655" s="1"/>
  <c r="I656"/>
  <c r="H656" s="1"/>
  <c r="I657"/>
  <c r="H657" s="1"/>
  <c r="I658"/>
  <c r="H658" s="1"/>
  <c r="I659"/>
  <c r="H659" s="1"/>
  <c r="I660"/>
  <c r="H660" s="1"/>
  <c r="I661"/>
  <c r="H661" s="1"/>
  <c r="I662"/>
  <c r="H662" s="1"/>
  <c r="I663"/>
  <c r="H663" s="1"/>
  <c r="I664"/>
  <c r="H664" s="1"/>
  <c r="I665"/>
  <c r="H665" s="1"/>
  <c r="I666"/>
  <c r="H666" s="1"/>
  <c r="I667"/>
  <c r="H667" s="1"/>
  <c r="I668"/>
  <c r="H668" s="1"/>
  <c r="I669"/>
  <c r="H669" s="1"/>
  <c r="I670"/>
  <c r="H670" s="1"/>
  <c r="I671"/>
  <c r="H671" s="1"/>
  <c r="I672"/>
  <c r="H672" s="1"/>
  <c r="I673"/>
  <c r="H673" s="1"/>
  <c r="I674"/>
  <c r="H674" s="1"/>
  <c r="I675"/>
  <c r="H675" s="1"/>
  <c r="I676"/>
  <c r="H676" s="1"/>
  <c r="I677"/>
  <c r="H677" s="1"/>
  <c r="I678"/>
  <c r="H678" s="1"/>
  <c r="I679"/>
  <c r="H679" s="1"/>
  <c r="I680"/>
  <c r="H680" s="1"/>
  <c r="I681"/>
  <c r="H681" s="1"/>
  <c r="I682"/>
  <c r="H682" s="1"/>
  <c r="I683"/>
  <c r="H683" s="1"/>
  <c r="I684"/>
  <c r="H684" s="1"/>
  <c r="I685"/>
  <c r="H685" s="1"/>
  <c r="I686"/>
  <c r="H686" s="1"/>
  <c r="I687"/>
  <c r="H687" s="1"/>
  <c r="I688"/>
  <c r="H688" s="1"/>
  <c r="I689"/>
  <c r="H689" s="1"/>
  <c r="I690"/>
  <c r="H690" s="1"/>
  <c r="I691"/>
  <c r="H691" s="1"/>
  <c r="I692"/>
  <c r="H692" s="1"/>
  <c r="I693"/>
  <c r="H693" s="1"/>
  <c r="I694"/>
  <c r="H694" s="1"/>
  <c r="I695"/>
  <c r="H695" s="1"/>
  <c r="I696"/>
  <c r="H696" s="1"/>
  <c r="I697"/>
  <c r="H697" s="1"/>
  <c r="I698"/>
  <c r="H698" s="1"/>
  <c r="I699"/>
  <c r="H699" s="1"/>
  <c r="I700"/>
  <c r="H700" s="1"/>
  <c r="I701"/>
  <c r="H701" s="1"/>
  <c r="I702"/>
  <c r="H702" s="1"/>
  <c r="I703"/>
  <c r="H703" s="1"/>
  <c r="I704"/>
  <c r="H704" s="1"/>
  <c r="I705"/>
  <c r="H705" s="1"/>
  <c r="I706"/>
  <c r="H706" s="1"/>
  <c r="I707"/>
  <c r="H707" s="1"/>
  <c r="I708"/>
  <c r="H708" s="1"/>
  <c r="I709"/>
  <c r="H709" s="1"/>
  <c r="I710"/>
  <c r="H710" s="1"/>
  <c r="I711"/>
  <c r="H711" s="1"/>
  <c r="I712"/>
  <c r="H712" s="1"/>
  <c r="I713"/>
  <c r="H713" s="1"/>
  <c r="I714"/>
  <c r="H714" s="1"/>
  <c r="I715"/>
  <c r="H715" s="1"/>
  <c r="I716"/>
  <c r="H716" s="1"/>
  <c r="I717"/>
  <c r="H717" s="1"/>
  <c r="I718"/>
  <c r="H718" s="1"/>
  <c r="I719"/>
  <c r="H719" s="1"/>
  <c r="I720"/>
  <c r="H720" s="1"/>
  <c r="I721"/>
  <c r="H721" s="1"/>
  <c r="I722"/>
  <c r="H722" s="1"/>
  <c r="I724"/>
  <c r="H724" s="1"/>
  <c r="K391" i="13"/>
  <c r="H386"/>
  <c r="H379"/>
  <c r="H7"/>
  <c r="H443"/>
  <c r="H618" s="1"/>
  <c r="I443"/>
  <c r="I618" s="1"/>
  <c r="K96"/>
  <c r="J96"/>
  <c r="I574" i="12"/>
  <c r="H574"/>
  <c r="I573"/>
  <c r="I575" s="1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573" s="1"/>
  <c r="H575" s="1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407"/>
  <c r="H566" i="11"/>
  <c r="I566"/>
  <c r="H565"/>
  <c r="I565"/>
  <c r="I564"/>
  <c r="H564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388"/>
  <c r="J213"/>
  <c r="H317" i="9"/>
  <c r="H318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329"/>
  <c r="I497"/>
  <c r="K307" i="8"/>
  <c r="H307"/>
  <c r="H306"/>
  <c r="H305"/>
  <c r="H308"/>
  <c r="H304"/>
  <c r="I404"/>
  <c r="H404"/>
  <c r="H42"/>
  <c r="I617" i="13" l="1"/>
  <c r="I619" s="1"/>
  <c r="H480"/>
  <c r="H617" s="1"/>
  <c r="H619" s="1"/>
  <c r="H516" i="14"/>
  <c r="H517"/>
  <c r="I496" i="9"/>
  <c r="I498" s="1"/>
  <c r="H496"/>
  <c r="H397" i="8"/>
  <c r="H389"/>
  <c r="H384"/>
  <c r="H375"/>
  <c r="H60"/>
  <c r="I55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50" l="1"/>
  <c r="I552" s="1"/>
  <c r="H550"/>
  <c r="I310" i="7"/>
  <c r="H310" s="1"/>
  <c r="I311"/>
  <c r="H311" s="1"/>
  <c r="I312"/>
  <c r="H312" s="1"/>
  <c r="I313"/>
  <c r="H313" s="1"/>
  <c r="I314"/>
  <c r="H314" s="1"/>
  <c r="I315"/>
  <c r="H315" s="1"/>
  <c r="I316"/>
  <c r="H316" s="1"/>
  <c r="I317"/>
  <c r="H317" s="1"/>
  <c r="I318"/>
  <c r="H318" s="1"/>
  <c r="I319"/>
  <c r="H319" s="1"/>
  <c r="I320"/>
  <c r="H320" s="1"/>
  <c r="I321"/>
  <c r="H321" s="1"/>
  <c r="I322"/>
  <c r="H322" s="1"/>
  <c r="I323"/>
  <c r="H323" s="1"/>
  <c r="I324"/>
  <c r="H324" s="1"/>
  <c r="I325"/>
  <c r="H325" s="1"/>
  <c r="I326"/>
  <c r="H326" s="1"/>
  <c r="I327"/>
  <c r="H327" s="1"/>
  <c r="I328"/>
  <c r="H328" s="1"/>
  <c r="I329"/>
  <c r="H329" s="1"/>
  <c r="I330"/>
  <c r="H330" s="1"/>
  <c r="I331"/>
  <c r="H331" s="1"/>
  <c r="I332"/>
  <c r="H332" s="1"/>
  <c r="I333"/>
  <c r="H333" s="1"/>
  <c r="I334"/>
  <c r="H334" s="1"/>
  <c r="I335"/>
  <c r="H335" s="1"/>
  <c r="I336"/>
  <c r="H336" s="1"/>
  <c r="I337"/>
  <c r="H337" s="1"/>
  <c r="I338"/>
  <c r="H338" s="1"/>
  <c r="I339"/>
  <c r="H339" s="1"/>
  <c r="I340"/>
  <c r="H340" s="1"/>
  <c r="I341"/>
  <c r="H341" s="1"/>
  <c r="I342"/>
  <c r="H342" s="1"/>
  <c r="I343"/>
  <c r="H343" s="1"/>
  <c r="I344"/>
  <c r="H344" s="1"/>
  <c r="I345"/>
  <c r="H345" s="1"/>
  <c r="I346"/>
  <c r="H346" s="1"/>
  <c r="I347"/>
  <c r="H347" s="1"/>
  <c r="I348"/>
  <c r="H348" s="1"/>
  <c r="I349"/>
  <c r="H349" s="1"/>
  <c r="I350"/>
  <c r="H350" s="1"/>
  <c r="I351"/>
  <c r="H351" s="1"/>
  <c r="I352"/>
  <c r="H352" s="1"/>
  <c r="I353"/>
  <c r="H353" s="1"/>
  <c r="I354"/>
  <c r="H354" s="1"/>
  <c r="I355"/>
  <c r="H355" s="1"/>
  <c r="I356"/>
  <c r="H356" s="1"/>
  <c r="I357"/>
  <c r="H357" s="1"/>
  <c r="I358"/>
  <c r="H358" s="1"/>
  <c r="I360"/>
  <c r="H360" s="1"/>
  <c r="I361"/>
  <c r="H361" s="1"/>
  <c r="I362"/>
  <c r="H362" s="1"/>
  <c r="I363"/>
  <c r="H363" s="1"/>
  <c r="I364"/>
  <c r="H364" s="1"/>
  <c r="I365"/>
  <c r="H365" s="1"/>
  <c r="I366"/>
  <c r="H366" s="1"/>
  <c r="I367"/>
  <c r="H367" s="1"/>
  <c r="I368"/>
  <c r="H368" s="1"/>
  <c r="I369"/>
  <c r="H369" s="1"/>
  <c r="I370"/>
  <c r="H370" s="1"/>
  <c r="I371"/>
  <c r="H371" s="1"/>
  <c r="I372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309"/>
  <c r="H309" s="1"/>
  <c r="H316" i="6"/>
  <c r="H319"/>
  <c r="H320"/>
  <c r="H324"/>
  <c r="H332"/>
  <c r="H335"/>
  <c r="H336"/>
  <c r="H340"/>
  <c r="H348"/>
  <c r="H351"/>
  <c r="H356"/>
  <c r="H364"/>
  <c r="H367"/>
  <c r="H372"/>
  <c r="H383"/>
  <c r="H388"/>
  <c r="H399"/>
  <c r="H404"/>
  <c r="H409"/>
  <c r="H415"/>
  <c r="H420"/>
  <c r="H425"/>
  <c r="H431"/>
  <c r="H436"/>
  <c r="H447"/>
  <c r="H452"/>
  <c r="I315"/>
  <c r="H315" s="1"/>
  <c r="I316"/>
  <c r="I317"/>
  <c r="H317" s="1"/>
  <c r="I318"/>
  <c r="H318" s="1"/>
  <c r="I319"/>
  <c r="I320"/>
  <c r="I321"/>
  <c r="H321" s="1"/>
  <c r="I322"/>
  <c r="H322" s="1"/>
  <c r="I323"/>
  <c r="H323" s="1"/>
  <c r="I324"/>
  <c r="I325"/>
  <c r="H325" s="1"/>
  <c r="I326"/>
  <c r="H326" s="1"/>
  <c r="I327"/>
  <c r="H327" s="1"/>
  <c r="I328"/>
  <c r="H328" s="1"/>
  <c r="I329"/>
  <c r="H329" s="1"/>
  <c r="I330"/>
  <c r="H330" s="1"/>
  <c r="I331"/>
  <c r="H331" s="1"/>
  <c r="I332"/>
  <c r="I333"/>
  <c r="H333" s="1"/>
  <c r="I334"/>
  <c r="H334" s="1"/>
  <c r="I335"/>
  <c r="I336"/>
  <c r="I337"/>
  <c r="H337" s="1"/>
  <c r="I338"/>
  <c r="H338" s="1"/>
  <c r="I339"/>
  <c r="H339" s="1"/>
  <c r="I340"/>
  <c r="I341"/>
  <c r="H341" s="1"/>
  <c r="I342"/>
  <c r="H342" s="1"/>
  <c r="I343"/>
  <c r="H343" s="1"/>
  <c r="I344"/>
  <c r="H344" s="1"/>
  <c r="I345"/>
  <c r="H345" s="1"/>
  <c r="I346"/>
  <c r="H346" s="1"/>
  <c r="I347"/>
  <c r="H347" s="1"/>
  <c r="I348"/>
  <c r="I349"/>
  <c r="H349" s="1"/>
  <c r="I350"/>
  <c r="H350" s="1"/>
  <c r="I351"/>
  <c r="I352"/>
  <c r="H352" s="1"/>
  <c r="I353"/>
  <c r="H353" s="1"/>
  <c r="I354"/>
  <c r="H354" s="1"/>
  <c r="I355"/>
  <c r="H355" s="1"/>
  <c r="I356"/>
  <c r="I357"/>
  <c r="H357" s="1"/>
  <c r="I358"/>
  <c r="H358" s="1"/>
  <c r="I359"/>
  <c r="H359" s="1"/>
  <c r="I360"/>
  <c r="H360" s="1"/>
  <c r="I361"/>
  <c r="H361" s="1"/>
  <c r="I362"/>
  <c r="H362" s="1"/>
  <c r="I363"/>
  <c r="H363" s="1"/>
  <c r="I364"/>
  <c r="I365"/>
  <c r="H365" s="1"/>
  <c r="I366"/>
  <c r="H366" s="1"/>
  <c r="I367"/>
  <c r="I368"/>
  <c r="H368" s="1"/>
  <c r="I369"/>
  <c r="H369" s="1"/>
  <c r="I370"/>
  <c r="H370" s="1"/>
  <c r="I371"/>
  <c r="H371" s="1"/>
  <c r="I372"/>
  <c r="I373"/>
  <c r="H373" s="1"/>
  <c r="I374"/>
  <c r="H374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I384"/>
  <c r="H384" s="1"/>
  <c r="I385"/>
  <c r="H385" s="1"/>
  <c r="I386"/>
  <c r="H386" s="1"/>
  <c r="I387"/>
  <c r="H387" s="1"/>
  <c r="I388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I400"/>
  <c r="H400" s="1"/>
  <c r="I401"/>
  <c r="H401" s="1"/>
  <c r="I402"/>
  <c r="H402" s="1"/>
  <c r="I403"/>
  <c r="H403" s="1"/>
  <c r="I404"/>
  <c r="I405"/>
  <c r="H405" s="1"/>
  <c r="I406"/>
  <c r="H406" s="1"/>
  <c r="I407"/>
  <c r="H407" s="1"/>
  <c r="I408"/>
  <c r="H408" s="1"/>
  <c r="I409"/>
  <c r="I410"/>
  <c r="H410" s="1"/>
  <c r="I411"/>
  <c r="H411" s="1"/>
  <c r="I412"/>
  <c r="H412" s="1"/>
  <c r="I413"/>
  <c r="H413" s="1"/>
  <c r="I414"/>
  <c r="H414" s="1"/>
  <c r="I415"/>
  <c r="I416"/>
  <c r="H416" s="1"/>
  <c r="I417"/>
  <c r="H417" s="1"/>
  <c r="I418"/>
  <c r="H418" s="1"/>
  <c r="I419"/>
  <c r="H419" s="1"/>
  <c r="I420"/>
  <c r="I421"/>
  <c r="H421" s="1"/>
  <c r="I422"/>
  <c r="H422" s="1"/>
  <c r="I423"/>
  <c r="H423" s="1"/>
  <c r="I424"/>
  <c r="H424" s="1"/>
  <c r="I425"/>
  <c r="I426"/>
  <c r="H426" s="1"/>
  <c r="I427"/>
  <c r="H427" s="1"/>
  <c r="I428"/>
  <c r="H428" s="1"/>
  <c r="I429"/>
  <c r="H429" s="1"/>
  <c r="I430"/>
  <c r="H430" s="1"/>
  <c r="I431"/>
  <c r="I432"/>
  <c r="H432" s="1"/>
  <c r="I433"/>
  <c r="H433" s="1"/>
  <c r="I434"/>
  <c r="H434" s="1"/>
  <c r="I435"/>
  <c r="H435" s="1"/>
  <c r="I436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I448"/>
  <c r="H448" s="1"/>
  <c r="I449"/>
  <c r="H449" s="1"/>
  <c r="I450"/>
  <c r="H450" s="1"/>
  <c r="I451"/>
  <c r="H451" s="1"/>
  <c r="I452"/>
  <c r="I453"/>
  <c r="H453" s="1"/>
  <c r="I314"/>
  <c r="H314" s="1"/>
  <c r="I411" i="5"/>
  <c r="H411" s="1"/>
  <c r="I525"/>
  <c r="H525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383"/>
  <c r="H383" s="1"/>
  <c r="H372" i="4"/>
  <c r="H377"/>
  <c r="H381"/>
  <c r="H383"/>
  <c r="H385"/>
  <c r="H393"/>
  <c r="H397"/>
  <c r="H399"/>
  <c r="H401"/>
  <c r="H409"/>
  <c r="H413"/>
  <c r="H417"/>
  <c r="H420"/>
  <c r="H425"/>
  <c r="H429"/>
  <c r="H433"/>
  <c r="H436"/>
  <c r="H441"/>
  <c r="H445"/>
  <c r="H449"/>
  <c r="H457"/>
  <c r="H461"/>
  <c r="H465"/>
  <c r="H473"/>
  <c r="H477"/>
  <c r="H481"/>
  <c r="H484"/>
  <c r="H489"/>
  <c r="H493"/>
  <c r="H497"/>
  <c r="H500"/>
  <c r="H505"/>
  <c r="H509"/>
  <c r="H513"/>
  <c r="H517"/>
  <c r="H521"/>
  <c r="I372"/>
  <c r="I373"/>
  <c r="H373" s="1"/>
  <c r="I374"/>
  <c r="H374" s="1"/>
  <c r="I375"/>
  <c r="H375" s="1"/>
  <c r="I376"/>
  <c r="H376" s="1"/>
  <c r="I377"/>
  <c r="I378"/>
  <c r="H378" s="1"/>
  <c r="I379"/>
  <c r="H379" s="1"/>
  <c r="I380"/>
  <c r="H380" s="1"/>
  <c r="I381"/>
  <c r="I382"/>
  <c r="H382" s="1"/>
  <c r="I383"/>
  <c r="I384"/>
  <c r="H384" s="1"/>
  <c r="I385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I394"/>
  <c r="H394" s="1"/>
  <c r="I395"/>
  <c r="H395" s="1"/>
  <c r="I396"/>
  <c r="H396" s="1"/>
  <c r="I397"/>
  <c r="I398"/>
  <c r="H398" s="1"/>
  <c r="I399"/>
  <c r="I400"/>
  <c r="H400" s="1"/>
  <c r="I40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I410"/>
  <c r="H410" s="1"/>
  <c r="I411"/>
  <c r="H411" s="1"/>
  <c r="I412"/>
  <c r="H412" s="1"/>
  <c r="I413"/>
  <c r="I414"/>
  <c r="H414" s="1"/>
  <c r="I415"/>
  <c r="H415" s="1"/>
  <c r="I416"/>
  <c r="H416" s="1"/>
  <c r="I417"/>
  <c r="I418"/>
  <c r="H418" s="1"/>
  <c r="I419"/>
  <c r="H419" s="1"/>
  <c r="I420"/>
  <c r="I422"/>
  <c r="H422" s="1"/>
  <c r="I423"/>
  <c r="H423" s="1"/>
  <c r="I424"/>
  <c r="H424" s="1"/>
  <c r="I425"/>
  <c r="I426"/>
  <c r="H426" s="1"/>
  <c r="I427"/>
  <c r="H427" s="1"/>
  <c r="I428"/>
  <c r="H428" s="1"/>
  <c r="I429"/>
  <c r="I430"/>
  <c r="H430" s="1"/>
  <c r="I431"/>
  <c r="H431" s="1"/>
  <c r="I432"/>
  <c r="H432" s="1"/>
  <c r="I433"/>
  <c r="I434"/>
  <c r="H434" s="1"/>
  <c r="I435"/>
  <c r="H435" s="1"/>
  <c r="I436"/>
  <c r="I437"/>
  <c r="H437" s="1"/>
  <c r="I438"/>
  <c r="H438" s="1"/>
  <c r="I439"/>
  <c r="H439" s="1"/>
  <c r="I440"/>
  <c r="H440" s="1"/>
  <c r="I441"/>
  <c r="I442"/>
  <c r="H442" s="1"/>
  <c r="I443"/>
  <c r="H443" s="1"/>
  <c r="I444"/>
  <c r="H444" s="1"/>
  <c r="I445"/>
  <c r="I446"/>
  <c r="H446" s="1"/>
  <c r="I447"/>
  <c r="H447" s="1"/>
  <c r="I448"/>
  <c r="H448" s="1"/>
  <c r="I449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I458"/>
  <c r="H458" s="1"/>
  <c r="I459"/>
  <c r="H459" s="1"/>
  <c r="I460"/>
  <c r="H460" s="1"/>
  <c r="I461"/>
  <c r="I462"/>
  <c r="H462" s="1"/>
  <c r="I463"/>
  <c r="H463" s="1"/>
  <c r="I464"/>
  <c r="H464" s="1"/>
  <c r="I465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I474"/>
  <c r="H474" s="1"/>
  <c r="I475"/>
  <c r="H475" s="1"/>
  <c r="I476"/>
  <c r="H476" s="1"/>
  <c r="I477"/>
  <c r="I478"/>
  <c r="H478" s="1"/>
  <c r="I479"/>
  <c r="H479" s="1"/>
  <c r="I480"/>
  <c r="H480" s="1"/>
  <c r="I481"/>
  <c r="I482"/>
  <c r="H482" s="1"/>
  <c r="I483"/>
  <c r="H483" s="1"/>
  <c r="I484"/>
  <c r="I485"/>
  <c r="H485" s="1"/>
  <c r="I486"/>
  <c r="H486" s="1"/>
  <c r="I487"/>
  <c r="H487" s="1"/>
  <c r="I488"/>
  <c r="H488" s="1"/>
  <c r="I489"/>
  <c r="I490"/>
  <c r="H490" s="1"/>
  <c r="I491"/>
  <c r="H491" s="1"/>
  <c r="I492"/>
  <c r="H492" s="1"/>
  <c r="I493"/>
  <c r="I494"/>
  <c r="H494" s="1"/>
  <c r="I495"/>
  <c r="H495" s="1"/>
  <c r="I496"/>
  <c r="H496" s="1"/>
  <c r="I497"/>
  <c r="I498"/>
  <c r="H498" s="1"/>
  <c r="I499"/>
  <c r="H499" s="1"/>
  <c r="I500"/>
  <c r="I501"/>
  <c r="H501" s="1"/>
  <c r="I502"/>
  <c r="H502" s="1"/>
  <c r="I503"/>
  <c r="H503" s="1"/>
  <c r="I504"/>
  <c r="H504" s="1"/>
  <c r="I505"/>
  <c r="I506"/>
  <c r="H506" s="1"/>
  <c r="I507"/>
  <c r="H507" s="1"/>
  <c r="I508"/>
  <c r="H508" s="1"/>
  <c r="I509"/>
  <c r="I510"/>
  <c r="H510" s="1"/>
  <c r="I511"/>
  <c r="H511" s="1"/>
  <c r="I512"/>
  <c r="H512" s="1"/>
  <c r="I513"/>
  <c r="I514"/>
  <c r="H514" s="1"/>
  <c r="I515"/>
  <c r="H515" s="1"/>
  <c r="I516"/>
  <c r="H516" s="1"/>
  <c r="I517"/>
  <c r="I518"/>
  <c r="H518" s="1"/>
  <c r="I519"/>
  <c r="H519" s="1"/>
  <c r="I520"/>
  <c r="H520" s="1"/>
  <c r="I521"/>
  <c r="I522"/>
  <c r="H522" s="1"/>
  <c r="I523"/>
  <c r="H523" s="1"/>
  <c r="I371"/>
  <c r="H310" i="3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395"/>
  <c r="I365" i="1"/>
  <c r="H367"/>
  <c r="H368"/>
  <c r="H371"/>
  <c r="H372"/>
  <c r="H373"/>
  <c r="H376"/>
  <c r="H379"/>
  <c r="H380"/>
  <c r="H383"/>
  <c r="H384"/>
  <c r="H387"/>
  <c r="H388"/>
  <c r="H389"/>
  <c r="H392"/>
  <c r="H395"/>
  <c r="H396"/>
  <c r="H399"/>
  <c r="H400"/>
  <c r="H403"/>
  <c r="H404"/>
  <c r="H405"/>
  <c r="H408"/>
  <c r="H411"/>
  <c r="H412"/>
  <c r="H415"/>
  <c r="H416"/>
  <c r="H419"/>
  <c r="H420"/>
  <c r="H421"/>
  <c r="H424"/>
  <c r="H427"/>
  <c r="H428"/>
  <c r="H431"/>
  <c r="H432"/>
  <c r="H435"/>
  <c r="H436"/>
  <c r="H437"/>
  <c r="H440"/>
  <c r="H443"/>
  <c r="H444"/>
  <c r="H447"/>
  <c r="H448"/>
  <c r="H451"/>
  <c r="H452"/>
  <c r="H453"/>
  <c r="H456"/>
  <c r="H459"/>
  <c r="H460"/>
  <c r="H463"/>
  <c r="H464"/>
  <c r="H467"/>
  <c r="H468"/>
  <c r="H472"/>
  <c r="H475"/>
  <c r="H476"/>
  <c r="H479"/>
  <c r="H480"/>
  <c r="H483"/>
  <c r="H484"/>
  <c r="H488"/>
  <c r="H491"/>
  <c r="H492"/>
  <c r="H495"/>
  <c r="H496"/>
  <c r="H499"/>
  <c r="H500"/>
  <c r="H504"/>
  <c r="H507"/>
  <c r="H508"/>
  <c r="H511"/>
  <c r="H512"/>
  <c r="H515"/>
  <c r="H516"/>
  <c r="H520"/>
  <c r="H523"/>
  <c r="H524"/>
  <c r="H365"/>
  <c r="I366"/>
  <c r="H366" s="1"/>
  <c r="I367"/>
  <c r="I368"/>
  <c r="I369"/>
  <c r="H369" s="1"/>
  <c r="I370"/>
  <c r="H370" s="1"/>
  <c r="I371"/>
  <c r="I372"/>
  <c r="I373"/>
  <c r="I374"/>
  <c r="H374" s="1"/>
  <c r="I375"/>
  <c r="H375" s="1"/>
  <c r="I376"/>
  <c r="I377"/>
  <c r="H377" s="1"/>
  <c r="I378"/>
  <c r="H378" s="1"/>
  <c r="I379"/>
  <c r="I380"/>
  <c r="I381"/>
  <c r="H381" s="1"/>
  <c r="I382"/>
  <c r="H382" s="1"/>
  <c r="I383"/>
  <c r="I384"/>
  <c r="I385"/>
  <c r="H385" s="1"/>
  <c r="I386"/>
  <c r="H386" s="1"/>
  <c r="I387"/>
  <c r="I388"/>
  <c r="I389"/>
  <c r="I390"/>
  <c r="H390" s="1"/>
  <c r="I391"/>
  <c r="H391" s="1"/>
  <c r="I392"/>
  <c r="I393"/>
  <c r="H393" s="1"/>
  <c r="I394"/>
  <c r="H394" s="1"/>
  <c r="I395"/>
  <c r="I396"/>
  <c r="I397"/>
  <c r="H397" s="1"/>
  <c r="I398"/>
  <c r="H398" s="1"/>
  <c r="I399"/>
  <c r="I400"/>
  <c r="I401"/>
  <c r="H401" s="1"/>
  <c r="I402"/>
  <c r="H402" s="1"/>
  <c r="I403"/>
  <c r="I404"/>
  <c r="I405"/>
  <c r="I406"/>
  <c r="H406" s="1"/>
  <c r="I407"/>
  <c r="H407" s="1"/>
  <c r="I408"/>
  <c r="I409"/>
  <c r="H409" s="1"/>
  <c r="I410"/>
  <c r="H410" s="1"/>
  <c r="I411"/>
  <c r="I412"/>
  <c r="I413"/>
  <c r="H413" s="1"/>
  <c r="I414"/>
  <c r="H414" s="1"/>
  <c r="I415"/>
  <c r="I416"/>
  <c r="I417"/>
  <c r="H417" s="1"/>
  <c r="I418"/>
  <c r="H418" s="1"/>
  <c r="I419"/>
  <c r="I420"/>
  <c r="I421"/>
  <c r="I422"/>
  <c r="H422" s="1"/>
  <c r="I423"/>
  <c r="H423" s="1"/>
  <c r="I424"/>
  <c r="I425"/>
  <c r="H425" s="1"/>
  <c r="I426"/>
  <c r="H426" s="1"/>
  <c r="I427"/>
  <c r="I428"/>
  <c r="I429"/>
  <c r="H429" s="1"/>
  <c r="I430"/>
  <c r="H430" s="1"/>
  <c r="I431"/>
  <c r="I432"/>
  <c r="I434"/>
  <c r="H434" s="1"/>
  <c r="I435"/>
  <c r="I436"/>
  <c r="I437"/>
  <c r="I438"/>
  <c r="H438" s="1"/>
  <c r="I439"/>
  <c r="H439" s="1"/>
  <c r="I440"/>
  <c r="I441"/>
  <c r="H441" s="1"/>
  <c r="I442"/>
  <c r="H442" s="1"/>
  <c r="I443"/>
  <c r="I444"/>
  <c r="I445"/>
  <c r="H445" s="1"/>
  <c r="I446"/>
  <c r="H446" s="1"/>
  <c r="I447"/>
  <c r="I448"/>
  <c r="I449"/>
  <c r="H449" s="1"/>
  <c r="I450"/>
  <c r="H450" s="1"/>
  <c r="I451"/>
  <c r="I452"/>
  <c r="I453"/>
  <c r="I454"/>
  <c r="H454" s="1"/>
  <c r="I455"/>
  <c r="H455" s="1"/>
  <c r="I456"/>
  <c r="I457"/>
  <c r="H457" s="1"/>
  <c r="I458"/>
  <c r="H458" s="1"/>
  <c r="I459"/>
  <c r="I460"/>
  <c r="I461"/>
  <c r="H461" s="1"/>
  <c r="I462"/>
  <c r="H462" s="1"/>
  <c r="I463"/>
  <c r="I464"/>
  <c r="I465"/>
  <c r="H465" s="1"/>
  <c r="I466"/>
  <c r="H466" s="1"/>
  <c r="I467"/>
  <c r="I468"/>
  <c r="I469"/>
  <c r="H469" s="1"/>
  <c r="I470"/>
  <c r="H470" s="1"/>
  <c r="I471"/>
  <c r="H471" s="1"/>
  <c r="I472"/>
  <c r="I473"/>
  <c r="H473" s="1"/>
  <c r="I474"/>
  <c r="H474" s="1"/>
  <c r="I475"/>
  <c r="I476"/>
  <c r="I477"/>
  <c r="H477" s="1"/>
  <c r="I478"/>
  <c r="H478" s="1"/>
  <c r="I479"/>
  <c r="I480"/>
  <c r="I481"/>
  <c r="H481" s="1"/>
  <c r="I482"/>
  <c r="H482" s="1"/>
  <c r="I483"/>
  <c r="I484"/>
  <c r="I485"/>
  <c r="H485" s="1"/>
  <c r="I486"/>
  <c r="H486" s="1"/>
  <c r="I487"/>
  <c r="H487" s="1"/>
  <c r="I488"/>
  <c r="I489"/>
  <c r="H489" s="1"/>
  <c r="I490"/>
  <c r="H490" s="1"/>
  <c r="I491"/>
  <c r="I492"/>
  <c r="I493"/>
  <c r="H493" s="1"/>
  <c r="I494"/>
  <c r="H494" s="1"/>
  <c r="I495"/>
  <c r="I496"/>
  <c r="I497"/>
  <c r="H497" s="1"/>
  <c r="I498"/>
  <c r="H498" s="1"/>
  <c r="I499"/>
  <c r="I500"/>
  <c r="I501"/>
  <c r="H501" s="1"/>
  <c r="I502"/>
  <c r="H502" s="1"/>
  <c r="I503"/>
  <c r="H503" s="1"/>
  <c r="I504"/>
  <c r="I505"/>
  <c r="H505" s="1"/>
  <c r="I506"/>
  <c r="H506" s="1"/>
  <c r="I507"/>
  <c r="I508"/>
  <c r="I509"/>
  <c r="H509" s="1"/>
  <c r="I510"/>
  <c r="H510" s="1"/>
  <c r="I511"/>
  <c r="I512"/>
  <c r="I513"/>
  <c r="H513" s="1"/>
  <c r="I514"/>
  <c r="H514" s="1"/>
  <c r="I515"/>
  <c r="I516"/>
  <c r="I517"/>
  <c r="H517" s="1"/>
  <c r="I518"/>
  <c r="H518" s="1"/>
  <c r="I519"/>
  <c r="H519" s="1"/>
  <c r="I520"/>
  <c r="I521"/>
  <c r="H521" s="1"/>
  <c r="I522"/>
  <c r="H522" s="1"/>
  <c r="I523"/>
  <c r="I524"/>
  <c r="I525"/>
  <c r="H525" s="1"/>
  <c r="I526"/>
  <c r="H526" s="1"/>
  <c r="I96" i="5"/>
  <c r="K96"/>
  <c r="I386" i="8"/>
  <c r="H371" i="4" l="1"/>
  <c r="H395" i="3"/>
  <c r="I498" i="14" l="1"/>
  <c r="I472"/>
  <c r="I465"/>
  <c r="I403"/>
  <c r="I379"/>
  <c r="I364"/>
  <c r="I147"/>
  <c r="I723" s="1"/>
  <c r="I726" s="1"/>
  <c r="I728" s="1"/>
  <c r="I410" i="13"/>
  <c r="I378"/>
  <c r="K220"/>
  <c r="H219"/>
  <c r="I396" i="12"/>
  <c r="I377"/>
  <c r="I373"/>
  <c r="I205"/>
  <c r="I177"/>
  <c r="K92"/>
  <c r="H91"/>
  <c r="I378" i="11"/>
  <c r="I281"/>
  <c r="H385"/>
  <c r="K318" i="9"/>
  <c r="I305"/>
  <c r="I119"/>
  <c r="I115"/>
  <c r="I316" i="8"/>
  <c r="I307"/>
  <c r="I231"/>
  <c r="I65"/>
  <c r="I269" i="7"/>
  <c r="K272" s="1"/>
  <c r="I283"/>
  <c r="I282"/>
  <c r="I278"/>
  <c r="I275"/>
  <c r="I268"/>
  <c r="I261"/>
  <c r="I259"/>
  <c r="K260"/>
  <c r="I249"/>
  <c r="I246"/>
  <c r="I243"/>
  <c r="I242"/>
  <c r="I240"/>
  <c r="I237"/>
  <c r="I233"/>
  <c r="I227"/>
  <c r="I226"/>
  <c r="I218"/>
  <c r="I215"/>
  <c r="I117"/>
  <c r="K104"/>
  <c r="H103"/>
  <c r="I44"/>
  <c r="I39"/>
  <c r="I37"/>
  <c r="I302" i="6"/>
  <c r="I299"/>
  <c r="I298"/>
  <c r="I292"/>
  <c r="I291"/>
  <c r="I287"/>
  <c r="I282"/>
  <c r="I279"/>
  <c r="I273"/>
  <c r="I271"/>
  <c r="I266"/>
  <c r="I263"/>
  <c r="I261"/>
  <c r="I257"/>
  <c r="I252"/>
  <c r="I249"/>
  <c r="I58"/>
  <c r="I53"/>
  <c r="K52"/>
  <c r="H51"/>
  <c r="I48"/>
  <c r="K366" i="4"/>
  <c r="I356" i="5"/>
  <c r="I354"/>
  <c r="I342"/>
  <c r="I338"/>
  <c r="I333"/>
  <c r="I330"/>
  <c r="I324"/>
  <c r="I319"/>
  <c r="I317"/>
  <c r="I314"/>
  <c r="I310"/>
  <c r="I309"/>
  <c r="I306"/>
  <c r="I300"/>
  <c r="I295"/>
  <c r="I289"/>
  <c r="I286"/>
  <c r="I285"/>
  <c r="I280"/>
  <c r="I274"/>
  <c r="I272"/>
  <c r="I270"/>
  <c r="I142"/>
  <c r="I104"/>
  <c r="I42"/>
  <c r="I436" s="1"/>
  <c r="I340" i="4"/>
  <c r="I336"/>
  <c r="I334"/>
  <c r="I330"/>
  <c r="I327"/>
  <c r="I322"/>
  <c r="I319"/>
  <c r="I317"/>
  <c r="I314"/>
  <c r="I308"/>
  <c r="I304"/>
  <c r="I300"/>
  <c r="I298"/>
  <c r="I294"/>
  <c r="I293"/>
  <c r="I290"/>
  <c r="H723" i="14" l="1"/>
  <c r="H726" s="1"/>
  <c r="H728" s="1"/>
  <c r="H436" i="5"/>
  <c r="H526" s="1"/>
  <c r="I526"/>
  <c r="I303" i="7"/>
  <c r="I439" s="1"/>
  <c r="I359"/>
  <c r="I375" i="6"/>
  <c r="I309"/>
  <c r="I397" i="8"/>
  <c r="H269" i="7"/>
  <c r="I131" i="4"/>
  <c r="I128"/>
  <c r="I110"/>
  <c r="K114"/>
  <c r="I109"/>
  <c r="I55"/>
  <c r="I52"/>
  <c r="I421" s="1"/>
  <c r="H391" i="3"/>
  <c r="I365"/>
  <c r="I486" s="1"/>
  <c r="H486" s="1"/>
  <c r="I359"/>
  <c r="I355"/>
  <c r="I352"/>
  <c r="I350"/>
  <c r="I348"/>
  <c r="I345"/>
  <c r="I342"/>
  <c r="I339"/>
  <c r="I335"/>
  <c r="I332"/>
  <c r="I329"/>
  <c r="I325"/>
  <c r="I323"/>
  <c r="I319"/>
  <c r="I316"/>
  <c r="I311"/>
  <c r="I309"/>
  <c r="H309" s="1"/>
  <c r="J310" s="1"/>
  <c r="I307"/>
  <c r="I302"/>
  <c r="I297"/>
  <c r="I294"/>
  <c r="I292"/>
  <c r="I288"/>
  <c r="K291" s="1"/>
  <c r="I285"/>
  <c r="I193"/>
  <c r="I116"/>
  <c r="I91"/>
  <c r="K91" s="1"/>
  <c r="I45"/>
  <c r="I138" i="1"/>
  <c r="K141" s="1"/>
  <c r="I242"/>
  <c r="K243" s="1"/>
  <c r="I241"/>
  <c r="I235"/>
  <c r="I231"/>
  <c r="I228"/>
  <c r="H228" s="1"/>
  <c r="I224"/>
  <c r="H224" s="1"/>
  <c r="I223"/>
  <c r="I209"/>
  <c r="H209" s="1"/>
  <c r="I208"/>
  <c r="H208" s="1"/>
  <c r="I205"/>
  <c r="K205" s="1"/>
  <c r="I198"/>
  <c r="I193"/>
  <c r="I192"/>
  <c r="H192" s="1"/>
  <c r="I147"/>
  <c r="H147" s="1"/>
  <c r="I144"/>
  <c r="H137"/>
  <c r="I134"/>
  <c r="K134" s="1"/>
  <c r="I129"/>
  <c r="K130" s="1"/>
  <c r="I125"/>
  <c r="H124"/>
  <c r="I121"/>
  <c r="I433" s="1"/>
  <c r="K171" i="9"/>
  <c r="K170"/>
  <c r="K174" i="8"/>
  <c r="H174"/>
  <c r="K162" i="6"/>
  <c r="K161"/>
  <c r="K153"/>
  <c r="K152"/>
  <c r="K151"/>
  <c r="K139"/>
  <c r="K135"/>
  <c r="K288" i="4"/>
  <c r="K206"/>
  <c r="K205"/>
  <c r="K152"/>
  <c r="K149"/>
  <c r="K146"/>
  <c r="K158" i="3"/>
  <c r="K149"/>
  <c r="K148"/>
  <c r="K146"/>
  <c r="K138"/>
  <c r="K89"/>
  <c r="K88"/>
  <c r="K87"/>
  <c r="H243" i="1"/>
  <c r="H242"/>
  <c r="K147"/>
  <c r="H146"/>
  <c r="H145"/>
  <c r="H141"/>
  <c r="H140"/>
  <c r="H139"/>
  <c r="K241"/>
  <c r="H241"/>
  <c r="H240"/>
  <c r="H239"/>
  <c r="K231"/>
  <c r="H231"/>
  <c r="H230"/>
  <c r="H229"/>
  <c r="K197"/>
  <c r="H197"/>
  <c r="H196"/>
  <c r="H195"/>
  <c r="H194"/>
  <c r="H193"/>
  <c r="K144"/>
  <c r="H144"/>
  <c r="H143"/>
  <c r="H142"/>
  <c r="K201"/>
  <c r="H201"/>
  <c r="H200"/>
  <c r="H199"/>
  <c r="H198"/>
  <c r="H205"/>
  <c r="H204"/>
  <c r="H203"/>
  <c r="H130"/>
  <c r="H129"/>
  <c r="H207"/>
  <c r="H206"/>
  <c r="K128"/>
  <c r="H128"/>
  <c r="H127"/>
  <c r="H126"/>
  <c r="H125"/>
  <c r="H123"/>
  <c r="H122"/>
  <c r="K225"/>
  <c r="H225"/>
  <c r="K223"/>
  <c r="H223"/>
  <c r="H222"/>
  <c r="H221"/>
  <c r="H220"/>
  <c r="H219"/>
  <c r="H136"/>
  <c r="H135"/>
  <c r="K218"/>
  <c r="H218"/>
  <c r="H217"/>
  <c r="H216"/>
  <c r="H215"/>
  <c r="H214"/>
  <c r="H213"/>
  <c r="H212"/>
  <c r="H211"/>
  <c r="H210"/>
  <c r="H134"/>
  <c r="H133"/>
  <c r="H132"/>
  <c r="H131"/>
  <c r="K228"/>
  <c r="H227"/>
  <c r="H226"/>
  <c r="K238"/>
  <c r="H238"/>
  <c r="H237"/>
  <c r="H236"/>
  <c r="H235"/>
  <c r="H234"/>
  <c r="H191"/>
  <c r="H190"/>
  <c r="H120"/>
  <c r="H119"/>
  <c r="H118"/>
  <c r="H117"/>
  <c r="H116"/>
  <c r="H115"/>
  <c r="H114"/>
  <c r="H113"/>
  <c r="H112"/>
  <c r="H111"/>
  <c r="K503" i="14"/>
  <c r="K500"/>
  <c r="K497"/>
  <c r="K493"/>
  <c r="H503"/>
  <c r="H502"/>
  <c r="H500"/>
  <c r="H499"/>
  <c r="H497"/>
  <c r="H496"/>
  <c r="H495"/>
  <c r="H493"/>
  <c r="H492"/>
  <c r="H501"/>
  <c r="H498"/>
  <c r="H494"/>
  <c r="H491"/>
  <c r="K489"/>
  <c r="K487"/>
  <c r="K483"/>
  <c r="H489"/>
  <c r="H487"/>
  <c r="H483"/>
  <c r="H488"/>
  <c r="H486"/>
  <c r="H485"/>
  <c r="H484"/>
  <c r="H482"/>
  <c r="H481"/>
  <c r="K480"/>
  <c r="K476"/>
  <c r="K471"/>
  <c r="K468"/>
  <c r="H480"/>
  <c r="H479"/>
  <c r="H478"/>
  <c r="H476"/>
  <c r="H475"/>
  <c r="H474"/>
  <c r="H473"/>
  <c r="H471"/>
  <c r="H470"/>
  <c r="H468"/>
  <c r="H467"/>
  <c r="H466"/>
  <c r="H477"/>
  <c r="H472"/>
  <c r="H469"/>
  <c r="H465"/>
  <c r="K464"/>
  <c r="K461"/>
  <c r="K456"/>
  <c r="H464"/>
  <c r="H456"/>
  <c r="H461"/>
  <c r="H463"/>
  <c r="H462"/>
  <c r="H460"/>
  <c r="H459"/>
  <c r="H458"/>
  <c r="H457"/>
  <c r="H455"/>
  <c r="H454"/>
  <c r="K453"/>
  <c r="K450"/>
  <c r="K447"/>
  <c r="K442"/>
  <c r="H453"/>
  <c r="H452"/>
  <c r="H450"/>
  <c r="H449"/>
  <c r="H447"/>
  <c r="H446"/>
  <c r="H445"/>
  <c r="H444"/>
  <c r="H442"/>
  <c r="H441"/>
  <c r="H443"/>
  <c r="H451"/>
  <c r="H448"/>
  <c r="H440"/>
  <c r="K439"/>
  <c r="K437"/>
  <c r="K433"/>
  <c r="H433"/>
  <c r="H432"/>
  <c r="H439"/>
  <c r="H437"/>
  <c r="H436"/>
  <c r="H435"/>
  <c r="H431"/>
  <c r="H430"/>
  <c r="H429"/>
  <c r="H438"/>
  <c r="H434"/>
  <c r="H428"/>
  <c r="K425"/>
  <c r="H425"/>
  <c r="H424"/>
  <c r="K423"/>
  <c r="K420"/>
  <c r="K417"/>
  <c r="H417"/>
  <c r="H423"/>
  <c r="H420"/>
  <c r="H422"/>
  <c r="H421"/>
  <c r="H419"/>
  <c r="H418"/>
  <c r="H416"/>
  <c r="K411"/>
  <c r="K414"/>
  <c r="H414"/>
  <c r="H413"/>
  <c r="H411"/>
  <c r="H410"/>
  <c r="H409"/>
  <c r="H408"/>
  <c r="H407"/>
  <c r="H406"/>
  <c r="H405"/>
  <c r="H404"/>
  <c r="H412"/>
  <c r="H403"/>
  <c r="K402"/>
  <c r="K393"/>
  <c r="K395"/>
  <c r="H395"/>
  <c r="H402"/>
  <c r="H401"/>
  <c r="H400"/>
  <c r="H399"/>
  <c r="H398"/>
  <c r="H397"/>
  <c r="H396"/>
  <c r="H394"/>
  <c r="J395" s="1"/>
  <c r="H393"/>
  <c r="H392"/>
  <c r="K391"/>
  <c r="K388"/>
  <c r="H391"/>
  <c r="H390"/>
  <c r="H388"/>
  <c r="H387"/>
  <c r="H389"/>
  <c r="H386"/>
  <c r="K385"/>
  <c r="H385"/>
  <c r="K378"/>
  <c r="H384"/>
  <c r="H383"/>
  <c r="H382"/>
  <c r="H381"/>
  <c r="H378"/>
  <c r="H377"/>
  <c r="H380"/>
  <c r="H379"/>
  <c r="H376"/>
  <c r="K375"/>
  <c r="K371"/>
  <c r="H371"/>
  <c r="H375"/>
  <c r="H374"/>
  <c r="H373"/>
  <c r="H372"/>
  <c r="H370"/>
  <c r="H369"/>
  <c r="K368"/>
  <c r="H368"/>
  <c r="H367"/>
  <c r="H366"/>
  <c r="H365"/>
  <c r="K364"/>
  <c r="H364"/>
  <c r="H363"/>
  <c r="H362"/>
  <c r="H361"/>
  <c r="H360"/>
  <c r="H359"/>
  <c r="H358"/>
  <c r="H357"/>
  <c r="K355"/>
  <c r="H355"/>
  <c r="H354"/>
  <c r="H353"/>
  <c r="K351"/>
  <c r="H351"/>
  <c r="H350"/>
  <c r="H349"/>
  <c r="K216"/>
  <c r="K178"/>
  <c r="H178"/>
  <c r="H177"/>
  <c r="H176"/>
  <c r="K175"/>
  <c r="H175"/>
  <c r="H174"/>
  <c r="H173"/>
  <c r="K172"/>
  <c r="H172"/>
  <c r="H171"/>
  <c r="H170"/>
  <c r="K169"/>
  <c r="H169"/>
  <c r="H168"/>
  <c r="K159"/>
  <c r="K147"/>
  <c r="H147"/>
  <c r="H146"/>
  <c r="H421" i="4" l="1"/>
  <c r="H524" s="1"/>
  <c r="I524"/>
  <c r="H375" i="6"/>
  <c r="H454" s="1"/>
  <c r="I454"/>
  <c r="K121" i="1"/>
  <c r="K192"/>
  <c r="K208"/>
  <c r="I451" i="3"/>
  <c r="I389"/>
  <c r="H359" i="7"/>
  <c r="H438" s="1"/>
  <c r="I438"/>
  <c r="I440" s="1"/>
  <c r="H433" i="1"/>
  <c r="H527" s="1"/>
  <c r="I527"/>
  <c r="I455" i="6"/>
  <c r="H121" i="1"/>
  <c r="H138"/>
  <c r="I355"/>
  <c r="J147"/>
  <c r="J243"/>
  <c r="J497" i="14"/>
  <c r="J503"/>
  <c r="J231" i="1"/>
  <c r="J241"/>
  <c r="J197"/>
  <c r="J228"/>
  <c r="J208"/>
  <c r="J205"/>
  <c r="J201"/>
  <c r="J130"/>
  <c r="J144"/>
  <c r="J134"/>
  <c r="J128"/>
  <c r="J225"/>
  <c r="J223"/>
  <c r="J218"/>
  <c r="J238"/>
  <c r="J192"/>
  <c r="J121"/>
  <c r="J500" i="14"/>
  <c r="J493"/>
  <c r="J480"/>
  <c r="J489"/>
  <c r="J456"/>
  <c r="J476"/>
  <c r="J487"/>
  <c r="J483"/>
  <c r="J450"/>
  <c r="J471"/>
  <c r="J461"/>
  <c r="J464"/>
  <c r="J468"/>
  <c r="J453"/>
  <c r="J447"/>
  <c r="J442"/>
  <c r="J439"/>
  <c r="J425"/>
  <c r="J437"/>
  <c r="J433"/>
  <c r="J420"/>
  <c r="J417"/>
  <c r="J423"/>
  <c r="J411"/>
  <c r="J414"/>
  <c r="J393"/>
  <c r="J402"/>
  <c r="J391"/>
  <c r="J388"/>
  <c r="J378"/>
  <c r="J375"/>
  <c r="J385"/>
  <c r="J371"/>
  <c r="J368"/>
  <c r="J364"/>
  <c r="J355"/>
  <c r="J351"/>
  <c r="J175"/>
  <c r="J178"/>
  <c r="J169"/>
  <c r="J172"/>
  <c r="J147"/>
  <c r="K78"/>
  <c r="H78"/>
  <c r="H77"/>
  <c r="H76"/>
  <c r="K46"/>
  <c r="H46"/>
  <c r="H45"/>
  <c r="H44"/>
  <c r="H43"/>
  <c r="H512"/>
  <c r="H505"/>
  <c r="H297"/>
  <c r="H298"/>
  <c r="H299"/>
  <c r="H300"/>
  <c r="H32"/>
  <c r="H15"/>
  <c r="H301"/>
  <c r="H195"/>
  <c r="H302"/>
  <c r="H303"/>
  <c r="H304"/>
  <c r="H305"/>
  <c r="H306"/>
  <c r="H307"/>
  <c r="H308"/>
  <c r="H309"/>
  <c r="H310"/>
  <c r="H311"/>
  <c r="H312"/>
  <c r="H313"/>
  <c r="H219"/>
  <c r="H314"/>
  <c r="H315"/>
  <c r="H316"/>
  <c r="H34"/>
  <c r="H52"/>
  <c r="H51"/>
  <c r="H260"/>
  <c r="H317"/>
  <c r="H136"/>
  <c r="H318"/>
  <c r="H210"/>
  <c r="H211"/>
  <c r="H212"/>
  <c r="H11"/>
  <c r="H75"/>
  <c r="H319"/>
  <c r="H320"/>
  <c r="H321"/>
  <c r="H117"/>
  <c r="H149"/>
  <c r="H322"/>
  <c r="H282"/>
  <c r="H323"/>
  <c r="H135"/>
  <c r="H54"/>
  <c r="H324"/>
  <c r="H504"/>
  <c r="H193"/>
  <c r="H325"/>
  <c r="H326"/>
  <c r="H295"/>
  <c r="H10"/>
  <c r="H327"/>
  <c r="H328"/>
  <c r="H329"/>
  <c r="H213"/>
  <c r="H118"/>
  <c r="H261"/>
  <c r="H330"/>
  <c r="H331"/>
  <c r="H226"/>
  <c r="H253"/>
  <c r="H187"/>
  <c r="H128"/>
  <c r="H186"/>
  <c r="H17"/>
  <c r="H185"/>
  <c r="H19"/>
  <c r="H155"/>
  <c r="H48"/>
  <c r="H265"/>
  <c r="H248"/>
  <c r="H240"/>
  <c r="H139"/>
  <c r="H12"/>
  <c r="H194"/>
  <c r="H9"/>
  <c r="H13"/>
  <c r="H332"/>
  <c r="H333"/>
  <c r="H334"/>
  <c r="H335"/>
  <c r="H336"/>
  <c r="H337"/>
  <c r="H338"/>
  <c r="H339"/>
  <c r="H340"/>
  <c r="H33"/>
  <c r="H293"/>
  <c r="H283"/>
  <c r="H112"/>
  <c r="H113"/>
  <c r="H341"/>
  <c r="H292"/>
  <c r="H192"/>
  <c r="H50"/>
  <c r="H342"/>
  <c r="H198"/>
  <c r="H14"/>
  <c r="H343"/>
  <c r="H344"/>
  <c r="H250"/>
  <c r="H294"/>
  <c r="H114"/>
  <c r="H345"/>
  <c r="H181"/>
  <c r="H180"/>
  <c r="H179"/>
  <c r="H352"/>
  <c r="H167"/>
  <c r="H166"/>
  <c r="H356"/>
  <c r="H241"/>
  <c r="H80"/>
  <c r="H267"/>
  <c r="H268"/>
  <c r="H269"/>
  <c r="H270"/>
  <c r="H271"/>
  <c r="H22"/>
  <c r="H23"/>
  <c r="H109"/>
  <c r="H232"/>
  <c r="H272"/>
  <c r="H24"/>
  <c r="H37"/>
  <c r="H220"/>
  <c r="H183"/>
  <c r="H25"/>
  <c r="H273"/>
  <c r="H274"/>
  <c r="H26"/>
  <c r="H40"/>
  <c r="H156"/>
  <c r="H227"/>
  <c r="H53"/>
  <c r="H275"/>
  <c r="H35"/>
  <c r="H27"/>
  <c r="H221"/>
  <c r="H242"/>
  <c r="H153"/>
  <c r="H229"/>
  <c r="H222"/>
  <c r="H28"/>
  <c r="H142"/>
  <c r="H143"/>
  <c r="H507"/>
  <c r="H228"/>
  <c r="H41"/>
  <c r="H127"/>
  <c r="H29"/>
  <c r="H254"/>
  <c r="H255"/>
  <c r="H49"/>
  <c r="H157"/>
  <c r="H243"/>
  <c r="H108"/>
  <c r="H110"/>
  <c r="H140"/>
  <c r="H144"/>
  <c r="H141"/>
  <c r="H30"/>
  <c r="H234"/>
  <c r="H36"/>
  <c r="H281"/>
  <c r="H47"/>
  <c r="H158"/>
  <c r="H249"/>
  <c r="H346"/>
  <c r="H490"/>
  <c r="H415"/>
  <c r="H217"/>
  <c r="H208"/>
  <c r="H204"/>
  <c r="H256"/>
  <c r="H199"/>
  <c r="H165"/>
  <c r="H427"/>
  <c r="H426"/>
  <c r="H203"/>
  <c r="H218"/>
  <c r="H202"/>
  <c r="H205"/>
  <c r="H163"/>
  <c r="H164"/>
  <c r="H8"/>
  <c r="H83"/>
  <c r="H84"/>
  <c r="H85"/>
  <c r="H86"/>
  <c r="H119"/>
  <c r="H20"/>
  <c r="H55"/>
  <c r="H115"/>
  <c r="H87"/>
  <c r="H188"/>
  <c r="H42"/>
  <c r="H287"/>
  <c r="H276"/>
  <c r="H235"/>
  <c r="H245"/>
  <c r="H160"/>
  <c r="H150"/>
  <c r="H262"/>
  <c r="H120"/>
  <c r="H79"/>
  <c r="H233"/>
  <c r="H347"/>
  <c r="H56"/>
  <c r="H66"/>
  <c r="H88"/>
  <c r="H237"/>
  <c r="H209"/>
  <c r="H57"/>
  <c r="H38"/>
  <c r="H189"/>
  <c r="H58"/>
  <c r="H89"/>
  <c r="H225"/>
  <c r="H90"/>
  <c r="H91"/>
  <c r="H64"/>
  <c r="H257"/>
  <c r="H59"/>
  <c r="H92"/>
  <c r="H93"/>
  <c r="H94"/>
  <c r="H286"/>
  <c r="H111"/>
  <c r="H95"/>
  <c r="H230"/>
  <c r="H252"/>
  <c r="H96"/>
  <c r="H97"/>
  <c r="H266"/>
  <c r="H98"/>
  <c r="H116"/>
  <c r="H18"/>
  <c r="H290"/>
  <c r="H291"/>
  <c r="H145"/>
  <c r="H251"/>
  <c r="H99"/>
  <c r="H100"/>
  <c r="H101"/>
  <c r="H190"/>
  <c r="H126"/>
  <c r="H60"/>
  <c r="H61"/>
  <c r="H161"/>
  <c r="H244"/>
  <c r="H154"/>
  <c r="H124"/>
  <c r="H137"/>
  <c r="H223"/>
  <c r="H129"/>
  <c r="H284"/>
  <c r="H214"/>
  <c r="H236"/>
  <c r="H121"/>
  <c r="H277"/>
  <c r="H81"/>
  <c r="H63"/>
  <c r="H508"/>
  <c r="H182"/>
  <c r="H148"/>
  <c r="H278"/>
  <c r="H16"/>
  <c r="H239"/>
  <c r="H31"/>
  <c r="H67"/>
  <c r="H102"/>
  <c r="H206"/>
  <c r="H207"/>
  <c r="H21"/>
  <c r="H238"/>
  <c r="H197"/>
  <c r="H103"/>
  <c r="H104"/>
  <c r="H105"/>
  <c r="H65"/>
  <c r="H506"/>
  <c r="H39"/>
  <c r="H224"/>
  <c r="H122"/>
  <c r="H215"/>
  <c r="H279"/>
  <c r="H159"/>
  <c r="J159" s="1"/>
  <c r="H151"/>
  <c r="H246"/>
  <c r="H184"/>
  <c r="H62"/>
  <c r="H258"/>
  <c r="H231"/>
  <c r="H191"/>
  <c r="H259"/>
  <c r="H196"/>
  <c r="H106"/>
  <c r="H7"/>
  <c r="H82"/>
  <c r="H162"/>
  <c r="H125"/>
  <c r="H152"/>
  <c r="H247"/>
  <c r="H263"/>
  <c r="H285"/>
  <c r="H216"/>
  <c r="J216" s="1"/>
  <c r="H123"/>
  <c r="H280"/>
  <c r="H138"/>
  <c r="H107"/>
  <c r="H264"/>
  <c r="H288"/>
  <c r="H289"/>
  <c r="H70"/>
  <c r="H71"/>
  <c r="H68"/>
  <c r="H348"/>
  <c r="H72"/>
  <c r="H73"/>
  <c r="H74"/>
  <c r="H69"/>
  <c r="H130"/>
  <c r="H131"/>
  <c r="H132"/>
  <c r="H200"/>
  <c r="H201"/>
  <c r="H134"/>
  <c r="H133"/>
  <c r="H296"/>
  <c r="I510"/>
  <c r="K438" i="13"/>
  <c r="H438"/>
  <c r="H437"/>
  <c r="H436"/>
  <c r="H435"/>
  <c r="K423"/>
  <c r="H423"/>
  <c r="H422"/>
  <c r="H421"/>
  <c r="K420"/>
  <c r="H420"/>
  <c r="H419"/>
  <c r="H418"/>
  <c r="H417"/>
  <c r="H416"/>
  <c r="K415"/>
  <c r="H415"/>
  <c r="H414"/>
  <c r="H413"/>
  <c r="H412"/>
  <c r="H411"/>
  <c r="K410"/>
  <c r="H410"/>
  <c r="H409"/>
  <c r="H408"/>
  <c r="H407"/>
  <c r="H406"/>
  <c r="K405"/>
  <c r="H405"/>
  <c r="H404"/>
  <c r="H403"/>
  <c r="K402"/>
  <c r="H402"/>
  <c r="H401"/>
  <c r="H400"/>
  <c r="K399"/>
  <c r="H399"/>
  <c r="H398"/>
  <c r="H397"/>
  <c r="K396"/>
  <c r="H396"/>
  <c r="H395"/>
  <c r="H394"/>
  <c r="K393"/>
  <c r="H393"/>
  <c r="H392"/>
  <c r="H391"/>
  <c r="H390"/>
  <c r="H389"/>
  <c r="H388"/>
  <c r="H387"/>
  <c r="K385"/>
  <c r="H385"/>
  <c r="H384"/>
  <c r="H383"/>
  <c r="K382"/>
  <c r="H382"/>
  <c r="H381"/>
  <c r="H380"/>
  <c r="K378"/>
  <c r="H378"/>
  <c r="H377"/>
  <c r="H376"/>
  <c r="H375"/>
  <c r="K374"/>
  <c r="H374"/>
  <c r="H373"/>
  <c r="H372"/>
  <c r="K371"/>
  <c r="H371"/>
  <c r="H370"/>
  <c r="H369"/>
  <c r="K368"/>
  <c r="H368"/>
  <c r="H367"/>
  <c r="H366"/>
  <c r="H365"/>
  <c r="H364"/>
  <c r="K362"/>
  <c r="H362"/>
  <c r="H361"/>
  <c r="H360"/>
  <c r="H359"/>
  <c r="H358"/>
  <c r="K357"/>
  <c r="H357"/>
  <c r="H356"/>
  <c r="H355"/>
  <c r="K354"/>
  <c r="H354"/>
  <c r="H353"/>
  <c r="H352"/>
  <c r="H351"/>
  <c r="H350"/>
  <c r="K349"/>
  <c r="H349"/>
  <c r="H348"/>
  <c r="H347"/>
  <c r="K346"/>
  <c r="H346"/>
  <c r="H345"/>
  <c r="H344"/>
  <c r="H343"/>
  <c r="K342"/>
  <c r="H342"/>
  <c r="H341"/>
  <c r="H340"/>
  <c r="K255"/>
  <c r="H220"/>
  <c r="H218"/>
  <c r="J220" s="1"/>
  <c r="K171"/>
  <c r="H171"/>
  <c r="H170"/>
  <c r="H169"/>
  <c r="K168"/>
  <c r="H168"/>
  <c r="H167"/>
  <c r="H166"/>
  <c r="K161"/>
  <c r="K93"/>
  <c r="H93"/>
  <c r="H92"/>
  <c r="H91"/>
  <c r="H90"/>
  <c r="K89"/>
  <c r="H89"/>
  <c r="H88"/>
  <c r="H87"/>
  <c r="H86"/>
  <c r="K85"/>
  <c r="H85"/>
  <c r="H84"/>
  <c r="H83"/>
  <c r="H82"/>
  <c r="K81"/>
  <c r="H81"/>
  <c r="H80"/>
  <c r="H79"/>
  <c r="K54"/>
  <c r="H54"/>
  <c r="H53"/>
  <c r="H52"/>
  <c r="H51"/>
  <c r="H50"/>
  <c r="H445"/>
  <c r="H271"/>
  <c r="H272"/>
  <c r="H273"/>
  <c r="H199"/>
  <c r="H200"/>
  <c r="H274"/>
  <c r="H57"/>
  <c r="H10"/>
  <c r="H275"/>
  <c r="H276"/>
  <c r="H253"/>
  <c r="H267"/>
  <c r="H277"/>
  <c r="H70"/>
  <c r="H94"/>
  <c r="H264"/>
  <c r="H37"/>
  <c r="H278"/>
  <c r="H279"/>
  <c r="H234"/>
  <c r="H280"/>
  <c r="H281"/>
  <c r="H282"/>
  <c r="H283"/>
  <c r="H284"/>
  <c r="H285"/>
  <c r="H286"/>
  <c r="H287"/>
  <c r="H288"/>
  <c r="H15"/>
  <c r="H123"/>
  <c r="H8"/>
  <c r="H289"/>
  <c r="H424"/>
  <c r="H290"/>
  <c r="H122"/>
  <c r="H48"/>
  <c r="H425"/>
  <c r="H46"/>
  <c r="H190"/>
  <c r="H244"/>
  <c r="H428"/>
  <c r="H49"/>
  <c r="H202"/>
  <c r="H151"/>
  <c r="H265"/>
  <c r="H291"/>
  <c r="H187"/>
  <c r="H292"/>
  <c r="H36"/>
  <c r="H293"/>
  <c r="H31"/>
  <c r="H173"/>
  <c r="H175"/>
  <c r="H23"/>
  <c r="H24"/>
  <c r="H25"/>
  <c r="H26"/>
  <c r="H27"/>
  <c r="H217"/>
  <c r="H144"/>
  <c r="H145"/>
  <c r="H40"/>
  <c r="H146"/>
  <c r="H147"/>
  <c r="H55"/>
  <c r="H13"/>
  <c r="H294"/>
  <c r="H295"/>
  <c r="H296"/>
  <c r="H297"/>
  <c r="H298"/>
  <c r="H14"/>
  <c r="H11"/>
  <c r="H429"/>
  <c r="H430"/>
  <c r="H299"/>
  <c r="H266"/>
  <c r="H43"/>
  <c r="H233"/>
  <c r="H300"/>
  <c r="H301"/>
  <c r="H302"/>
  <c r="H303"/>
  <c r="H304"/>
  <c r="H305"/>
  <c r="H431"/>
  <c r="H433"/>
  <c r="H204"/>
  <c r="H198"/>
  <c r="H140"/>
  <c r="H195"/>
  <c r="H306"/>
  <c r="H307"/>
  <c r="H308"/>
  <c r="H309"/>
  <c r="H427"/>
  <c r="H310"/>
  <c r="H311"/>
  <c r="H124"/>
  <c r="H312"/>
  <c r="H363"/>
  <c r="H313"/>
  <c r="H12"/>
  <c r="H47"/>
  <c r="H248"/>
  <c r="H249"/>
  <c r="H247"/>
  <c r="H28"/>
  <c r="H29"/>
  <c r="H30"/>
  <c r="H439"/>
  <c r="H440"/>
  <c r="H174"/>
  <c r="H259"/>
  <c r="H133"/>
  <c r="H139"/>
  <c r="H314"/>
  <c r="H268"/>
  <c r="H434"/>
  <c r="H315"/>
  <c r="H316"/>
  <c r="H269"/>
  <c r="H317"/>
  <c r="H318"/>
  <c r="H319"/>
  <c r="H320"/>
  <c r="H321"/>
  <c r="H322"/>
  <c r="H323"/>
  <c r="H324"/>
  <c r="H325"/>
  <c r="H326"/>
  <c r="H327"/>
  <c r="H328"/>
  <c r="H329"/>
  <c r="H330"/>
  <c r="H331"/>
  <c r="H332"/>
  <c r="H432"/>
  <c r="H333"/>
  <c r="H334"/>
  <c r="H203"/>
  <c r="H152"/>
  <c r="H9"/>
  <c r="H426"/>
  <c r="H189"/>
  <c r="H188"/>
  <c r="H335"/>
  <c r="H241"/>
  <c r="H58"/>
  <c r="H35"/>
  <c r="H56"/>
  <c r="H179"/>
  <c r="H225"/>
  <c r="H132"/>
  <c r="H243"/>
  <c r="H38"/>
  <c r="H207"/>
  <c r="H157"/>
  <c r="H208"/>
  <c r="H231"/>
  <c r="H18"/>
  <c r="H209"/>
  <c r="H16"/>
  <c r="H32"/>
  <c r="H141"/>
  <c r="H180"/>
  <c r="H214"/>
  <c r="H256"/>
  <c r="H263"/>
  <c r="H96"/>
  <c r="H258"/>
  <c r="H215"/>
  <c r="H159"/>
  <c r="H210"/>
  <c r="H211"/>
  <c r="H212"/>
  <c r="H213"/>
  <c r="H192"/>
  <c r="H41"/>
  <c r="H44"/>
  <c r="H34"/>
  <c r="H39"/>
  <c r="H160"/>
  <c r="H237"/>
  <c r="H138"/>
  <c r="H45"/>
  <c r="H232"/>
  <c r="H235"/>
  <c r="H78"/>
  <c r="H336"/>
  <c r="H337"/>
  <c r="H338"/>
  <c r="H143"/>
  <c r="H197"/>
  <c r="H99"/>
  <c r="H100"/>
  <c r="H59"/>
  <c r="H21"/>
  <c r="H101"/>
  <c r="H42"/>
  <c r="H201"/>
  <c r="H102"/>
  <c r="H33"/>
  <c r="H245"/>
  <c r="H164"/>
  <c r="H103"/>
  <c r="H125"/>
  <c r="H17"/>
  <c r="H104"/>
  <c r="H71"/>
  <c r="H339"/>
  <c r="H105"/>
  <c r="H196"/>
  <c r="H236"/>
  <c r="H149"/>
  <c r="H106"/>
  <c r="H107"/>
  <c r="H68"/>
  <c r="H177"/>
  <c r="H172"/>
  <c r="H95"/>
  <c r="H260"/>
  <c r="H176"/>
  <c r="H205"/>
  <c r="H228"/>
  <c r="H242"/>
  <c r="H155"/>
  <c r="H97"/>
  <c r="H60"/>
  <c r="H22"/>
  <c r="H108"/>
  <c r="H250"/>
  <c r="H127"/>
  <c r="H254"/>
  <c r="H158"/>
  <c r="H148"/>
  <c r="H226"/>
  <c r="H121"/>
  <c r="H153"/>
  <c r="H165"/>
  <c r="H109"/>
  <c r="H110"/>
  <c r="H111"/>
  <c r="H112"/>
  <c r="H113"/>
  <c r="H72"/>
  <c r="H61"/>
  <c r="H126"/>
  <c r="H114"/>
  <c r="H441"/>
  <c r="H178"/>
  <c r="H221"/>
  <c r="H128"/>
  <c r="H156"/>
  <c r="H162"/>
  <c r="H227"/>
  <c r="H191"/>
  <c r="H130"/>
  <c r="H229"/>
  <c r="H222"/>
  <c r="H216"/>
  <c r="H161"/>
  <c r="H67"/>
  <c r="H251"/>
  <c r="H255"/>
  <c r="H98"/>
  <c r="H154"/>
  <c r="H115"/>
  <c r="H116"/>
  <c r="H261"/>
  <c r="H262"/>
  <c r="H19"/>
  <c r="H238"/>
  <c r="H239"/>
  <c r="H117"/>
  <c r="H181"/>
  <c r="H182"/>
  <c r="H183"/>
  <c r="H184"/>
  <c r="H185"/>
  <c r="H62"/>
  <c r="H63"/>
  <c r="H64"/>
  <c r="H65"/>
  <c r="H240"/>
  <c r="H20"/>
  <c r="H224"/>
  <c r="H137"/>
  <c r="H69"/>
  <c r="H246"/>
  <c r="H150"/>
  <c r="H206"/>
  <c r="H230"/>
  <c r="H129"/>
  <c r="H223"/>
  <c r="H163"/>
  <c r="H131"/>
  <c r="H142"/>
  <c r="H252"/>
  <c r="H118"/>
  <c r="H119"/>
  <c r="H120"/>
  <c r="H66"/>
  <c r="H186"/>
  <c r="H76"/>
  <c r="H77"/>
  <c r="H74"/>
  <c r="H75"/>
  <c r="H134"/>
  <c r="H73"/>
  <c r="H257"/>
  <c r="H136"/>
  <c r="H194"/>
  <c r="H135"/>
  <c r="H193"/>
  <c r="H270"/>
  <c r="I445"/>
  <c r="K396" i="12"/>
  <c r="H396"/>
  <c r="H395"/>
  <c r="H394"/>
  <c r="H393"/>
  <c r="H392"/>
  <c r="H391"/>
  <c r="H390"/>
  <c r="H389"/>
  <c r="J396" s="1"/>
  <c r="H388"/>
  <c r="K387"/>
  <c r="H387"/>
  <c r="H386"/>
  <c r="H385"/>
  <c r="K384"/>
  <c r="H384"/>
  <c r="H383"/>
  <c r="H382"/>
  <c r="K381"/>
  <c r="H381"/>
  <c r="H380"/>
  <c r="H379"/>
  <c r="K378"/>
  <c r="H378"/>
  <c r="H377"/>
  <c r="K376"/>
  <c r="H376"/>
  <c r="H375"/>
  <c r="H374"/>
  <c r="H373"/>
  <c r="K372"/>
  <c r="H372"/>
  <c r="H371"/>
  <c r="H370"/>
  <c r="K369"/>
  <c r="H369"/>
  <c r="H368"/>
  <c r="H367"/>
  <c r="H366"/>
  <c r="K365"/>
  <c r="H365"/>
  <c r="H364"/>
  <c r="H363"/>
  <c r="K362"/>
  <c r="H362"/>
  <c r="H361"/>
  <c r="H360"/>
  <c r="K359"/>
  <c r="H359"/>
  <c r="H358"/>
  <c r="H357"/>
  <c r="H356"/>
  <c r="K355"/>
  <c r="H355"/>
  <c r="H354"/>
  <c r="H353"/>
  <c r="K260"/>
  <c r="K207"/>
  <c r="H207"/>
  <c r="H206"/>
  <c r="H205"/>
  <c r="H204"/>
  <c r="K199"/>
  <c r="H199"/>
  <c r="H198"/>
  <c r="H197"/>
  <c r="K192"/>
  <c r="H192"/>
  <c r="H191"/>
  <c r="H190"/>
  <c r="H189"/>
  <c r="K187"/>
  <c r="H187"/>
  <c r="H186"/>
  <c r="H185"/>
  <c r="H184"/>
  <c r="H183"/>
  <c r="H182"/>
  <c r="H181"/>
  <c r="H180"/>
  <c r="H179"/>
  <c r="H178"/>
  <c r="H177"/>
  <c r="K156"/>
  <c r="H156"/>
  <c r="H155"/>
  <c r="H154"/>
  <c r="K153"/>
  <c r="H153"/>
  <c r="H152"/>
  <c r="K151"/>
  <c r="H151"/>
  <c r="H150"/>
  <c r="H149"/>
  <c r="H148"/>
  <c r="K147"/>
  <c r="H147"/>
  <c r="H146"/>
  <c r="H145"/>
  <c r="K144"/>
  <c r="H144"/>
  <c r="H143"/>
  <c r="H142"/>
  <c r="H141"/>
  <c r="K140"/>
  <c r="H140"/>
  <c r="H139"/>
  <c r="K138"/>
  <c r="H138"/>
  <c r="H137"/>
  <c r="H136"/>
  <c r="H451" i="3" l="1"/>
  <c r="H562" s="1"/>
  <c r="I562"/>
  <c r="I457" i="6"/>
  <c r="I391" i="3"/>
  <c r="I564"/>
  <c r="J393" i="13"/>
  <c r="J423"/>
  <c r="J438"/>
  <c r="J78" i="14"/>
  <c r="J46"/>
  <c r="H510"/>
  <c r="H727" s="1"/>
  <c r="I512"/>
  <c r="J420" i="13"/>
  <c r="J415"/>
  <c r="J410"/>
  <c r="J405"/>
  <c r="J399"/>
  <c r="J402"/>
  <c r="J396"/>
  <c r="J391"/>
  <c r="J382"/>
  <c r="J385"/>
  <c r="J374"/>
  <c r="J378"/>
  <c r="J342"/>
  <c r="J371"/>
  <c r="J368"/>
  <c r="J357"/>
  <c r="J362"/>
  <c r="J354"/>
  <c r="J346"/>
  <c r="J349"/>
  <c r="J168"/>
  <c r="J171"/>
  <c r="J93"/>
  <c r="J81"/>
  <c r="J85"/>
  <c r="J89"/>
  <c r="J54"/>
  <c r="J384" i="12"/>
  <c r="J387"/>
  <c r="J378"/>
  <c r="J381"/>
  <c r="J376"/>
  <c r="J372"/>
  <c r="J369"/>
  <c r="J365"/>
  <c r="J362"/>
  <c r="J355"/>
  <c r="J359"/>
  <c r="J199"/>
  <c r="J207"/>
  <c r="J192"/>
  <c r="J187"/>
  <c r="J153"/>
  <c r="J156"/>
  <c r="J140"/>
  <c r="J151"/>
  <c r="J147"/>
  <c r="J144"/>
  <c r="J138"/>
  <c r="H92"/>
  <c r="H90"/>
  <c r="H89"/>
  <c r="H88"/>
  <c r="H24"/>
  <c r="H404"/>
  <c r="H273"/>
  <c r="H274"/>
  <c r="H275"/>
  <c r="H276"/>
  <c r="H277"/>
  <c r="H278"/>
  <c r="H279"/>
  <c r="H280"/>
  <c r="H281"/>
  <c r="H282"/>
  <c r="H233"/>
  <c r="H12"/>
  <c r="H283"/>
  <c r="H284"/>
  <c r="H285"/>
  <c r="H286"/>
  <c r="H287"/>
  <c r="H288"/>
  <c r="H289"/>
  <c r="H290"/>
  <c r="H291"/>
  <c r="H292"/>
  <c r="H293"/>
  <c r="H294"/>
  <c r="H295"/>
  <c r="H296"/>
  <c r="H297"/>
  <c r="H298"/>
  <c r="H26"/>
  <c r="H11"/>
  <c r="H299"/>
  <c r="H300"/>
  <c r="H301"/>
  <c r="H302"/>
  <c r="H303"/>
  <c r="H304"/>
  <c r="H305"/>
  <c r="H124"/>
  <c r="H232"/>
  <c r="H234"/>
  <c r="H306"/>
  <c r="H307"/>
  <c r="H241"/>
  <c r="H308"/>
  <c r="H196"/>
  <c r="H269"/>
  <c r="H188"/>
  <c r="H174"/>
  <c r="H309"/>
  <c r="H310"/>
  <c r="H41"/>
  <c r="H40"/>
  <c r="H311"/>
  <c r="H312"/>
  <c r="H30"/>
  <c r="H210"/>
  <c r="H218"/>
  <c r="H19"/>
  <c r="H37"/>
  <c r="H313"/>
  <c r="J356"/>
  <c r="H38"/>
  <c r="H314"/>
  <c r="H315"/>
  <c r="H242"/>
  <c r="H35"/>
  <c r="H10"/>
  <c r="H44"/>
  <c r="H316"/>
  <c r="H317"/>
  <c r="H318"/>
  <c r="H27"/>
  <c r="H271"/>
  <c r="H42"/>
  <c r="H195"/>
  <c r="H193"/>
  <c r="H270"/>
  <c r="H319"/>
  <c r="H320"/>
  <c r="H321"/>
  <c r="H231"/>
  <c r="H208"/>
  <c r="H165"/>
  <c r="H265"/>
  <c r="H13"/>
  <c r="H224"/>
  <c r="H166"/>
  <c r="H267"/>
  <c r="H158"/>
  <c r="H115"/>
  <c r="H31"/>
  <c r="H268"/>
  <c r="H248"/>
  <c r="H20"/>
  <c r="H21"/>
  <c r="H22"/>
  <c r="H322"/>
  <c r="H323"/>
  <c r="H324"/>
  <c r="H325"/>
  <c r="H326"/>
  <c r="H327"/>
  <c r="H328"/>
  <c r="H329"/>
  <c r="H330"/>
  <c r="H331"/>
  <c r="H332"/>
  <c r="H333"/>
  <c r="H334"/>
  <c r="H9"/>
  <c r="H32"/>
  <c r="H249"/>
  <c r="H214"/>
  <c r="H211"/>
  <c r="H215"/>
  <c r="H64"/>
  <c r="H237"/>
  <c r="H51"/>
  <c r="H23"/>
  <c r="H111"/>
  <c r="H209"/>
  <c r="H39"/>
  <c r="H106"/>
  <c r="H43"/>
  <c r="H243"/>
  <c r="H109"/>
  <c r="H335"/>
  <c r="H157"/>
  <c r="H336"/>
  <c r="H15"/>
  <c r="H52"/>
  <c r="H164"/>
  <c r="H219"/>
  <c r="H29"/>
  <c r="H222"/>
  <c r="H33"/>
  <c r="H398"/>
  <c r="H128"/>
  <c r="H230"/>
  <c r="H337"/>
  <c r="H338"/>
  <c r="H339"/>
  <c r="H340"/>
  <c r="H341"/>
  <c r="H342"/>
  <c r="H343"/>
  <c r="H344"/>
  <c r="H114"/>
  <c r="H116"/>
  <c r="H108"/>
  <c r="H135"/>
  <c r="H118"/>
  <c r="H257"/>
  <c r="H345"/>
  <c r="H212"/>
  <c r="H28"/>
  <c r="H49"/>
  <c r="H34"/>
  <c r="H266"/>
  <c r="H245"/>
  <c r="H129"/>
  <c r="H256"/>
  <c r="H25"/>
  <c r="H346"/>
  <c r="H347"/>
  <c r="H348"/>
  <c r="H349"/>
  <c r="H56"/>
  <c r="H352"/>
  <c r="H159"/>
  <c r="H130"/>
  <c r="H261"/>
  <c r="H107"/>
  <c r="H194"/>
  <c r="H399"/>
  <c r="H16"/>
  <c r="H250"/>
  <c r="H97"/>
  <c r="H94"/>
  <c r="H246"/>
  <c r="H66"/>
  <c r="H67"/>
  <c r="H171"/>
  <c r="H68"/>
  <c r="H69"/>
  <c r="H350"/>
  <c r="H351"/>
  <c r="H70"/>
  <c r="H133"/>
  <c r="H225"/>
  <c r="H119"/>
  <c r="H255"/>
  <c r="H120"/>
  <c r="H17"/>
  <c r="H102"/>
  <c r="H131"/>
  <c r="H98"/>
  <c r="H99"/>
  <c r="H121"/>
  <c r="H202"/>
  <c r="H200"/>
  <c r="H125"/>
  <c r="H87"/>
  <c r="H251"/>
  <c r="H71"/>
  <c r="H72"/>
  <c r="H73"/>
  <c r="H74"/>
  <c r="H262"/>
  <c r="H160"/>
  <c r="H161"/>
  <c r="H162"/>
  <c r="H48"/>
  <c r="H50"/>
  <c r="H75"/>
  <c r="H76"/>
  <c r="H36"/>
  <c r="H132"/>
  <c r="H227"/>
  <c r="H122"/>
  <c r="H252"/>
  <c r="H223"/>
  <c r="H226"/>
  <c r="H100"/>
  <c r="H103"/>
  <c r="H126"/>
  <c r="H176"/>
  <c r="H134"/>
  <c r="H77"/>
  <c r="H78"/>
  <c r="H79"/>
  <c r="H18"/>
  <c r="H14"/>
  <c r="H105"/>
  <c r="H172"/>
  <c r="H238"/>
  <c r="H55"/>
  <c r="H247"/>
  <c r="H235"/>
  <c r="H259"/>
  <c r="H80"/>
  <c r="H62"/>
  <c r="H81"/>
  <c r="H220"/>
  <c r="H101"/>
  <c r="H104"/>
  <c r="H127"/>
  <c r="H216"/>
  <c r="H221"/>
  <c r="H260"/>
  <c r="J260" s="1"/>
  <c r="H65"/>
  <c r="H397"/>
  <c r="H123"/>
  <c r="H201"/>
  <c r="H253"/>
  <c r="H163"/>
  <c r="H82"/>
  <c r="H93"/>
  <c r="H95"/>
  <c r="H96"/>
  <c r="H117"/>
  <c r="H263"/>
  <c r="H264"/>
  <c r="H83"/>
  <c r="H58"/>
  <c r="H84"/>
  <c r="H85"/>
  <c r="H175"/>
  <c r="H167"/>
  <c r="H168"/>
  <c r="H169"/>
  <c r="H170"/>
  <c r="H239"/>
  <c r="H45"/>
  <c r="H46"/>
  <c r="H240"/>
  <c r="H86"/>
  <c r="H258"/>
  <c r="H217"/>
  <c r="H8"/>
  <c r="H203"/>
  <c r="H228"/>
  <c r="H254"/>
  <c r="H213"/>
  <c r="H229"/>
  <c r="H53"/>
  <c r="H63"/>
  <c r="H60"/>
  <c r="H61"/>
  <c r="H57"/>
  <c r="H47"/>
  <c r="H54"/>
  <c r="H236"/>
  <c r="H59"/>
  <c r="H244"/>
  <c r="H110"/>
  <c r="H112"/>
  <c r="H173"/>
  <c r="H113"/>
  <c r="H272"/>
  <c r="I401"/>
  <c r="K379" i="11"/>
  <c r="H379"/>
  <c r="H378"/>
  <c r="H376"/>
  <c r="H377"/>
  <c r="K375"/>
  <c r="H369"/>
  <c r="H375"/>
  <c r="H374"/>
  <c r="H373"/>
  <c r="H372"/>
  <c r="H371"/>
  <c r="H370"/>
  <c r="K363"/>
  <c r="H363"/>
  <c r="H362"/>
  <c r="H361"/>
  <c r="K359"/>
  <c r="H359"/>
  <c r="H358"/>
  <c r="H357"/>
  <c r="H356"/>
  <c r="H355"/>
  <c r="H354"/>
  <c r="K353"/>
  <c r="H353"/>
  <c r="H352"/>
  <c r="K351"/>
  <c r="H351"/>
  <c r="H350"/>
  <c r="H349"/>
  <c r="H348"/>
  <c r="H347"/>
  <c r="K346"/>
  <c r="H346"/>
  <c r="H345"/>
  <c r="H344"/>
  <c r="K343"/>
  <c r="H343"/>
  <c r="H342"/>
  <c r="H341"/>
  <c r="K340"/>
  <c r="H340"/>
  <c r="H339"/>
  <c r="H338"/>
  <c r="K337"/>
  <c r="H337"/>
  <c r="H336"/>
  <c r="H335"/>
  <c r="H334"/>
  <c r="H333"/>
  <c r="K332"/>
  <c r="H332"/>
  <c r="H331"/>
  <c r="H330"/>
  <c r="K329"/>
  <c r="H329"/>
  <c r="H328"/>
  <c r="H327"/>
  <c r="K326"/>
  <c r="H326"/>
  <c r="H325"/>
  <c r="H324"/>
  <c r="K323"/>
  <c r="H323"/>
  <c r="H322"/>
  <c r="K321"/>
  <c r="H321"/>
  <c r="H320"/>
  <c r="H319"/>
  <c r="H318"/>
  <c r="H317"/>
  <c r="H316"/>
  <c r="K315"/>
  <c r="H315"/>
  <c r="H314"/>
  <c r="H313"/>
  <c r="K312"/>
  <c r="H312"/>
  <c r="H311"/>
  <c r="K310"/>
  <c r="H310"/>
  <c r="H309"/>
  <c r="H308"/>
  <c r="H307"/>
  <c r="H306"/>
  <c r="H305"/>
  <c r="H304"/>
  <c r="K303"/>
  <c r="H303"/>
  <c r="H302"/>
  <c r="H301"/>
  <c r="H300"/>
  <c r="H299"/>
  <c r="H298"/>
  <c r="H297"/>
  <c r="K296"/>
  <c r="H296"/>
  <c r="H295"/>
  <c r="H294"/>
  <c r="K293"/>
  <c r="H293"/>
  <c r="H292"/>
  <c r="H291"/>
  <c r="K290"/>
  <c r="H290"/>
  <c r="H289"/>
  <c r="H288"/>
  <c r="K287"/>
  <c r="H287"/>
  <c r="H286"/>
  <c r="H285"/>
  <c r="K284"/>
  <c r="H284"/>
  <c r="H283"/>
  <c r="K282"/>
  <c r="H282"/>
  <c r="H281"/>
  <c r="H280"/>
  <c r="K279"/>
  <c r="H279"/>
  <c r="H278"/>
  <c r="H277"/>
  <c r="H276"/>
  <c r="K275"/>
  <c r="H275"/>
  <c r="H274"/>
  <c r="H273"/>
  <c r="H272"/>
  <c r="K271"/>
  <c r="H271"/>
  <c r="H270"/>
  <c r="H269"/>
  <c r="K213"/>
  <c r="K204"/>
  <c r="H191"/>
  <c r="K169"/>
  <c r="K168"/>
  <c r="K148"/>
  <c r="K143"/>
  <c r="H139"/>
  <c r="H143"/>
  <c r="H142"/>
  <c r="H141"/>
  <c r="H140"/>
  <c r="K138"/>
  <c r="H138"/>
  <c r="H137"/>
  <c r="H136"/>
  <c r="H135"/>
  <c r="H134"/>
  <c r="H133"/>
  <c r="K123"/>
  <c r="J92" i="12" l="1"/>
  <c r="J379" i="11"/>
  <c r="I404" i="12"/>
  <c r="H401"/>
  <c r="J375" i="11"/>
  <c r="J363"/>
  <c r="J359"/>
  <c r="J353"/>
  <c r="J351"/>
  <c r="J346"/>
  <c r="J343"/>
  <c r="J340"/>
  <c r="J337"/>
  <c r="J332"/>
  <c r="J329"/>
  <c r="J326"/>
  <c r="J323"/>
  <c r="J321"/>
  <c r="J312"/>
  <c r="J315"/>
  <c r="J310"/>
  <c r="J303"/>
  <c r="J279"/>
  <c r="J287"/>
  <c r="J290"/>
  <c r="J293"/>
  <c r="J296"/>
  <c r="J284"/>
  <c r="J282"/>
  <c r="J271"/>
  <c r="J275"/>
  <c r="J143"/>
  <c r="J138"/>
  <c r="H56"/>
  <c r="I381"/>
  <c r="H382"/>
  <c r="H199"/>
  <c r="H228"/>
  <c r="H229"/>
  <c r="H120"/>
  <c r="H230"/>
  <c r="H231"/>
  <c r="H232"/>
  <c r="H233"/>
  <c r="H364"/>
  <c r="H156"/>
  <c r="H89"/>
  <c r="H234"/>
  <c r="H235"/>
  <c r="H38"/>
  <c r="H236"/>
  <c r="H24"/>
  <c r="H237"/>
  <c r="H107"/>
  <c r="H238"/>
  <c r="H239"/>
  <c r="H100"/>
  <c r="H240"/>
  <c r="H241"/>
  <c r="H242"/>
  <c r="H164"/>
  <c r="H243"/>
  <c r="H244"/>
  <c r="H194"/>
  <c r="H42"/>
  <c r="H245"/>
  <c r="H246"/>
  <c r="H247"/>
  <c r="H248"/>
  <c r="H193"/>
  <c r="H249"/>
  <c r="H90"/>
  <c r="H250"/>
  <c r="H251"/>
  <c r="H91"/>
  <c r="H252"/>
  <c r="H253"/>
  <c r="H254"/>
  <c r="H255"/>
  <c r="H256"/>
  <c r="H257"/>
  <c r="H258"/>
  <c r="H259"/>
  <c r="H260"/>
  <c r="H261"/>
  <c r="H262"/>
  <c r="H157"/>
  <c r="H40"/>
  <c r="H44"/>
  <c r="H263"/>
  <c r="H227"/>
  <c r="H26"/>
  <c r="H27"/>
  <c r="H13"/>
  <c r="H264"/>
  <c r="H163"/>
  <c r="H162"/>
  <c r="H226"/>
  <c r="H111"/>
  <c r="H23"/>
  <c r="H86"/>
  <c r="H207"/>
  <c r="H119"/>
  <c r="H367"/>
  <c r="H109"/>
  <c r="H221"/>
  <c r="H34"/>
  <c r="H15"/>
  <c r="H16"/>
  <c r="H177"/>
  <c r="H102"/>
  <c r="H152"/>
  <c r="H265"/>
  <c r="H192"/>
  <c r="H266"/>
  <c r="H41"/>
  <c r="H267"/>
  <c r="H43"/>
  <c r="H39"/>
  <c r="H165"/>
  <c r="H166"/>
  <c r="H167"/>
  <c r="H57"/>
  <c r="H55"/>
  <c r="H54"/>
  <c r="H52"/>
  <c r="H160"/>
  <c r="H368"/>
  <c r="H202"/>
  <c r="H59"/>
  <c r="H225"/>
  <c r="H112"/>
  <c r="H210"/>
  <c r="H217"/>
  <c r="H113"/>
  <c r="H114"/>
  <c r="H215"/>
  <c r="H211"/>
  <c r="H216"/>
  <c r="H214"/>
  <c r="H180"/>
  <c r="H115"/>
  <c r="H175"/>
  <c r="H37"/>
  <c r="H209"/>
  <c r="H28"/>
  <c r="H29"/>
  <c r="H208"/>
  <c r="H30"/>
  <c r="H12"/>
  <c r="H87"/>
  <c r="H151"/>
  <c r="H198"/>
  <c r="H181"/>
  <c r="H22"/>
  <c r="H58"/>
  <c r="H176"/>
  <c r="H101"/>
  <c r="H153"/>
  <c r="H31"/>
  <c r="H222"/>
  <c r="H223"/>
  <c r="H146"/>
  <c r="H224"/>
  <c r="H108"/>
  <c r="H14"/>
  <c r="H110"/>
  <c r="H88"/>
  <c r="H103"/>
  <c r="H104"/>
  <c r="H36"/>
  <c r="H144"/>
  <c r="H17"/>
  <c r="H18"/>
  <c r="H203"/>
  <c r="H182"/>
  <c r="H19"/>
  <c r="H20"/>
  <c r="H21"/>
  <c r="H183"/>
  <c r="H53"/>
  <c r="H49"/>
  <c r="H50"/>
  <c r="H174"/>
  <c r="H158"/>
  <c r="H93"/>
  <c r="H60"/>
  <c r="H212"/>
  <c r="H85"/>
  <c r="H195"/>
  <c r="H188"/>
  <c r="H187"/>
  <c r="H33"/>
  <c r="H179"/>
  <c r="H32"/>
  <c r="H61"/>
  <c r="H197"/>
  <c r="H268"/>
  <c r="H62"/>
  <c r="H63"/>
  <c r="H64"/>
  <c r="H65"/>
  <c r="H218"/>
  <c r="H25"/>
  <c r="H380"/>
  <c r="H126"/>
  <c r="H94"/>
  <c r="H8"/>
  <c r="H384" s="1"/>
  <c r="H122"/>
  <c r="H185"/>
  <c r="H168"/>
  <c r="J168" s="1"/>
  <c r="H170"/>
  <c r="H97"/>
  <c r="H360"/>
  <c r="H147"/>
  <c r="H45"/>
  <c r="H51"/>
  <c r="H66"/>
  <c r="H189"/>
  <c r="H116"/>
  <c r="H171"/>
  <c r="H123"/>
  <c r="J123" s="1"/>
  <c r="H98"/>
  <c r="H95"/>
  <c r="H204"/>
  <c r="J204" s="1"/>
  <c r="H125"/>
  <c r="H127"/>
  <c r="H46"/>
  <c r="H148"/>
  <c r="J148" s="1"/>
  <c r="H149"/>
  <c r="H67"/>
  <c r="H68"/>
  <c r="H69"/>
  <c r="H118"/>
  <c r="H130"/>
  <c r="H131"/>
  <c r="H70"/>
  <c r="H71"/>
  <c r="H72"/>
  <c r="H73"/>
  <c r="H196"/>
  <c r="H132"/>
  <c r="H74"/>
  <c r="H75"/>
  <c r="H10"/>
  <c r="H145"/>
  <c r="H184"/>
  <c r="H117"/>
  <c r="H190"/>
  <c r="H172"/>
  <c r="H205"/>
  <c r="H206"/>
  <c r="H200"/>
  <c r="H121"/>
  <c r="H92"/>
  <c r="H76"/>
  <c r="H161"/>
  <c r="H201"/>
  <c r="H48"/>
  <c r="H366"/>
  <c r="H77"/>
  <c r="H78"/>
  <c r="H150"/>
  <c r="H47"/>
  <c r="H35"/>
  <c r="H186"/>
  <c r="H99"/>
  <c r="H9"/>
  <c r="H124"/>
  <c r="H169"/>
  <c r="J169" s="1"/>
  <c r="H96"/>
  <c r="H128"/>
  <c r="H129"/>
  <c r="H213"/>
  <c r="H173"/>
  <c r="H79"/>
  <c r="H80"/>
  <c r="H81"/>
  <c r="H82"/>
  <c r="H154"/>
  <c r="H155"/>
  <c r="H219"/>
  <c r="H220"/>
  <c r="H83"/>
  <c r="H84"/>
  <c r="H178"/>
  <c r="H11"/>
  <c r="H159"/>
  <c r="H106"/>
  <c r="H105"/>
  <c r="H365"/>
  <c r="K294" i="9"/>
  <c r="H294"/>
  <c r="H293"/>
  <c r="K292"/>
  <c r="H292"/>
  <c r="H291"/>
  <c r="H290"/>
  <c r="H289"/>
  <c r="H288"/>
  <c r="H287"/>
  <c r="H286"/>
  <c r="H285"/>
  <c r="K308"/>
  <c r="H308"/>
  <c r="H307"/>
  <c r="H306"/>
  <c r="H305"/>
  <c r="H304"/>
  <c r="H303"/>
  <c r="H302"/>
  <c r="J318"/>
  <c r="H316"/>
  <c r="K249"/>
  <c r="H249"/>
  <c r="H248"/>
  <c r="K246"/>
  <c r="H246"/>
  <c r="H245"/>
  <c r="H244"/>
  <c r="H243"/>
  <c r="K242"/>
  <c r="H242"/>
  <c r="H241"/>
  <c r="H240"/>
  <c r="K239"/>
  <c r="H239"/>
  <c r="H238"/>
  <c r="H237"/>
  <c r="K236"/>
  <c r="H236"/>
  <c r="H235"/>
  <c r="H234"/>
  <c r="K233"/>
  <c r="H233"/>
  <c r="H232"/>
  <c r="H231"/>
  <c r="H230"/>
  <c r="K229"/>
  <c r="H229"/>
  <c r="H228"/>
  <c r="H227"/>
  <c r="K226"/>
  <c r="K211"/>
  <c r="H211"/>
  <c r="H210"/>
  <c r="H209"/>
  <c r="K208"/>
  <c r="H208"/>
  <c r="H207"/>
  <c r="H206"/>
  <c r="H205"/>
  <c r="K204"/>
  <c r="H204"/>
  <c r="H203"/>
  <c r="H202"/>
  <c r="H201"/>
  <c r="K188"/>
  <c r="H188"/>
  <c r="H187"/>
  <c r="K152"/>
  <c r="H152"/>
  <c r="H151"/>
  <c r="H150"/>
  <c r="H149"/>
  <c r="H148"/>
  <c r="H147"/>
  <c r="K122"/>
  <c r="H122"/>
  <c r="H121"/>
  <c r="K120"/>
  <c r="H120"/>
  <c r="H119"/>
  <c r="H118"/>
  <c r="K117"/>
  <c r="H117"/>
  <c r="H116"/>
  <c r="H115"/>
  <c r="H114"/>
  <c r="H113"/>
  <c r="K106"/>
  <c r="H106"/>
  <c r="H105"/>
  <c r="K59"/>
  <c r="H59"/>
  <c r="H58"/>
  <c r="H57"/>
  <c r="K53"/>
  <c r="H53"/>
  <c r="H52"/>
  <c r="H51"/>
  <c r="K42"/>
  <c r="H42"/>
  <c r="H41"/>
  <c r="H40"/>
  <c r="H39"/>
  <c r="H38"/>
  <c r="H37"/>
  <c r="H36"/>
  <c r="H35"/>
  <c r="K32"/>
  <c r="H32"/>
  <c r="H31"/>
  <c r="H30"/>
  <c r="K24"/>
  <c r="H24"/>
  <c r="H23"/>
  <c r="H22"/>
  <c r="H21"/>
  <c r="H20"/>
  <c r="H326"/>
  <c r="I325"/>
  <c r="H15"/>
  <c r="H54"/>
  <c r="H215"/>
  <c r="H258"/>
  <c r="H154"/>
  <c r="H13"/>
  <c r="H259"/>
  <c r="H260"/>
  <c r="H261"/>
  <c r="H262"/>
  <c r="H263"/>
  <c r="H166"/>
  <c r="H12"/>
  <c r="H156"/>
  <c r="H133"/>
  <c r="H124"/>
  <c r="H176"/>
  <c r="H185"/>
  <c r="H225"/>
  <c r="H125"/>
  <c r="H89"/>
  <c r="H192"/>
  <c r="H247"/>
  <c r="H19"/>
  <c r="H29"/>
  <c r="H167"/>
  <c r="H168"/>
  <c r="H48"/>
  <c r="H25"/>
  <c r="H309"/>
  <c r="H310"/>
  <c r="H311"/>
  <c r="H312"/>
  <c r="H313"/>
  <c r="H314"/>
  <c r="H315"/>
  <c r="H28"/>
  <c r="H264"/>
  <c r="H296"/>
  <c r="H265"/>
  <c r="H266"/>
  <c r="H267"/>
  <c r="H224"/>
  <c r="H110"/>
  <c r="H213"/>
  <c r="H212"/>
  <c r="H268"/>
  <c r="H269"/>
  <c r="H270"/>
  <c r="H271"/>
  <c r="H272"/>
  <c r="H273"/>
  <c r="H169"/>
  <c r="H274"/>
  <c r="H47"/>
  <c r="H11"/>
  <c r="H43"/>
  <c r="H321"/>
  <c r="H322"/>
  <c r="H14"/>
  <c r="H34"/>
  <c r="H10"/>
  <c r="H27"/>
  <c r="H257"/>
  <c r="H26"/>
  <c r="H92"/>
  <c r="H297"/>
  <c r="H49"/>
  <c r="H275"/>
  <c r="H276"/>
  <c r="H277"/>
  <c r="H278"/>
  <c r="H162"/>
  <c r="H163"/>
  <c r="H279"/>
  <c r="H280"/>
  <c r="H281"/>
  <c r="H282"/>
  <c r="H112"/>
  <c r="H63"/>
  <c r="H284"/>
  <c r="H67"/>
  <c r="H65"/>
  <c r="H62"/>
  <c r="H66"/>
  <c r="H61"/>
  <c r="H159"/>
  <c r="H64"/>
  <c r="H90"/>
  <c r="H177"/>
  <c r="H158"/>
  <c r="H157"/>
  <c r="H50"/>
  <c r="H103"/>
  <c r="H111"/>
  <c r="H101"/>
  <c r="H218"/>
  <c r="H298"/>
  <c r="H126"/>
  <c r="H16"/>
  <c r="H127"/>
  <c r="H220"/>
  <c r="H33"/>
  <c r="H193"/>
  <c r="H128"/>
  <c r="H299"/>
  <c r="H178"/>
  <c r="H194"/>
  <c r="H195"/>
  <c r="H216"/>
  <c r="H179"/>
  <c r="H300"/>
  <c r="H140"/>
  <c r="H142"/>
  <c r="H56"/>
  <c r="H129"/>
  <c r="H136"/>
  <c r="H104"/>
  <c r="H130"/>
  <c r="H255"/>
  <c r="H301"/>
  <c r="H180"/>
  <c r="H131"/>
  <c r="H137"/>
  <c r="H256"/>
  <c r="H164"/>
  <c r="H199"/>
  <c r="H165"/>
  <c r="H200"/>
  <c r="H141"/>
  <c r="H91"/>
  <c r="H123"/>
  <c r="H253"/>
  <c r="H69"/>
  <c r="H254"/>
  <c r="H45"/>
  <c r="H132"/>
  <c r="H46"/>
  <c r="H182"/>
  <c r="H214"/>
  <c r="H17"/>
  <c r="H219"/>
  <c r="H102"/>
  <c r="H96"/>
  <c r="H171"/>
  <c r="H170"/>
  <c r="H70"/>
  <c r="H250"/>
  <c r="H71"/>
  <c r="H283"/>
  <c r="H72"/>
  <c r="H107"/>
  <c r="H108"/>
  <c r="H60"/>
  <c r="H73"/>
  <c r="H97"/>
  <c r="H138"/>
  <c r="H186"/>
  <c r="H319"/>
  <c r="H74"/>
  <c r="H145"/>
  <c r="H196"/>
  <c r="H146"/>
  <c r="H9"/>
  <c r="H75"/>
  <c r="H189"/>
  <c r="H173"/>
  <c r="H99"/>
  <c r="H44"/>
  <c r="H172"/>
  <c r="H161"/>
  <c r="H221"/>
  <c r="H143"/>
  <c r="H197"/>
  <c r="H76"/>
  <c r="H77"/>
  <c r="H78"/>
  <c r="H79"/>
  <c r="H135"/>
  <c r="H134"/>
  <c r="H109"/>
  <c r="H251"/>
  <c r="H252"/>
  <c r="H18"/>
  <c r="H80"/>
  <c r="H81"/>
  <c r="H82"/>
  <c r="H83"/>
  <c r="H217"/>
  <c r="H84"/>
  <c r="H85"/>
  <c r="H86"/>
  <c r="H87"/>
  <c r="H174"/>
  <c r="H222"/>
  <c r="H198"/>
  <c r="H190"/>
  <c r="H88"/>
  <c r="H144"/>
  <c r="H153"/>
  <c r="H183"/>
  <c r="H191"/>
  <c r="H68"/>
  <c r="H55"/>
  <c r="H320"/>
  <c r="H226"/>
  <c r="J226" s="1"/>
  <c r="H98"/>
  <c r="H181"/>
  <c r="H100"/>
  <c r="H139"/>
  <c r="H295"/>
  <c r="H223"/>
  <c r="H175"/>
  <c r="H160"/>
  <c r="H94"/>
  <c r="H95"/>
  <c r="H155"/>
  <c r="H93"/>
  <c r="H184"/>
  <c r="K392" i="8"/>
  <c r="H392"/>
  <c r="H391"/>
  <c r="H390"/>
  <c r="J294" i="9" l="1"/>
  <c r="J392" i="8"/>
  <c r="J292" i="9"/>
  <c r="I382" i="11"/>
  <c r="H381"/>
  <c r="I384"/>
  <c r="I385" s="1"/>
  <c r="J249" i="9"/>
  <c r="J308"/>
  <c r="J236"/>
  <c r="J239"/>
  <c r="J242"/>
  <c r="J246"/>
  <c r="J229"/>
  <c r="J233"/>
  <c r="J211"/>
  <c r="J188"/>
  <c r="J208"/>
  <c r="J204"/>
  <c r="J152"/>
  <c r="J120"/>
  <c r="J122"/>
  <c r="J117"/>
  <c r="J106"/>
  <c r="J53"/>
  <c r="J59"/>
  <c r="J42"/>
  <c r="J32"/>
  <c r="J24"/>
  <c r="I326"/>
  <c r="H325"/>
  <c r="H497" s="1"/>
  <c r="H498" s="1"/>
  <c r="K388" i="8"/>
  <c r="H388"/>
  <c r="H387"/>
  <c r="H386"/>
  <c r="H385"/>
  <c r="H383"/>
  <c r="H382"/>
  <c r="H381"/>
  <c r="K374"/>
  <c r="H374"/>
  <c r="H373"/>
  <c r="H372"/>
  <c r="K395"/>
  <c r="H395"/>
  <c r="H394"/>
  <c r="H393"/>
  <c r="K377"/>
  <c r="H377"/>
  <c r="H376"/>
  <c r="K319"/>
  <c r="K318"/>
  <c r="K316"/>
  <c r="H316"/>
  <c r="H315"/>
  <c r="H314"/>
  <c r="K313"/>
  <c r="H313"/>
  <c r="H312"/>
  <c r="H311"/>
  <c r="H310"/>
  <c r="H309"/>
  <c r="K304"/>
  <c r="H303"/>
  <c r="H302"/>
  <c r="K301"/>
  <c r="H301"/>
  <c r="H300"/>
  <c r="H299"/>
  <c r="K298"/>
  <c r="H298"/>
  <c r="H297"/>
  <c r="H296"/>
  <c r="K292"/>
  <c r="H292"/>
  <c r="H291"/>
  <c r="H290"/>
  <c r="K289"/>
  <c r="H289"/>
  <c r="H288"/>
  <c r="H287"/>
  <c r="K286"/>
  <c r="H286"/>
  <c r="H285"/>
  <c r="H284"/>
  <c r="H283"/>
  <c r="K295"/>
  <c r="H295"/>
  <c r="H294"/>
  <c r="H293"/>
  <c r="K281"/>
  <c r="H281"/>
  <c r="H280"/>
  <c r="H279"/>
  <c r="H278"/>
  <c r="H273"/>
  <c r="H272"/>
  <c r="K257"/>
  <c r="H257"/>
  <c r="H256"/>
  <c r="H255"/>
  <c r="K254"/>
  <c r="H254"/>
  <c r="H253"/>
  <c r="H252"/>
  <c r="K231"/>
  <c r="H231"/>
  <c r="H230"/>
  <c r="H229"/>
  <c r="K227"/>
  <c r="H227"/>
  <c r="H226"/>
  <c r="H225"/>
  <c r="K224"/>
  <c r="H224"/>
  <c r="H223"/>
  <c r="H222"/>
  <c r="K221"/>
  <c r="H221"/>
  <c r="H220"/>
  <c r="J388" l="1"/>
  <c r="J395"/>
  <c r="J374"/>
  <c r="J377"/>
  <c r="J316"/>
  <c r="J254"/>
  <c r="J289"/>
  <c r="J292"/>
  <c r="J298"/>
  <c r="J301"/>
  <c r="J304"/>
  <c r="J313"/>
  <c r="J286"/>
  <c r="J295"/>
  <c r="J281"/>
  <c r="J257"/>
  <c r="J224"/>
  <c r="J227"/>
  <c r="J231"/>
  <c r="J221"/>
  <c r="K159"/>
  <c r="H159"/>
  <c r="H158"/>
  <c r="K154"/>
  <c r="H154"/>
  <c r="K152"/>
  <c r="H152"/>
  <c r="H151"/>
  <c r="H153"/>
  <c r="J154" s="1"/>
  <c r="H150"/>
  <c r="K142"/>
  <c r="H142"/>
  <c r="H141"/>
  <c r="H140"/>
  <c r="K130"/>
  <c r="H130"/>
  <c r="H129"/>
  <c r="K128"/>
  <c r="H128"/>
  <c r="H127"/>
  <c r="K114"/>
  <c r="H114"/>
  <c r="H113"/>
  <c r="K112"/>
  <c r="H112"/>
  <c r="H111"/>
  <c r="K110"/>
  <c r="H110"/>
  <c r="H109"/>
  <c r="K68"/>
  <c r="H68"/>
  <c r="H67"/>
  <c r="H66"/>
  <c r="K65"/>
  <c r="H65"/>
  <c r="H64"/>
  <c r="K63"/>
  <c r="H63"/>
  <c r="H62"/>
  <c r="H61"/>
  <c r="K60"/>
  <c r="H59"/>
  <c r="H58"/>
  <c r="K40"/>
  <c r="H40"/>
  <c r="H39"/>
  <c r="H38"/>
  <c r="K37"/>
  <c r="H37"/>
  <c r="H36"/>
  <c r="K35"/>
  <c r="H35"/>
  <c r="H34"/>
  <c r="H33"/>
  <c r="K32"/>
  <c r="H32"/>
  <c r="H31"/>
  <c r="H30"/>
  <c r="K29"/>
  <c r="H29"/>
  <c r="H28"/>
  <c r="H27"/>
  <c r="K14"/>
  <c r="H14"/>
  <c r="H13"/>
  <c r="H12"/>
  <c r="H15"/>
  <c r="H16"/>
  <c r="H17"/>
  <c r="H18"/>
  <c r="H19"/>
  <c r="H20"/>
  <c r="H21"/>
  <c r="H22"/>
  <c r="H23"/>
  <c r="H24"/>
  <c r="H25"/>
  <c r="H26"/>
  <c r="H41"/>
  <c r="H43"/>
  <c r="H44"/>
  <c r="H45"/>
  <c r="H46"/>
  <c r="H47"/>
  <c r="H48"/>
  <c r="H49"/>
  <c r="H50"/>
  <c r="H51"/>
  <c r="H52"/>
  <c r="H53"/>
  <c r="H54"/>
  <c r="H55"/>
  <c r="H56"/>
  <c r="H57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15"/>
  <c r="H116"/>
  <c r="H117"/>
  <c r="H118"/>
  <c r="H119"/>
  <c r="H120"/>
  <c r="H121"/>
  <c r="H122"/>
  <c r="H123"/>
  <c r="H124"/>
  <c r="H125"/>
  <c r="H126"/>
  <c r="H131"/>
  <c r="H132"/>
  <c r="H133"/>
  <c r="H134"/>
  <c r="H135"/>
  <c r="H136"/>
  <c r="H137"/>
  <c r="H138"/>
  <c r="H139"/>
  <c r="H143"/>
  <c r="H144"/>
  <c r="H145"/>
  <c r="H146"/>
  <c r="H147"/>
  <c r="H148"/>
  <c r="H149"/>
  <c r="H155"/>
  <c r="H156"/>
  <c r="H157"/>
  <c r="H160"/>
  <c r="H161"/>
  <c r="H162"/>
  <c r="H163"/>
  <c r="H164"/>
  <c r="H165"/>
  <c r="H166"/>
  <c r="H167"/>
  <c r="H168"/>
  <c r="H169"/>
  <c r="H170"/>
  <c r="H171"/>
  <c r="H172"/>
  <c r="H173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8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8"/>
  <c r="H259"/>
  <c r="H260"/>
  <c r="H261"/>
  <c r="H262"/>
  <c r="H263"/>
  <c r="H264"/>
  <c r="H265"/>
  <c r="H266"/>
  <c r="H267"/>
  <c r="H268"/>
  <c r="H269"/>
  <c r="H270"/>
  <c r="H271"/>
  <c r="H274"/>
  <c r="H275"/>
  <c r="H276"/>
  <c r="H277"/>
  <c r="H282"/>
  <c r="H317"/>
  <c r="H318"/>
  <c r="J318" s="1"/>
  <c r="H319"/>
  <c r="J319" s="1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8"/>
  <c r="H379"/>
  <c r="H380"/>
  <c r="H11"/>
  <c r="H398"/>
  <c r="K301" i="7"/>
  <c r="H301"/>
  <c r="H300"/>
  <c r="H299"/>
  <c r="K298"/>
  <c r="H297"/>
  <c r="H298"/>
  <c r="K296"/>
  <c r="H296"/>
  <c r="H295"/>
  <c r="H294"/>
  <c r="H293"/>
  <c r="K292"/>
  <c r="H292"/>
  <c r="H291"/>
  <c r="K286"/>
  <c r="H286"/>
  <c r="H285"/>
  <c r="H284"/>
  <c r="H283"/>
  <c r="K282"/>
  <c r="H282"/>
  <c r="H281"/>
  <c r="H280"/>
  <c r="H279"/>
  <c r="K278"/>
  <c r="H278"/>
  <c r="H277"/>
  <c r="H276"/>
  <c r="K275"/>
  <c r="H275"/>
  <c r="H274"/>
  <c r="H273"/>
  <c r="H272"/>
  <c r="H271"/>
  <c r="H270"/>
  <c r="K268"/>
  <c r="H268"/>
  <c r="H267"/>
  <c r="H266"/>
  <c r="K265"/>
  <c r="H265"/>
  <c r="H264"/>
  <c r="H263"/>
  <c r="H262"/>
  <c r="H261"/>
  <c r="H260"/>
  <c r="H259"/>
  <c r="H258"/>
  <c r="H257"/>
  <c r="H256"/>
  <c r="H255"/>
  <c r="H254"/>
  <c r="H253"/>
  <c r="H252"/>
  <c r="K251"/>
  <c r="H251"/>
  <c r="H250"/>
  <c r="H249"/>
  <c r="K248"/>
  <c r="H248"/>
  <c r="H247"/>
  <c r="H246"/>
  <c r="K245"/>
  <c r="H245"/>
  <c r="H244"/>
  <c r="H243"/>
  <c r="K242"/>
  <c r="H242"/>
  <c r="H241"/>
  <c r="K240"/>
  <c r="H240"/>
  <c r="H239"/>
  <c r="H238"/>
  <c r="K237"/>
  <c r="H237"/>
  <c r="H236"/>
  <c r="H235"/>
  <c r="K234"/>
  <c r="H234"/>
  <c r="H233"/>
  <c r="H232"/>
  <c r="H231"/>
  <c r="K230"/>
  <c r="H230"/>
  <c r="H229"/>
  <c r="H228"/>
  <c r="H227"/>
  <c r="K226"/>
  <c r="H226"/>
  <c r="H225"/>
  <c r="H224"/>
  <c r="H223"/>
  <c r="H222"/>
  <c r="H221"/>
  <c r="K220"/>
  <c r="H220"/>
  <c r="H219"/>
  <c r="H218"/>
  <c r="K217"/>
  <c r="H217"/>
  <c r="H216"/>
  <c r="H215"/>
  <c r="H202"/>
  <c r="H203"/>
  <c r="H204"/>
  <c r="H205"/>
  <c r="H206"/>
  <c r="H207"/>
  <c r="H208"/>
  <c r="H209"/>
  <c r="H210"/>
  <c r="H211"/>
  <c r="H212"/>
  <c r="H213"/>
  <c r="K174"/>
  <c r="K117"/>
  <c r="H117"/>
  <c r="H116"/>
  <c r="H115"/>
  <c r="H104"/>
  <c r="H102"/>
  <c r="K77"/>
  <c r="K76"/>
  <c r="K44"/>
  <c r="H44"/>
  <c r="H43"/>
  <c r="H42"/>
  <c r="K41"/>
  <c r="H41"/>
  <c r="H40"/>
  <c r="H39"/>
  <c r="K38"/>
  <c r="H38"/>
  <c r="H37"/>
  <c r="H16"/>
  <c r="H304"/>
  <c r="I304" s="1"/>
  <c r="H181"/>
  <c r="H182"/>
  <c r="H183"/>
  <c r="H184"/>
  <c r="H185"/>
  <c r="H171"/>
  <c r="H69"/>
  <c r="H287"/>
  <c r="H25"/>
  <c r="H186"/>
  <c r="H187"/>
  <c r="H188"/>
  <c r="H189"/>
  <c r="H190"/>
  <c r="H24"/>
  <c r="H125"/>
  <c r="H191"/>
  <c r="H192"/>
  <c r="H193"/>
  <c r="H194"/>
  <c r="H195"/>
  <c r="H196"/>
  <c r="H197"/>
  <c r="H198"/>
  <c r="H199"/>
  <c r="H200"/>
  <c r="H201"/>
  <c r="H128"/>
  <c r="H162"/>
  <c r="H86"/>
  <c r="H129"/>
  <c r="H130"/>
  <c r="H153"/>
  <c r="H14"/>
  <c r="H154"/>
  <c r="H131"/>
  <c r="H122"/>
  <c r="H13"/>
  <c r="H23"/>
  <c r="H155"/>
  <c r="H26"/>
  <c r="H94"/>
  <c r="H124"/>
  <c r="H29"/>
  <c r="H31"/>
  <c r="H30"/>
  <c r="H34"/>
  <c r="H32"/>
  <c r="H33"/>
  <c r="H35"/>
  <c r="H123"/>
  <c r="H180"/>
  <c r="H36"/>
  <c r="H114"/>
  <c r="H172"/>
  <c r="H20"/>
  <c r="H157"/>
  <c r="H289"/>
  <c r="H134"/>
  <c r="H178"/>
  <c r="H95"/>
  <c r="H164"/>
  <c r="H87"/>
  <c r="H105"/>
  <c r="H151"/>
  <c r="H76"/>
  <c r="J76" s="1"/>
  <c r="H88"/>
  <c r="H160"/>
  <c r="H96"/>
  <c r="H67"/>
  <c r="H75"/>
  <c r="H137"/>
  <c r="H17"/>
  <c r="H68"/>
  <c r="H152"/>
  <c r="H77"/>
  <c r="J77" s="1"/>
  <c r="H110"/>
  <c r="H179"/>
  <c r="H97"/>
  <c r="H170"/>
  <c r="H98"/>
  <c r="H22"/>
  <c r="H15"/>
  <c r="H45"/>
  <c r="H138"/>
  <c r="H169"/>
  <c r="H99"/>
  <c r="H120"/>
  <c r="H12"/>
  <c r="H163"/>
  <c r="H135"/>
  <c r="H18"/>
  <c r="H85"/>
  <c r="H19"/>
  <c r="H140"/>
  <c r="H46"/>
  <c r="H47"/>
  <c r="H100"/>
  <c r="H118"/>
  <c r="H132"/>
  <c r="H72"/>
  <c r="H149"/>
  <c r="H161"/>
  <c r="H106"/>
  <c r="H111"/>
  <c r="H146"/>
  <c r="H147"/>
  <c r="H166"/>
  <c r="H48"/>
  <c r="H113"/>
  <c r="H121"/>
  <c r="H144"/>
  <c r="H49"/>
  <c r="H173"/>
  <c r="H214"/>
  <c r="H50"/>
  <c r="H28"/>
  <c r="H101"/>
  <c r="H51"/>
  <c r="H136"/>
  <c r="H52"/>
  <c r="H53"/>
  <c r="H54"/>
  <c r="H55"/>
  <c r="H290"/>
  <c r="H56"/>
  <c r="H57"/>
  <c r="H78"/>
  <c r="H79"/>
  <c r="H127"/>
  <c r="H174"/>
  <c r="J174" s="1"/>
  <c r="H141"/>
  <c r="H107"/>
  <c r="H73"/>
  <c r="H133"/>
  <c r="H58"/>
  <c r="H176"/>
  <c r="H21"/>
  <c r="H59"/>
  <c r="H158"/>
  <c r="H159"/>
  <c r="H145"/>
  <c r="H27"/>
  <c r="H156"/>
  <c r="H177"/>
  <c r="H80"/>
  <c r="H81"/>
  <c r="H82"/>
  <c r="H83"/>
  <c r="H84"/>
  <c r="H167"/>
  <c r="H66"/>
  <c r="H11"/>
  <c r="H142"/>
  <c r="H139"/>
  <c r="H108"/>
  <c r="H74"/>
  <c r="H70"/>
  <c r="H148"/>
  <c r="H143"/>
  <c r="H60"/>
  <c r="H168"/>
  <c r="H109"/>
  <c r="H150"/>
  <c r="H119"/>
  <c r="H175"/>
  <c r="H112"/>
  <c r="H71"/>
  <c r="H126"/>
  <c r="H61"/>
  <c r="H62"/>
  <c r="H63"/>
  <c r="H64"/>
  <c r="H65"/>
  <c r="H165"/>
  <c r="H92"/>
  <c r="H89"/>
  <c r="H90"/>
  <c r="H91"/>
  <c r="H93"/>
  <c r="H288"/>
  <c r="K303" i="6"/>
  <c r="H303"/>
  <c r="H302"/>
  <c r="K301"/>
  <c r="H301"/>
  <c r="H300"/>
  <c r="H299"/>
  <c r="K298"/>
  <c r="H298"/>
  <c r="H297"/>
  <c r="H295"/>
  <c r="K294"/>
  <c r="H294"/>
  <c r="H293"/>
  <c r="H292"/>
  <c r="K291"/>
  <c r="H291"/>
  <c r="H290"/>
  <c r="H289"/>
  <c r="K288"/>
  <c r="H288"/>
  <c r="H287"/>
  <c r="H286"/>
  <c r="H285"/>
  <c r="K284"/>
  <c r="H284"/>
  <c r="H283"/>
  <c r="H282"/>
  <c r="K281"/>
  <c r="H281"/>
  <c r="H280"/>
  <c r="H279"/>
  <c r="H278"/>
  <c r="H277"/>
  <c r="K276"/>
  <c r="H276"/>
  <c r="H275"/>
  <c r="H274"/>
  <c r="H273"/>
  <c r="K272"/>
  <c r="H272"/>
  <c r="H271"/>
  <c r="H270"/>
  <c r="H551" i="8" l="1"/>
  <c r="H552" s="1"/>
  <c r="H303" i="7"/>
  <c r="H439" s="1"/>
  <c r="H440" s="1"/>
  <c r="J104"/>
  <c r="J275"/>
  <c r="J298"/>
  <c r="J296"/>
  <c r="J301"/>
  <c r="J159" i="8"/>
  <c r="J142"/>
  <c r="J152"/>
  <c r="J130"/>
  <c r="J128"/>
  <c r="J112"/>
  <c r="J114"/>
  <c r="J110"/>
  <c r="J68"/>
  <c r="J40"/>
  <c r="J60"/>
  <c r="J65"/>
  <c r="J63"/>
  <c r="I398"/>
  <c r="J32"/>
  <c r="J35"/>
  <c r="J37"/>
  <c r="J14"/>
  <c r="J29"/>
  <c r="J292" i="7"/>
  <c r="J278"/>
  <c r="J286"/>
  <c r="J282"/>
  <c r="J265"/>
  <c r="J245"/>
  <c r="J248"/>
  <c r="J251"/>
  <c r="J268"/>
  <c r="J237"/>
  <c r="J240"/>
  <c r="J242"/>
  <c r="J234"/>
  <c r="J117"/>
  <c r="J230"/>
  <c r="J226"/>
  <c r="J217"/>
  <c r="J220"/>
  <c r="J44"/>
  <c r="J41"/>
  <c r="J38"/>
  <c r="J303" i="6"/>
  <c r="J298"/>
  <c r="J301"/>
  <c r="J291"/>
  <c r="J294"/>
  <c r="J288"/>
  <c r="J284"/>
  <c r="J281"/>
  <c r="J276"/>
  <c r="J272"/>
  <c r="K269"/>
  <c r="H269"/>
  <c r="H268"/>
  <c r="H267"/>
  <c r="H266"/>
  <c r="K265"/>
  <c r="H265"/>
  <c r="H263"/>
  <c r="H264"/>
  <c r="K262"/>
  <c r="H262"/>
  <c r="H261"/>
  <c r="H260"/>
  <c r="H259"/>
  <c r="H258"/>
  <c r="K257"/>
  <c r="H257"/>
  <c r="H256"/>
  <c r="H255"/>
  <c r="K254"/>
  <c r="H254"/>
  <c r="H253"/>
  <c r="H252"/>
  <c r="K251"/>
  <c r="H251"/>
  <c r="H250"/>
  <c r="H249"/>
  <c r="K181"/>
  <c r="K58"/>
  <c r="H58"/>
  <c r="H57"/>
  <c r="H56"/>
  <c r="H59"/>
  <c r="H60"/>
  <c r="K55"/>
  <c r="H55"/>
  <c r="H54"/>
  <c r="H53"/>
  <c r="H52"/>
  <c r="H50"/>
  <c r="J52" s="1"/>
  <c r="K49"/>
  <c r="H49"/>
  <c r="H48"/>
  <c r="H47"/>
  <c r="K12"/>
  <c r="H310"/>
  <c r="I310" s="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J181" s="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304"/>
  <c r="H305"/>
  <c r="H306"/>
  <c r="H307"/>
  <c r="H11"/>
  <c r="K356" i="5"/>
  <c r="H356"/>
  <c r="H355"/>
  <c r="K354"/>
  <c r="H354"/>
  <c r="H353"/>
  <c r="H352"/>
  <c r="H351"/>
  <c r="K347"/>
  <c r="H347"/>
  <c r="H346"/>
  <c r="H345"/>
  <c r="K343"/>
  <c r="H343"/>
  <c r="H342"/>
  <c r="H341"/>
  <c r="K340"/>
  <c r="H340"/>
  <c r="H339"/>
  <c r="H338"/>
  <c r="H337"/>
  <c r="H336"/>
  <c r="K335"/>
  <c r="H335"/>
  <c r="H334"/>
  <c r="H333"/>
  <c r="K331"/>
  <c r="H331"/>
  <c r="H330"/>
  <c r="H329"/>
  <c r="H328"/>
  <c r="H327"/>
  <c r="K326"/>
  <c r="H326"/>
  <c r="H325"/>
  <c r="H324"/>
  <c r="K323"/>
  <c r="H323"/>
  <c r="H322"/>
  <c r="H321"/>
  <c r="H320"/>
  <c r="H319"/>
  <c r="H318"/>
  <c r="K317"/>
  <c r="H317"/>
  <c r="H316"/>
  <c r="K315"/>
  <c r="H315"/>
  <c r="H314"/>
  <c r="K313"/>
  <c r="H313"/>
  <c r="H312"/>
  <c r="H311"/>
  <c r="H310"/>
  <c r="K309"/>
  <c r="H309"/>
  <c r="H308"/>
  <c r="K307"/>
  <c r="H307"/>
  <c r="H306"/>
  <c r="H305"/>
  <c r="H304"/>
  <c r="H303"/>
  <c r="K302"/>
  <c r="H302"/>
  <c r="H301"/>
  <c r="H300"/>
  <c r="H299"/>
  <c r="H298"/>
  <c r="H297"/>
  <c r="K296"/>
  <c r="H296"/>
  <c r="H295"/>
  <c r="H294"/>
  <c r="H293"/>
  <c r="K292"/>
  <c r="H292"/>
  <c r="H291"/>
  <c r="K290"/>
  <c r="H290"/>
  <c r="H289"/>
  <c r="K288"/>
  <c r="H288"/>
  <c r="H287"/>
  <c r="H286"/>
  <c r="K285"/>
  <c r="H285"/>
  <c r="H284"/>
  <c r="H283"/>
  <c r="K282"/>
  <c r="H282"/>
  <c r="H281"/>
  <c r="H280"/>
  <c r="H279"/>
  <c r="K278"/>
  <c r="H278"/>
  <c r="H277"/>
  <c r="H276"/>
  <c r="H275"/>
  <c r="H274"/>
  <c r="K273"/>
  <c r="H273"/>
  <c r="H272"/>
  <c r="K271"/>
  <c r="H271"/>
  <c r="H270"/>
  <c r="H269"/>
  <c r="K145"/>
  <c r="H145"/>
  <c r="H144"/>
  <c r="H143"/>
  <c r="H142"/>
  <c r="K141"/>
  <c r="H96"/>
  <c r="J96" s="1"/>
  <c r="H224"/>
  <c r="H225"/>
  <c r="H226"/>
  <c r="H227"/>
  <c r="H228"/>
  <c r="H229"/>
  <c r="H230"/>
  <c r="K210"/>
  <c r="K209"/>
  <c r="K207"/>
  <c r="K191"/>
  <c r="K105"/>
  <c r="H105"/>
  <c r="H104"/>
  <c r="H103"/>
  <c r="K100"/>
  <c r="K92"/>
  <c r="K85"/>
  <c r="K44"/>
  <c r="K43"/>
  <c r="H42"/>
  <c r="H309" i="6" l="1"/>
  <c r="H455" s="1"/>
  <c r="H457" s="1"/>
  <c r="J356" i="5"/>
  <c r="J269" i="6"/>
  <c r="J251"/>
  <c r="J254"/>
  <c r="J265"/>
  <c r="J262"/>
  <c r="J257"/>
  <c r="J58"/>
  <c r="J55"/>
  <c r="J49"/>
  <c r="J343" i="5"/>
  <c r="J347"/>
  <c r="J354"/>
  <c r="J340"/>
  <c r="J326"/>
  <c r="J335"/>
  <c r="J331"/>
  <c r="J323"/>
  <c r="J317"/>
  <c r="J315"/>
  <c r="J307"/>
  <c r="J313"/>
  <c r="J309"/>
  <c r="J302"/>
  <c r="J296"/>
  <c r="J292"/>
  <c r="J290"/>
  <c r="J282"/>
  <c r="J285"/>
  <c r="J288"/>
  <c r="J278"/>
  <c r="J273"/>
  <c r="J271"/>
  <c r="J145"/>
  <c r="J105"/>
  <c r="H43"/>
  <c r="J43" s="1"/>
  <c r="H378"/>
  <c r="I377"/>
  <c r="I527" s="1"/>
  <c r="I528" s="1"/>
  <c r="H219"/>
  <c r="H220"/>
  <c r="H221"/>
  <c r="H222"/>
  <c r="H223"/>
  <c r="H131"/>
  <c r="H71"/>
  <c r="H193"/>
  <c r="H23"/>
  <c r="H192"/>
  <c r="H231"/>
  <c r="H370"/>
  <c r="H371"/>
  <c r="H372"/>
  <c r="H373"/>
  <c r="H26"/>
  <c r="H130"/>
  <c r="H232"/>
  <c r="H233"/>
  <c r="H234"/>
  <c r="H217"/>
  <c r="H235"/>
  <c r="H236"/>
  <c r="H237"/>
  <c r="H238"/>
  <c r="H239"/>
  <c r="H240"/>
  <c r="H241"/>
  <c r="H242"/>
  <c r="H243"/>
  <c r="H244"/>
  <c r="H245"/>
  <c r="H246"/>
  <c r="H247"/>
  <c r="H248"/>
  <c r="H29"/>
  <c r="H249"/>
  <c r="H89"/>
  <c r="H250"/>
  <c r="H251"/>
  <c r="H252"/>
  <c r="H12"/>
  <c r="H133"/>
  <c r="H253"/>
  <c r="H27"/>
  <c r="H134"/>
  <c r="H135"/>
  <c r="H136"/>
  <c r="H254"/>
  <c r="H255"/>
  <c r="H256"/>
  <c r="H257"/>
  <c r="H258"/>
  <c r="H259"/>
  <c r="H260"/>
  <c r="H261"/>
  <c r="H262"/>
  <c r="H263"/>
  <c r="H72"/>
  <c r="H21"/>
  <c r="H344"/>
  <c r="H13"/>
  <c r="H204"/>
  <c r="H264"/>
  <c r="H73"/>
  <c r="H265"/>
  <c r="H266"/>
  <c r="H267"/>
  <c r="H129"/>
  <c r="H132"/>
  <c r="H184"/>
  <c r="H40"/>
  <c r="H38"/>
  <c r="H39"/>
  <c r="H35"/>
  <c r="H37"/>
  <c r="H128"/>
  <c r="H91"/>
  <c r="H90"/>
  <c r="H36"/>
  <c r="H365"/>
  <c r="H366"/>
  <c r="H367"/>
  <c r="H368"/>
  <c r="H369"/>
  <c r="H348"/>
  <c r="H349"/>
  <c r="H350"/>
  <c r="H358"/>
  <c r="H359"/>
  <c r="H360"/>
  <c r="H361"/>
  <c r="H362"/>
  <c r="H363"/>
  <c r="H364"/>
  <c r="H126"/>
  <c r="H147"/>
  <c r="H214"/>
  <c r="H119"/>
  <c r="H67"/>
  <c r="H151"/>
  <c r="H191"/>
  <c r="J191" s="1"/>
  <c r="H215"/>
  <c r="H15"/>
  <c r="H332"/>
  <c r="H195"/>
  <c r="H148"/>
  <c r="H84"/>
  <c r="H106"/>
  <c r="H374"/>
  <c r="H107"/>
  <c r="H168"/>
  <c r="H14"/>
  <c r="H216"/>
  <c r="H44"/>
  <c r="J44" s="1"/>
  <c r="H158"/>
  <c r="H210"/>
  <c r="J210" s="1"/>
  <c r="H22"/>
  <c r="H34"/>
  <c r="H28"/>
  <c r="H188"/>
  <c r="H108"/>
  <c r="H166"/>
  <c r="H19"/>
  <c r="H202"/>
  <c r="H157"/>
  <c r="H189"/>
  <c r="H109"/>
  <c r="H68"/>
  <c r="H167"/>
  <c r="H92"/>
  <c r="J92" s="1"/>
  <c r="H165"/>
  <c r="H85"/>
  <c r="J85" s="1"/>
  <c r="H69"/>
  <c r="H152"/>
  <c r="H153"/>
  <c r="H70"/>
  <c r="H154"/>
  <c r="H149"/>
  <c r="H25"/>
  <c r="H116"/>
  <c r="H41"/>
  <c r="H194"/>
  <c r="H16"/>
  <c r="H24"/>
  <c r="H159"/>
  <c r="H160"/>
  <c r="H357"/>
  <c r="H137"/>
  <c r="H138"/>
  <c r="H163"/>
  <c r="H86"/>
  <c r="H74"/>
  <c r="H75"/>
  <c r="H17"/>
  <c r="H47"/>
  <c r="H48"/>
  <c r="H49"/>
  <c r="H155"/>
  <c r="H206"/>
  <c r="H79"/>
  <c r="H11"/>
  <c r="H179"/>
  <c r="H171"/>
  <c r="H172"/>
  <c r="H110"/>
  <c r="H45"/>
  <c r="H139"/>
  <c r="H66"/>
  <c r="H98"/>
  <c r="H197"/>
  <c r="H117"/>
  <c r="H33"/>
  <c r="H120"/>
  <c r="H31"/>
  <c r="H50"/>
  <c r="H115"/>
  <c r="H268"/>
  <c r="H51"/>
  <c r="H185"/>
  <c r="H94"/>
  <c r="H127"/>
  <c r="H52"/>
  <c r="H87"/>
  <c r="H114"/>
  <c r="H169"/>
  <c r="H205"/>
  <c r="H53"/>
  <c r="H54"/>
  <c r="H55"/>
  <c r="H187"/>
  <c r="H211"/>
  <c r="H173"/>
  <c r="H140"/>
  <c r="H180"/>
  <c r="H80"/>
  <c r="H76"/>
  <c r="H99"/>
  <c r="H111"/>
  <c r="H121"/>
  <c r="H88"/>
  <c r="H196"/>
  <c r="H30"/>
  <c r="H18"/>
  <c r="H95"/>
  <c r="H56"/>
  <c r="H57"/>
  <c r="H162"/>
  <c r="H122"/>
  <c r="H198"/>
  <c r="H199"/>
  <c r="H156"/>
  <c r="H161"/>
  <c r="H77"/>
  <c r="H81"/>
  <c r="H112"/>
  <c r="H174"/>
  <c r="H175"/>
  <c r="H141"/>
  <c r="J141" s="1"/>
  <c r="H181"/>
  <c r="H100"/>
  <c r="J100" s="1"/>
  <c r="H58"/>
  <c r="H59"/>
  <c r="H170"/>
  <c r="H93"/>
  <c r="H186"/>
  <c r="H146"/>
  <c r="H208"/>
  <c r="H60"/>
  <c r="H203"/>
  <c r="H212"/>
  <c r="H213"/>
  <c r="H61"/>
  <c r="H164"/>
  <c r="H118"/>
  <c r="H32"/>
  <c r="H123"/>
  <c r="H176"/>
  <c r="H200"/>
  <c r="H82"/>
  <c r="H207"/>
  <c r="J207" s="1"/>
  <c r="H101"/>
  <c r="H182"/>
  <c r="H113"/>
  <c r="H209"/>
  <c r="J209" s="1"/>
  <c r="H97"/>
  <c r="H62"/>
  <c r="H63"/>
  <c r="H64"/>
  <c r="H65"/>
  <c r="H124"/>
  <c r="H125"/>
  <c r="H150"/>
  <c r="H190"/>
  <c r="H20"/>
  <c r="H177"/>
  <c r="H46"/>
  <c r="H201"/>
  <c r="H183"/>
  <c r="H102"/>
  <c r="H83"/>
  <c r="H78"/>
  <c r="H178"/>
  <c r="H218"/>
  <c r="K291" i="4"/>
  <c r="H291"/>
  <c r="H290"/>
  <c r="K293"/>
  <c r="H293"/>
  <c r="H292"/>
  <c r="K296"/>
  <c r="H296"/>
  <c r="H295"/>
  <c r="H294"/>
  <c r="K299"/>
  <c r="H299"/>
  <c r="H298"/>
  <c r="H297"/>
  <c r="J299" s="1"/>
  <c r="K303"/>
  <c r="H303"/>
  <c r="H302"/>
  <c r="H301"/>
  <c r="H300"/>
  <c r="K306"/>
  <c r="H306"/>
  <c r="H305"/>
  <c r="H304"/>
  <c r="K310"/>
  <c r="H310"/>
  <c r="H309"/>
  <c r="H308"/>
  <c r="H307"/>
  <c r="K314"/>
  <c r="H314"/>
  <c r="H313"/>
  <c r="H312"/>
  <c r="H311"/>
  <c r="K318"/>
  <c r="H318"/>
  <c r="H317"/>
  <c r="H316"/>
  <c r="H315"/>
  <c r="K321"/>
  <c r="H321"/>
  <c r="H320"/>
  <c r="H319"/>
  <c r="K324"/>
  <c r="H324"/>
  <c r="H323"/>
  <c r="H322"/>
  <c r="K328"/>
  <c r="H328"/>
  <c r="H327"/>
  <c r="H326"/>
  <c r="H325"/>
  <c r="K331"/>
  <c r="H331"/>
  <c r="H329"/>
  <c r="H330"/>
  <c r="K334"/>
  <c r="H334"/>
  <c r="H333"/>
  <c r="H332"/>
  <c r="K338"/>
  <c r="H338"/>
  <c r="H337"/>
  <c r="H335"/>
  <c r="H336"/>
  <c r="K341"/>
  <c r="H341"/>
  <c r="H339"/>
  <c r="H340"/>
  <c r="K352"/>
  <c r="H347"/>
  <c r="H352"/>
  <c r="H351"/>
  <c r="H350"/>
  <c r="H349"/>
  <c r="H348"/>
  <c r="K362"/>
  <c r="H359"/>
  <c r="H362"/>
  <c r="H361"/>
  <c r="H360"/>
  <c r="K225"/>
  <c r="K224"/>
  <c r="K186"/>
  <c r="J186"/>
  <c r="K167"/>
  <c r="K164"/>
  <c r="H164"/>
  <c r="J164" s="1"/>
  <c r="K163"/>
  <c r="H160"/>
  <c r="H163"/>
  <c r="H162"/>
  <c r="H161"/>
  <c r="H159"/>
  <c r="K143"/>
  <c r="K132"/>
  <c r="H132"/>
  <c r="H131"/>
  <c r="K130"/>
  <c r="H129"/>
  <c r="H128"/>
  <c r="H130"/>
  <c r="K124"/>
  <c r="H114"/>
  <c r="H113"/>
  <c r="H112"/>
  <c r="H111"/>
  <c r="H110"/>
  <c r="K109"/>
  <c r="H109"/>
  <c r="H108"/>
  <c r="H107"/>
  <c r="K57"/>
  <c r="H56"/>
  <c r="H55"/>
  <c r="H54"/>
  <c r="H53"/>
  <c r="K56"/>
  <c r="H57"/>
  <c r="K49"/>
  <c r="H52"/>
  <c r="H51"/>
  <c r="H50"/>
  <c r="H49"/>
  <c r="H366"/>
  <c r="I365"/>
  <c r="I526" s="1"/>
  <c r="I527" s="1"/>
  <c r="H244"/>
  <c r="H178"/>
  <c r="H245"/>
  <c r="H246"/>
  <c r="H344"/>
  <c r="H200"/>
  <c r="H343"/>
  <c r="H203"/>
  <c r="H342"/>
  <c r="H13"/>
  <c r="H22"/>
  <c r="H247"/>
  <c r="H248"/>
  <c r="H249"/>
  <c r="H146"/>
  <c r="H250"/>
  <c r="H251"/>
  <c r="H252"/>
  <c r="H253"/>
  <c r="H254"/>
  <c r="H255"/>
  <c r="H256"/>
  <c r="H257"/>
  <c r="H258"/>
  <c r="H148"/>
  <c r="H38"/>
  <c r="H259"/>
  <c r="H260"/>
  <c r="H261"/>
  <c r="H36"/>
  <c r="H115"/>
  <c r="H23"/>
  <c r="H262"/>
  <c r="H345"/>
  <c r="H263"/>
  <c r="H264"/>
  <c r="H265"/>
  <c r="H266"/>
  <c r="H267"/>
  <c r="H268"/>
  <c r="H269"/>
  <c r="H270"/>
  <c r="H204"/>
  <c r="H37"/>
  <c r="H271"/>
  <c r="H272"/>
  <c r="H273"/>
  <c r="H99"/>
  <c r="H11"/>
  <c r="H12"/>
  <c r="H223"/>
  <c r="H274"/>
  <c r="H275"/>
  <c r="H276"/>
  <c r="H277"/>
  <c r="H278"/>
  <c r="H279"/>
  <c r="H280"/>
  <c r="H281"/>
  <c r="H282"/>
  <c r="H149"/>
  <c r="H283"/>
  <c r="H284"/>
  <c r="H285"/>
  <c r="H215"/>
  <c r="H286"/>
  <c r="H287"/>
  <c r="H153"/>
  <c r="H154"/>
  <c r="H145"/>
  <c r="H147"/>
  <c r="H239"/>
  <c r="H27"/>
  <c r="H20"/>
  <c r="H202"/>
  <c r="H211"/>
  <c r="H31"/>
  <c r="H32"/>
  <c r="H14"/>
  <c r="H33"/>
  <c r="H34"/>
  <c r="H35"/>
  <c r="H201"/>
  <c r="H139"/>
  <c r="H48"/>
  <c r="H141"/>
  <c r="H46"/>
  <c r="H140"/>
  <c r="H47"/>
  <c r="H45"/>
  <c r="H150"/>
  <c r="H151"/>
  <c r="H142"/>
  <c r="H98"/>
  <c r="H97"/>
  <c r="H44"/>
  <c r="H21"/>
  <c r="H240"/>
  <c r="H241"/>
  <c r="H289"/>
  <c r="H242"/>
  <c r="H198"/>
  <c r="H235"/>
  <c r="H185"/>
  <c r="H209"/>
  <c r="H212"/>
  <c r="H15"/>
  <c r="H169"/>
  <c r="H24"/>
  <c r="H208"/>
  <c r="H28"/>
  <c r="H228"/>
  <c r="H79"/>
  <c r="H180"/>
  <c r="H83"/>
  <c r="H222"/>
  <c r="H104"/>
  <c r="H186"/>
  <c r="H16"/>
  <c r="H26"/>
  <c r="H84"/>
  <c r="H237"/>
  <c r="H197"/>
  <c r="H85"/>
  <c r="H168"/>
  <c r="H170"/>
  <c r="H89"/>
  <c r="H195"/>
  <c r="H137"/>
  <c r="H226"/>
  <c r="H221"/>
  <c r="H173"/>
  <c r="H187"/>
  <c r="H158"/>
  <c r="H171"/>
  <c r="H167"/>
  <c r="J167" s="1"/>
  <c r="H234"/>
  <c r="H236"/>
  <c r="H18"/>
  <c r="H17"/>
  <c r="H19"/>
  <c r="H135"/>
  <c r="H136"/>
  <c r="H105"/>
  <c r="H177"/>
  <c r="H29"/>
  <c r="H238"/>
  <c r="H210"/>
  <c r="H196"/>
  <c r="H30"/>
  <c r="H213"/>
  <c r="H40"/>
  <c r="H41"/>
  <c r="H39"/>
  <c r="H81"/>
  <c r="H166"/>
  <c r="H199"/>
  <c r="H82"/>
  <c r="H353"/>
  <c r="H354"/>
  <c r="H355"/>
  <c r="H356"/>
  <c r="H357"/>
  <c r="H358"/>
  <c r="H205"/>
  <c r="H152"/>
  <c r="H61"/>
  <c r="H183"/>
  <c r="H90"/>
  <c r="H174"/>
  <c r="H207"/>
  <c r="H188"/>
  <c r="H165"/>
  <c r="H216"/>
  <c r="H184"/>
  <c r="H175"/>
  <c r="H62"/>
  <c r="H63"/>
  <c r="H64"/>
  <c r="H65"/>
  <c r="H91"/>
  <c r="H66"/>
  <c r="H67"/>
  <c r="H155"/>
  <c r="H133"/>
  <c r="H179"/>
  <c r="H80"/>
  <c r="H117"/>
  <c r="H100"/>
  <c r="H192"/>
  <c r="H190"/>
  <c r="H172"/>
  <c r="H123"/>
  <c r="H87"/>
  <c r="H59"/>
  <c r="H121"/>
  <c r="H217"/>
  <c r="H86"/>
  <c r="H42"/>
  <c r="H176"/>
  <c r="H92"/>
  <c r="H43"/>
  <c r="H143"/>
  <c r="J143" s="1"/>
  <c r="H124"/>
  <c r="J124" s="1"/>
  <c r="H25"/>
  <c r="H227"/>
  <c r="H93"/>
  <c r="H94"/>
  <c r="H68"/>
  <c r="H69"/>
  <c r="H70"/>
  <c r="H71"/>
  <c r="H101"/>
  <c r="H72"/>
  <c r="H73"/>
  <c r="H95"/>
  <c r="H127"/>
  <c r="H214"/>
  <c r="H346"/>
  <c r="H10"/>
  <c r="H96"/>
  <c r="H189"/>
  <c r="H106"/>
  <c r="H182"/>
  <c r="H58"/>
  <c r="H74"/>
  <c r="H232"/>
  <c r="H233"/>
  <c r="H134"/>
  <c r="H231"/>
  <c r="H102"/>
  <c r="H60"/>
  <c r="H118"/>
  <c r="H218"/>
  <c r="H219"/>
  <c r="H156"/>
  <c r="H193"/>
  <c r="H224"/>
  <c r="J224" s="1"/>
  <c r="H181"/>
  <c r="H122"/>
  <c r="H103"/>
  <c r="H144"/>
  <c r="H230"/>
  <c r="H75"/>
  <c r="H76"/>
  <c r="H77"/>
  <c r="H78"/>
  <c r="H88"/>
  <c r="H119"/>
  <c r="H116"/>
  <c r="H194"/>
  <c r="H120"/>
  <c r="H125"/>
  <c r="H157"/>
  <c r="H225"/>
  <c r="J225" s="1"/>
  <c r="H220"/>
  <c r="H191"/>
  <c r="H363"/>
  <c r="H229"/>
  <c r="H126"/>
  <c r="H138"/>
  <c r="H288"/>
  <c r="H206"/>
  <c r="H243"/>
  <c r="H10" i="3"/>
  <c r="K155"/>
  <c r="H384"/>
  <c r="H383"/>
  <c r="H382"/>
  <c r="H381"/>
  <c r="H380"/>
  <c r="K384"/>
  <c r="H379"/>
  <c r="H378"/>
  <c r="H377"/>
  <c r="H376"/>
  <c r="H375"/>
  <c r="H374"/>
  <c r="K379"/>
  <c r="H366"/>
  <c r="H365"/>
  <c r="K366"/>
  <c r="H364"/>
  <c r="H363"/>
  <c r="H362"/>
  <c r="H361"/>
  <c r="H360"/>
  <c r="H359"/>
  <c r="K364"/>
  <c r="H358"/>
  <c r="H357"/>
  <c r="H356"/>
  <c r="H355"/>
  <c r="K358"/>
  <c r="K354"/>
  <c r="H353"/>
  <c r="H352"/>
  <c r="H351"/>
  <c r="H350"/>
  <c r="K353"/>
  <c r="K351"/>
  <c r="H349"/>
  <c r="H348"/>
  <c r="K349"/>
  <c r="H347"/>
  <c r="H346"/>
  <c r="H345"/>
  <c r="K347"/>
  <c r="H344"/>
  <c r="H343"/>
  <c r="H342"/>
  <c r="K344"/>
  <c r="H341"/>
  <c r="H340"/>
  <c r="H339"/>
  <c r="K341"/>
  <c r="H338"/>
  <c r="H337"/>
  <c r="H336"/>
  <c r="H335"/>
  <c r="K338"/>
  <c r="H334"/>
  <c r="H333"/>
  <c r="H332"/>
  <c r="K334"/>
  <c r="H331"/>
  <c r="H330"/>
  <c r="H329"/>
  <c r="K331"/>
  <c r="H328"/>
  <c r="H327"/>
  <c r="H326"/>
  <c r="H325"/>
  <c r="K328"/>
  <c r="K324"/>
  <c r="H324"/>
  <c r="H323"/>
  <c r="H322"/>
  <c r="H321"/>
  <c r="H320"/>
  <c r="H319"/>
  <c r="K322"/>
  <c r="H318"/>
  <c r="H317"/>
  <c r="H316"/>
  <c r="K318"/>
  <c r="H315"/>
  <c r="H314"/>
  <c r="H313"/>
  <c r="H312"/>
  <c r="H311"/>
  <c r="K315"/>
  <c r="K310"/>
  <c r="H308"/>
  <c r="H307"/>
  <c r="K308"/>
  <c r="H306"/>
  <c r="H305"/>
  <c r="H304"/>
  <c r="H303"/>
  <c r="H302"/>
  <c r="K306"/>
  <c r="H301"/>
  <c r="H300"/>
  <c r="H299"/>
  <c r="H298"/>
  <c r="H297"/>
  <c r="K301"/>
  <c r="H296"/>
  <c r="H295"/>
  <c r="H294"/>
  <c r="K296"/>
  <c r="H293"/>
  <c r="H292"/>
  <c r="K293"/>
  <c r="H291"/>
  <c r="H290"/>
  <c r="H289"/>
  <c r="H288"/>
  <c r="H287"/>
  <c r="H286"/>
  <c r="H285"/>
  <c r="K287"/>
  <c r="K198"/>
  <c r="H196"/>
  <c r="H195"/>
  <c r="H194"/>
  <c r="H193"/>
  <c r="K196"/>
  <c r="K184"/>
  <c r="H184"/>
  <c r="H183"/>
  <c r="H182"/>
  <c r="H181"/>
  <c r="H161"/>
  <c r="H160"/>
  <c r="H159"/>
  <c r="K161"/>
  <c r="J114" i="4" l="1"/>
  <c r="J379" i="3"/>
  <c r="J366"/>
  <c r="J358"/>
  <c r="J293" i="4"/>
  <c r="J291"/>
  <c r="I378" i="5"/>
  <c r="H377"/>
  <c r="H527" s="1"/>
  <c r="J296" i="4"/>
  <c r="J303"/>
  <c r="J306"/>
  <c r="J310"/>
  <c r="J314"/>
  <c r="J318"/>
  <c r="J324"/>
  <c r="J321"/>
  <c r="J334"/>
  <c r="J328"/>
  <c r="J331"/>
  <c r="J338"/>
  <c r="J341"/>
  <c r="J352"/>
  <c r="J362"/>
  <c r="J163"/>
  <c r="J132"/>
  <c r="J57"/>
  <c r="J109"/>
  <c r="J130"/>
  <c r="I366"/>
  <c r="J49"/>
  <c r="J56"/>
  <c r="H365"/>
  <c r="H526" s="1"/>
  <c r="H527" s="1"/>
  <c r="J364" i="3"/>
  <c r="J384"/>
  <c r="J306"/>
  <c r="J351"/>
  <c r="J308"/>
  <c r="J353"/>
  <c r="J347"/>
  <c r="J344"/>
  <c r="J349"/>
  <c r="J341"/>
  <c r="J338"/>
  <c r="J331"/>
  <c r="J334"/>
  <c r="J296"/>
  <c r="J318"/>
  <c r="J328"/>
  <c r="J322"/>
  <c r="J324"/>
  <c r="J301"/>
  <c r="J315"/>
  <c r="J291"/>
  <c r="J293"/>
  <c r="J196"/>
  <c r="J287"/>
  <c r="J161"/>
  <c r="J184"/>
  <c r="K119"/>
  <c r="K117"/>
  <c r="H119"/>
  <c r="H118"/>
  <c r="H117"/>
  <c r="H116"/>
  <c r="K97"/>
  <c r="H92"/>
  <c r="H91"/>
  <c r="K80"/>
  <c r="K48"/>
  <c r="H48"/>
  <c r="H47"/>
  <c r="H46"/>
  <c r="H45"/>
  <c r="H274" i="1"/>
  <c r="H222" i="3"/>
  <c r="H32"/>
  <c r="H224"/>
  <c r="H18"/>
  <c r="H225"/>
  <c r="H226"/>
  <c r="H227"/>
  <c r="H228"/>
  <c r="H229"/>
  <c r="H230"/>
  <c r="H231"/>
  <c r="H232"/>
  <c r="H29"/>
  <c r="H149"/>
  <c r="H233"/>
  <c r="H234"/>
  <c r="H235"/>
  <c r="H236"/>
  <c r="H369"/>
  <c r="H135"/>
  <c r="H17"/>
  <c r="H237"/>
  <c r="H28"/>
  <c r="H189"/>
  <c r="H188"/>
  <c r="H148"/>
  <c r="H238"/>
  <c r="H239"/>
  <c r="H106"/>
  <c r="H240"/>
  <c r="H241"/>
  <c r="H242"/>
  <c r="H243"/>
  <c r="H244"/>
  <c r="H26"/>
  <c r="H245"/>
  <c r="H30"/>
  <c r="H190"/>
  <c r="H187"/>
  <c r="H137"/>
  <c r="H33"/>
  <c r="H246"/>
  <c r="H368"/>
  <c r="H247"/>
  <c r="H109"/>
  <c r="H248"/>
  <c r="H23"/>
  <c r="H249"/>
  <c r="H16"/>
  <c r="H83"/>
  <c r="H197"/>
  <c r="H250"/>
  <c r="H221"/>
  <c r="H144"/>
  <c r="H81"/>
  <c r="H251"/>
  <c r="H252"/>
  <c r="H253"/>
  <c r="H254"/>
  <c r="H22"/>
  <c r="H255"/>
  <c r="H138"/>
  <c r="H256"/>
  <c r="H257"/>
  <c r="H258"/>
  <c r="H259"/>
  <c r="H260"/>
  <c r="H261"/>
  <c r="H370"/>
  <c r="H262"/>
  <c r="H263"/>
  <c r="H264"/>
  <c r="H265"/>
  <c r="H266"/>
  <c r="H267"/>
  <c r="H268"/>
  <c r="H269"/>
  <c r="H270"/>
  <c r="H271"/>
  <c r="H272"/>
  <c r="H371"/>
  <c r="H273"/>
  <c r="H274"/>
  <c r="H275"/>
  <c r="H21"/>
  <c r="H24"/>
  <c r="H276"/>
  <c r="H277"/>
  <c r="H25"/>
  <c r="H27"/>
  <c r="H108"/>
  <c r="H107"/>
  <c r="H223"/>
  <c r="H278"/>
  <c r="H279"/>
  <c r="H280"/>
  <c r="H102"/>
  <c r="H281"/>
  <c r="H186"/>
  <c r="H282"/>
  <c r="H82"/>
  <c r="H367"/>
  <c r="H283"/>
  <c r="H147"/>
  <c r="H150"/>
  <c r="H152"/>
  <c r="H153"/>
  <c r="H154"/>
  <c r="H141"/>
  <c r="H140"/>
  <c r="H39"/>
  <c r="H38"/>
  <c r="H139"/>
  <c r="H40"/>
  <c r="H80"/>
  <c r="J80" s="1"/>
  <c r="H42"/>
  <c r="H41"/>
  <c r="H143"/>
  <c r="H100"/>
  <c r="H101"/>
  <c r="H31"/>
  <c r="H44"/>
  <c r="H43"/>
  <c r="H103"/>
  <c r="H97"/>
  <c r="J97" s="1"/>
  <c r="H217"/>
  <c r="H164"/>
  <c r="H113"/>
  <c r="H13"/>
  <c r="H199"/>
  <c r="H51"/>
  <c r="H79"/>
  <c r="H218"/>
  <c r="H104"/>
  <c r="H176"/>
  <c r="H96"/>
  <c r="H11"/>
  <c r="H169"/>
  <c r="H121"/>
  <c r="H122"/>
  <c r="H120"/>
  <c r="H84"/>
  <c r="H219"/>
  <c r="H387"/>
  <c r="H95"/>
  <c r="H163"/>
  <c r="H130"/>
  <c r="H220"/>
  <c r="H165"/>
  <c r="H131"/>
  <c r="H170"/>
  <c r="H168"/>
  <c r="H114"/>
  <c r="H206"/>
  <c r="H166"/>
  <c r="H20"/>
  <c r="H284"/>
  <c r="H354"/>
  <c r="J354" s="1"/>
  <c r="H19"/>
  <c r="H126"/>
  <c r="H127"/>
  <c r="H54"/>
  <c r="H213"/>
  <c r="H214"/>
  <c r="H98"/>
  <c r="H55"/>
  <c r="H49"/>
  <c r="H208"/>
  <c r="H136"/>
  <c r="H56"/>
  <c r="H177"/>
  <c r="H115"/>
  <c r="H173"/>
  <c r="H372"/>
  <c r="H90"/>
  <c r="H198"/>
  <c r="J198" s="1"/>
  <c r="H85"/>
  <c r="H204"/>
  <c r="H57"/>
  <c r="H58"/>
  <c r="H59"/>
  <c r="H60"/>
  <c r="H192"/>
  <c r="H155"/>
  <c r="J155" s="1"/>
  <c r="H105"/>
  <c r="H36"/>
  <c r="H212"/>
  <c r="H37"/>
  <c r="H156"/>
  <c r="H123"/>
  <c r="H178"/>
  <c r="H179"/>
  <c r="H110"/>
  <c r="H200"/>
  <c r="H185"/>
  <c r="H61"/>
  <c r="H125"/>
  <c r="H62"/>
  <c r="H63"/>
  <c r="H15"/>
  <c r="H129"/>
  <c r="H50"/>
  <c r="H157"/>
  <c r="H201"/>
  <c r="H167"/>
  <c r="H172"/>
  <c r="H145"/>
  <c r="H111"/>
  <c r="H112"/>
  <c r="H385"/>
  <c r="H209"/>
  <c r="H180"/>
  <c r="H93"/>
  <c r="H52"/>
  <c r="H64"/>
  <c r="H162"/>
  <c r="H191"/>
  <c r="H171"/>
  <c r="H86"/>
  <c r="H142"/>
  <c r="H12"/>
  <c r="H124"/>
  <c r="H99"/>
  <c r="H65"/>
  <c r="H128"/>
  <c r="H175"/>
  <c r="H146"/>
  <c r="H35"/>
  <c r="H66"/>
  <c r="H67"/>
  <c r="H68"/>
  <c r="H133"/>
  <c r="H53"/>
  <c r="H94"/>
  <c r="H202"/>
  <c r="H78"/>
  <c r="H210"/>
  <c r="H69"/>
  <c r="H70"/>
  <c r="H134"/>
  <c r="H71"/>
  <c r="H205"/>
  <c r="H207"/>
  <c r="H132"/>
  <c r="H14"/>
  <c r="H215"/>
  <c r="H216"/>
  <c r="H72"/>
  <c r="H73"/>
  <c r="H373"/>
  <c r="H74"/>
  <c r="H75"/>
  <c r="H203"/>
  <c r="H76"/>
  <c r="H158"/>
  <c r="H386"/>
  <c r="H77"/>
  <c r="H151"/>
  <c r="H174"/>
  <c r="H211"/>
  <c r="H87"/>
  <c r="H88"/>
  <c r="H89"/>
  <c r="H34"/>
  <c r="H106" i="1"/>
  <c r="K13"/>
  <c r="K336"/>
  <c r="K104"/>
  <c r="K154"/>
  <c r="K353"/>
  <c r="K300"/>
  <c r="K348"/>
  <c r="K345"/>
  <c r="H389" i="3" l="1"/>
  <c r="H564" s="1"/>
  <c r="H565" s="1"/>
  <c r="J119"/>
  <c r="J117"/>
  <c r="J48"/>
  <c r="J91"/>
  <c r="H12" i="1"/>
  <c r="H43"/>
  <c r="H65"/>
  <c r="H27"/>
  <c r="H59"/>
  <c r="H10"/>
  <c r="H15"/>
  <c r="H71"/>
  <c r="H16"/>
  <c r="H17"/>
  <c r="H37"/>
  <c r="H18"/>
  <c r="H69"/>
  <c r="H20"/>
  <c r="H21"/>
  <c r="H22"/>
  <c r="H23"/>
  <c r="H24"/>
  <c r="H25"/>
  <c r="H26"/>
  <c r="H29"/>
  <c r="H30"/>
  <c r="H33"/>
  <c r="H35"/>
  <c r="H36"/>
  <c r="H39"/>
  <c r="H40"/>
  <c r="H41"/>
  <c r="H42"/>
  <c r="H44"/>
  <c r="H46"/>
  <c r="H47"/>
  <c r="H48"/>
  <c r="H49"/>
  <c r="H50"/>
  <c r="H53"/>
  <c r="H54"/>
  <c r="H55"/>
  <c r="H56"/>
  <c r="H58"/>
  <c r="H60"/>
  <c r="H61"/>
  <c r="H62"/>
  <c r="H63"/>
  <c r="H64"/>
  <c r="H66"/>
  <c r="H68"/>
  <c r="H70"/>
  <c r="H74"/>
  <c r="H75"/>
  <c r="H73"/>
  <c r="H76"/>
  <c r="H77"/>
  <c r="H78"/>
  <c r="H79"/>
  <c r="H80"/>
  <c r="H81"/>
  <c r="H83"/>
  <c r="H82"/>
  <c r="H84"/>
  <c r="H85"/>
  <c r="H86"/>
  <c r="H87"/>
  <c r="H88"/>
  <c r="H89"/>
  <c r="H90"/>
  <c r="H31"/>
  <c r="H32"/>
  <c r="H51"/>
  <c r="H14"/>
  <c r="H28"/>
  <c r="H38"/>
  <c r="H45"/>
  <c r="H52"/>
  <c r="H67"/>
  <c r="H72"/>
  <c r="H249"/>
  <c r="H246"/>
  <c r="H247"/>
  <c r="H248"/>
  <c r="H13"/>
  <c r="J13" s="1"/>
  <c r="H19"/>
  <c r="H57"/>
  <c r="H96"/>
  <c r="H34"/>
  <c r="H255"/>
  <c r="H254"/>
  <c r="H250"/>
  <c r="H251"/>
  <c r="H252"/>
  <c r="H253"/>
  <c r="H256"/>
  <c r="H269"/>
  <c r="H307"/>
  <c r="H270"/>
  <c r="H271"/>
  <c r="H272"/>
  <c r="H273"/>
  <c r="H275"/>
  <c r="H276"/>
  <c r="H278"/>
  <c r="H279"/>
  <c r="H280"/>
  <c r="H281"/>
  <c r="H282"/>
  <c r="H283"/>
  <c r="H284"/>
  <c r="H285"/>
  <c r="H287"/>
  <c r="H309"/>
  <c r="H288"/>
  <c r="H347"/>
  <c r="H291"/>
  <c r="H292"/>
  <c r="H305"/>
  <c r="H306"/>
  <c r="H351"/>
  <c r="H328"/>
  <c r="H348"/>
  <c r="H308"/>
  <c r="H310"/>
  <c r="H311"/>
  <c r="H312"/>
  <c r="H350"/>
  <c r="H313"/>
  <c r="H327"/>
  <c r="H346"/>
  <c r="H329"/>
  <c r="H349"/>
  <c r="H352"/>
  <c r="H331"/>
  <c r="H332"/>
  <c r="H333"/>
  <c r="H345"/>
  <c r="H334"/>
  <c r="H335"/>
  <c r="H330"/>
  <c r="H277"/>
  <c r="H286"/>
  <c r="H99"/>
  <c r="H98"/>
  <c r="H91"/>
  <c r="H101"/>
  <c r="H102"/>
  <c r="H97"/>
  <c r="H95"/>
  <c r="H100"/>
  <c r="H92"/>
  <c r="H103"/>
  <c r="H289"/>
  <c r="H290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202"/>
  <c r="H232"/>
  <c r="H233"/>
  <c r="H245"/>
  <c r="H109"/>
  <c r="H108"/>
  <c r="H110"/>
  <c r="H244"/>
  <c r="H93"/>
  <c r="H104"/>
  <c r="H107"/>
  <c r="H105"/>
  <c r="H260"/>
  <c r="H265"/>
  <c r="H267"/>
  <c r="H293"/>
  <c r="H297"/>
  <c r="H298"/>
  <c r="H304"/>
  <c r="H316"/>
  <c r="H317"/>
  <c r="H318"/>
  <c r="H320"/>
  <c r="H324"/>
  <c r="H325"/>
  <c r="H339"/>
  <c r="H353"/>
  <c r="H257"/>
  <c r="H258"/>
  <c r="H259"/>
  <c r="H261"/>
  <c r="H262"/>
  <c r="H263"/>
  <c r="H264"/>
  <c r="H266"/>
  <c r="H268"/>
  <c r="H294"/>
  <c r="H295"/>
  <c r="H296"/>
  <c r="H299"/>
  <c r="H300"/>
  <c r="H301"/>
  <c r="H302"/>
  <c r="H303"/>
  <c r="H314"/>
  <c r="H315"/>
  <c r="H319"/>
  <c r="H321"/>
  <c r="H322"/>
  <c r="H323"/>
  <c r="H326"/>
  <c r="H336"/>
  <c r="H337"/>
  <c r="H338"/>
  <c r="H340"/>
  <c r="H341"/>
  <c r="H342"/>
  <c r="H343"/>
  <c r="H344"/>
  <c r="H354"/>
  <c r="H94"/>
  <c r="H11"/>
  <c r="I356"/>
  <c r="I528" s="1"/>
  <c r="I529" s="1"/>
  <c r="I357"/>
  <c r="H355" l="1"/>
  <c r="H528" s="1"/>
  <c r="H529" s="1"/>
  <c r="J12" i="6"/>
  <c r="J161" i="13"/>
  <c r="J255"/>
  <c r="J104" i="1"/>
  <c r="J345"/>
  <c r="J348"/>
  <c r="J154"/>
  <c r="J300"/>
  <c r="J353"/>
  <c r="J336"/>
</calcChain>
</file>

<file path=xl/sharedStrings.xml><?xml version="1.0" encoding="utf-8"?>
<sst xmlns="http://schemas.openxmlformats.org/spreadsheetml/2006/main" count="28010" uniqueCount="7100">
  <si>
    <t>D  2,019</t>
  </si>
  <si>
    <t>ENERO02013</t>
  </si>
  <si>
    <t>LJIMENEZ:MULDOON BABLOT CECILIA</t>
  </si>
  <si>
    <t>D  2,020</t>
  </si>
  <si>
    <t>RA*1</t>
  </si>
  <si>
    <t>LJIMENEZ:LEAL CORONA JOSE ANTONIO</t>
  </si>
  <si>
    <t>TOYOTA FINANCIAL SERVICES DE MEXICO</t>
  </si>
  <si>
    <t>D     90</t>
  </si>
  <si>
    <t>0338-TCN13</t>
  </si>
  <si>
    <t>LIDERAZGO AUTOMOTRIZ DE PUEBLA  S</t>
  </si>
  <si>
    <t>D    117</t>
  </si>
  <si>
    <t>0141-TCN13</t>
  </si>
  <si>
    <t>D    118</t>
  </si>
  <si>
    <t>0237-TCN13</t>
  </si>
  <si>
    <t>E     15</t>
  </si>
  <si>
    <t>CH-11915</t>
  </si>
  <si>
    <t>MA FLORENCIA DE LA CRUZ HERNANDEZ</t>
  </si>
  <si>
    <t>E     16</t>
  </si>
  <si>
    <t>CH-11916</t>
  </si>
  <si>
    <t>SANCHEZ ROMERO MARIA DEL PILAR</t>
  </si>
  <si>
    <t>E     17</t>
  </si>
  <si>
    <t>CH-11917</t>
  </si>
  <si>
    <t>FERREMATERIALES SU CASA, S.A. DE C.</t>
  </si>
  <si>
    <t>0339-TCN13</t>
  </si>
  <si>
    <t>D    216</t>
  </si>
  <si>
    <t>AR00002239</t>
  </si>
  <si>
    <t>LJIMENEZ:TOYOTA MOTOR SALES DE MEXI</t>
  </si>
  <si>
    <t>E     25</t>
  </si>
  <si>
    <t>CH-11925</t>
  </si>
  <si>
    <t>CONSULTORES &amp; ASESORES INTEGRALES S</t>
  </si>
  <si>
    <t>E     26</t>
  </si>
  <si>
    <t>CH-11911</t>
  </si>
  <si>
    <t>E     27</t>
  </si>
  <si>
    <t>CH-11910</t>
  </si>
  <si>
    <t>D    295</t>
  </si>
  <si>
    <t>0939-TCN12</t>
  </si>
  <si>
    <t>ALDEN  QUERETARO S DE  RL DE  CV</t>
  </si>
  <si>
    <t>D    346</t>
  </si>
  <si>
    <t>CEVER  LOMAS VERDES  S  DE RL DE  C</t>
  </si>
  <si>
    <t>D    352</t>
  </si>
  <si>
    <t>0341-TCN13</t>
  </si>
  <si>
    <t>D    358</t>
  </si>
  <si>
    <t>0342-TCN13</t>
  </si>
  <si>
    <t>0343-TCN13</t>
  </si>
  <si>
    <t>0340-TCN13</t>
  </si>
  <si>
    <t>E     40</t>
  </si>
  <si>
    <t>CH-11936</t>
  </si>
  <si>
    <t>E     43</t>
  </si>
  <si>
    <t>T-404</t>
  </si>
  <si>
    <t>MASTER TECNOCEL SA DE CV</t>
  </si>
  <si>
    <t>E     44</t>
  </si>
  <si>
    <t>T-405</t>
  </si>
  <si>
    <t>TELECOMUNICACIONES RPP SA DE CV</t>
  </si>
  <si>
    <t>D    434</t>
  </si>
  <si>
    <t>0344-TCN13</t>
  </si>
  <si>
    <t>D    452</t>
  </si>
  <si>
    <t>AR00007119</t>
  </si>
  <si>
    <t>LJIMENEZ:QUERETARO MOTORS, SA</t>
  </si>
  <si>
    <t>0345-TCN13</t>
  </si>
  <si>
    <t>D    507</t>
  </si>
  <si>
    <t>0346-TCN13</t>
  </si>
  <si>
    <t>D    508</t>
  </si>
  <si>
    <t>0347-TCN13</t>
  </si>
  <si>
    <t>D    509</t>
  </si>
  <si>
    <t>0348-TCN13</t>
  </si>
  <si>
    <t>D    510</t>
  </si>
  <si>
    <t>0349-TCN13</t>
  </si>
  <si>
    <t>D    512</t>
  </si>
  <si>
    <t>0350-TCN13</t>
  </si>
  <si>
    <t>E     46</t>
  </si>
  <si>
    <t>T-406</t>
  </si>
  <si>
    <t>SERVICIO AUDITORIO SA DE CV</t>
  </si>
  <si>
    <t>E     47</t>
  </si>
  <si>
    <t>T-240</t>
  </si>
  <si>
    <t>INDUSTRIA DISEÑADORA DE AUTOPARTES,</t>
  </si>
  <si>
    <t>E     48</t>
  </si>
  <si>
    <t>T-407</t>
  </si>
  <si>
    <t>GRUPO ECOLOGICA, S.A. DE C.V.</t>
  </si>
  <si>
    <t>E     49</t>
  </si>
  <si>
    <t>T-408</t>
  </si>
  <si>
    <t>DISTRIBUCION Y CONSTRUCCION S.A. DE</t>
  </si>
  <si>
    <t>E     50</t>
  </si>
  <si>
    <t>T-409</t>
  </si>
  <si>
    <t>LJIMENEZ:SEVIBA S.A. DE C.V</t>
  </si>
  <si>
    <t>E     51</t>
  </si>
  <si>
    <t>T-410</t>
  </si>
  <si>
    <t>OFFICE DEPOT DE MEXICO S.A DE C.V.</t>
  </si>
  <si>
    <t>E     52</t>
  </si>
  <si>
    <t>T-241</t>
  </si>
  <si>
    <t>OCHOA NOLASCO GUILLERMO</t>
  </si>
  <si>
    <t>E     53</t>
  </si>
  <si>
    <t>T-411</t>
  </si>
  <si>
    <t>E     54</t>
  </si>
  <si>
    <t>T-242</t>
  </si>
  <si>
    <t>REYES MORALES ARELI</t>
  </si>
  <si>
    <t>E     55</t>
  </si>
  <si>
    <t>T-412</t>
  </si>
  <si>
    <t>MARCOZER SA DE CV</t>
  </si>
  <si>
    <t>E     58</t>
  </si>
  <si>
    <t>CH-11937</t>
  </si>
  <si>
    <t>COMISION FEDERAL DE ELECTRICIDAD</t>
  </si>
  <si>
    <t>D    553</t>
  </si>
  <si>
    <t>0351-TCN13</t>
  </si>
  <si>
    <t>UNITED AUTO DE  AGUASCALIENTES S  D</t>
  </si>
  <si>
    <t>D    568</t>
  </si>
  <si>
    <t>0352-TCN13</t>
  </si>
  <si>
    <t>D    572</t>
  </si>
  <si>
    <t>0286-TCN13</t>
  </si>
  <si>
    <t>D    575</t>
  </si>
  <si>
    <t>0940-TCN12</t>
  </si>
  <si>
    <t>E     63</t>
  </si>
  <si>
    <t>CH-11944</t>
  </si>
  <si>
    <t>INMOBILIARIA FEMAZE, SA DE CV</t>
  </si>
  <si>
    <t>E     64</t>
  </si>
  <si>
    <t>CH-11945</t>
  </si>
  <si>
    <t>LOPEZ RODRIGUEZ PAOLA</t>
  </si>
  <si>
    <t>E     65</t>
  </si>
  <si>
    <t>CH-11946</t>
  </si>
  <si>
    <t>VASQUEZ ALCANTARA EDER OCTAVIO</t>
  </si>
  <si>
    <t>E     66</t>
  </si>
  <si>
    <t>CH-11947</t>
  </si>
  <si>
    <t>PARABRISAS ARAMBURO S.A. DE C.V.</t>
  </si>
  <si>
    <t>E     67</t>
  </si>
  <si>
    <t>CH-11948</t>
  </si>
  <si>
    <t>1915 AUDITORIA Y FINANZAS, S.C.</t>
  </si>
  <si>
    <t>E     68</t>
  </si>
  <si>
    <t>CH-11949</t>
  </si>
  <si>
    <t>OCHOA AVILES ULISES</t>
  </si>
  <si>
    <t>E     69</t>
  </si>
  <si>
    <t>CH-11950</t>
  </si>
  <si>
    <t>MARTINEZ SUAREZ SANTOS</t>
  </si>
  <si>
    <t>E     70</t>
  </si>
  <si>
    <t>CH-7783747</t>
  </si>
  <si>
    <t>DISTRIBUIDORA DE MATERIALES SAN PED</t>
  </si>
  <si>
    <t>E     71</t>
  </si>
  <si>
    <t>CH-11951</t>
  </si>
  <si>
    <t>E     77</t>
  </si>
  <si>
    <t>CH-11954</t>
  </si>
  <si>
    <t>D    631</t>
  </si>
  <si>
    <t>0354-TCN13</t>
  </si>
  <si>
    <t>DALTON AUTOMOTRIZ  S DE RL DE  CV</t>
  </si>
  <si>
    <t>D    658</t>
  </si>
  <si>
    <t>0356-TCN13</t>
  </si>
  <si>
    <t>D    675</t>
  </si>
  <si>
    <t>0848-TCN12</t>
  </si>
  <si>
    <t>CEVER  TOLUCA  SA  DE  CV</t>
  </si>
  <si>
    <t>D    676</t>
  </si>
  <si>
    <t>0919-TCN12</t>
  </si>
  <si>
    <t>D    678</t>
  </si>
  <si>
    <t>0357-TCN13</t>
  </si>
  <si>
    <t>E     78</t>
  </si>
  <si>
    <t>CH-11955</t>
  </si>
  <si>
    <t>E     79</t>
  </si>
  <si>
    <t>CH-11956</t>
  </si>
  <si>
    <t>E     80</t>
  </si>
  <si>
    <t>CH-11957</t>
  </si>
  <si>
    <t>E     81</t>
  </si>
  <si>
    <t>CH-11958</t>
  </si>
  <si>
    <t>RECTIFICACIONES VAZCO S.A. DE C.V.</t>
  </si>
  <si>
    <t>E     86</t>
  </si>
  <si>
    <t>CH-11962</t>
  </si>
  <si>
    <t>E     87</t>
  </si>
  <si>
    <t>CH-11963</t>
  </si>
  <si>
    <t>D    741</t>
  </si>
  <si>
    <t>CAMRYMEN12</t>
  </si>
  <si>
    <t>LJIMENEZ:MENSUALIDA CAMRY  12/24</t>
  </si>
  <si>
    <t>D    744</t>
  </si>
  <si>
    <t>0358-TCN13</t>
  </si>
  <si>
    <t>CEVER  LOMAS   VERDES S  DE R LD E</t>
  </si>
  <si>
    <t>D    755</t>
  </si>
  <si>
    <t>0359-TCN13</t>
  </si>
  <si>
    <t>SAMURAI MOTORS S DE RL  DE CV</t>
  </si>
  <si>
    <t>E     89</t>
  </si>
  <si>
    <t>CH-7783750</t>
  </si>
  <si>
    <t>PLOMERIA Y CERAMICA DE QUERETARO SA</t>
  </si>
  <si>
    <t>E     97</t>
  </si>
  <si>
    <t>CH-11971</t>
  </si>
  <si>
    <t>MARTINEZ GARZA CORDERA CESAR RODOLF</t>
  </si>
  <si>
    <t>D    815</t>
  </si>
  <si>
    <t>0941-TCN12</t>
  </si>
  <si>
    <t>D    819</t>
  </si>
  <si>
    <t>OZ  AUTOMOTRIZ DE  COLIMA  S  DE RL</t>
  </si>
  <si>
    <t>E    103</t>
  </si>
  <si>
    <t>CH-11978</t>
  </si>
  <si>
    <t>JUNTA MUNICIPAL DE AGUA POTABLE Y A</t>
  </si>
  <si>
    <t>E    109</t>
  </si>
  <si>
    <t>IMSS E INF</t>
  </si>
  <si>
    <t>E    110</t>
  </si>
  <si>
    <t>D    939</t>
  </si>
  <si>
    <t>0360-TCN13</t>
  </si>
  <si>
    <t>CCD. AUTOSALES   PUERTO VALLARTA</t>
  </si>
  <si>
    <t>0361-TCN13</t>
  </si>
  <si>
    <t>D    954</t>
  </si>
  <si>
    <t>DALTON AUTOMOTRIZ  S DE  RL DE CV</t>
  </si>
  <si>
    <t>D    970</t>
  </si>
  <si>
    <t>0362-TCN13</t>
  </si>
  <si>
    <t>CEVER  LOMAS   VERDES  S  DE RL DE</t>
  </si>
  <si>
    <t>D    972</t>
  </si>
  <si>
    <t>0363-TCN13</t>
  </si>
  <si>
    <t>D    976</t>
  </si>
  <si>
    <t>0279-TCN13</t>
  </si>
  <si>
    <t>E    115</t>
  </si>
  <si>
    <t>CH-11991</t>
  </si>
  <si>
    <t>E    116</t>
  </si>
  <si>
    <t>CH-11993</t>
  </si>
  <si>
    <t>E    118</t>
  </si>
  <si>
    <t>T-243</t>
  </si>
  <si>
    <t>JC IMAGEN AUTOMOTRIZ, S.A. DE C.V.</t>
  </si>
  <si>
    <t>E    119</t>
  </si>
  <si>
    <t>T-414</t>
  </si>
  <si>
    <t>AUTO TERRESTRES MEXICO SA DE CV</t>
  </si>
  <si>
    <t>E    120</t>
  </si>
  <si>
    <t>T-415</t>
  </si>
  <si>
    <t>E    122</t>
  </si>
  <si>
    <t>T-416</t>
  </si>
  <si>
    <t>IMPRESIONES FINAS DEL CENTRO SA DE</t>
  </si>
  <si>
    <t>E    123</t>
  </si>
  <si>
    <t>T-244</t>
  </si>
  <si>
    <t>E    124</t>
  </si>
  <si>
    <t>T-245</t>
  </si>
  <si>
    <t>GRUPO DE PRESTIGIO EN AUDIO Y VIDEO</t>
  </si>
  <si>
    <t>E    125</t>
  </si>
  <si>
    <t>T-417</t>
  </si>
  <si>
    <t>SEVIBA S.A. DE C.V</t>
  </si>
  <si>
    <t>E    126</t>
  </si>
  <si>
    <t>T-418</t>
  </si>
  <si>
    <t>IMPULSORA DE TRANSPORTES MEXICANOS,</t>
  </si>
  <si>
    <t>E    127</t>
  </si>
  <si>
    <t>T-419</t>
  </si>
  <si>
    <t>MONROY ESTRADA FELIPE</t>
  </si>
  <si>
    <t>E    128</t>
  </si>
  <si>
    <t>T-420</t>
  </si>
  <si>
    <t>E    130</t>
  </si>
  <si>
    <t>T-421</t>
  </si>
  <si>
    <t>E    131</t>
  </si>
  <si>
    <t>T-246</t>
  </si>
  <si>
    <t>E    240</t>
  </si>
  <si>
    <t>CH-11989</t>
  </si>
  <si>
    <t>GVA CONSULTORIA Y CAPACITACION SC</t>
  </si>
  <si>
    <t>D  1,004</t>
  </si>
  <si>
    <t>0364-TCN13</t>
  </si>
  <si>
    <t>D  1,005</t>
  </si>
  <si>
    <t>0942-TCN12</t>
  </si>
  <si>
    <t>D  1,007</t>
  </si>
  <si>
    <t>0365-TCN13</t>
  </si>
  <si>
    <t>D  1,009</t>
  </si>
  <si>
    <t>0366-TCN13</t>
  </si>
  <si>
    <t>D  1,011</t>
  </si>
  <si>
    <t>0367-TCN13</t>
  </si>
  <si>
    <t>D  1,012</t>
  </si>
  <si>
    <t>0368-TCN13</t>
  </si>
  <si>
    <t>D  1,013</t>
  </si>
  <si>
    <t>0369-TCN13</t>
  </si>
  <si>
    <t>E    132</t>
  </si>
  <si>
    <t>CH-11994</t>
  </si>
  <si>
    <t>E    133</t>
  </si>
  <si>
    <t>CH-11995</t>
  </si>
  <si>
    <t>D  1,092</t>
  </si>
  <si>
    <t>0925-TCN12</t>
  </si>
  <si>
    <t>D  1,094</t>
  </si>
  <si>
    <t>0943-TCN12</t>
  </si>
  <si>
    <t>D  1,105</t>
  </si>
  <si>
    <t>0370-TCN13</t>
  </si>
  <si>
    <t>UNITED AUTO DE MONTERREY S  DE RL</t>
  </si>
  <si>
    <t>D  1,173</t>
  </si>
  <si>
    <t>0371-TCN13</t>
  </si>
  <si>
    <t>D  1,175</t>
  </si>
  <si>
    <t>0372-TCN13</t>
  </si>
  <si>
    <t>E    241</t>
  </si>
  <si>
    <t>CH-12006</t>
  </si>
  <si>
    <t>GUZMAN LACUNZA GABRIELA TERESA</t>
  </si>
  <si>
    <t>E    245</t>
  </si>
  <si>
    <t>CH-12002</t>
  </si>
  <si>
    <t>AUTOS COMPACTOS DE QUERETARO SA DE</t>
  </si>
  <si>
    <t>D  1,266</t>
  </si>
  <si>
    <t>0373-TCN13</t>
  </si>
  <si>
    <t>ALECSA PACHUCA S  DE RL DE  CV</t>
  </si>
  <si>
    <t>D  1,276</t>
  </si>
  <si>
    <t>AR00007228</t>
  </si>
  <si>
    <t>E    147</t>
  </si>
  <si>
    <t>CH-11943</t>
  </si>
  <si>
    <t>AUTO PARTES MODERNAS SA DE CV</t>
  </si>
  <si>
    <t>E    150</t>
  </si>
  <si>
    <t>CH-12009</t>
  </si>
  <si>
    <t>CHECSA S.A. DE C.V.</t>
  </si>
  <si>
    <t>E    159</t>
  </si>
  <si>
    <t>CH-11972</t>
  </si>
  <si>
    <t>NETWORK INFORMATION CENTER MEXICO S</t>
  </si>
  <si>
    <t>D  1,325</t>
  </si>
  <si>
    <t>0374-TCN13</t>
  </si>
  <si>
    <t>D  1,338</t>
  </si>
  <si>
    <t>0292-TCN13</t>
  </si>
  <si>
    <t>D  1,339</t>
  </si>
  <si>
    <t>0375-TCN13</t>
  </si>
  <si>
    <t>E    162</t>
  </si>
  <si>
    <t>CH-12012</t>
  </si>
  <si>
    <t>DE LA CRUZ HERNANDEZ MA FLORENCIA</t>
  </si>
  <si>
    <t>E    167</t>
  </si>
  <si>
    <t>CH-12014</t>
  </si>
  <si>
    <t>D  1,420</t>
  </si>
  <si>
    <t>0376-TCN13</t>
  </si>
  <si>
    <t>D  1,433</t>
  </si>
  <si>
    <t>0377-TCN13</t>
  </si>
  <si>
    <t>CALIDAD DE TABASCO S  DE RL DE  CV</t>
  </si>
  <si>
    <t>E    172</t>
  </si>
  <si>
    <t>CH-12018</t>
  </si>
  <si>
    <t>SERVICIOS QUERETANOS DE PERSONAL,S.</t>
  </si>
  <si>
    <t>E    177</t>
  </si>
  <si>
    <t>CH-12024</t>
  </si>
  <si>
    <t>E    243</t>
  </si>
  <si>
    <t>CH-12023</t>
  </si>
  <si>
    <t>NETING DE MEXICO SA DE CV</t>
  </si>
  <si>
    <t>D  1,463</t>
  </si>
  <si>
    <t>0378-TCN13</t>
  </si>
  <si>
    <t>D  1,474</t>
  </si>
  <si>
    <t>0379-TCN13</t>
  </si>
  <si>
    <t>AUTOMOTRIZ OAXACA  DE  ANTEQUERA</t>
  </si>
  <si>
    <t>E    178</t>
  </si>
  <si>
    <t>T-422</t>
  </si>
  <si>
    <t>STERLING ARANA RICARDO EUGENIO</t>
  </si>
  <si>
    <t>E    179</t>
  </si>
  <si>
    <t>T-423</t>
  </si>
  <si>
    <t>E    180</t>
  </si>
  <si>
    <t>T-247</t>
  </si>
  <si>
    <t>E    181</t>
  </si>
  <si>
    <t>T-248</t>
  </si>
  <si>
    <t>LJIMENEZ:GRUPO DE PRESTIGIO EN AUDI</t>
  </si>
  <si>
    <t>E    182</t>
  </si>
  <si>
    <t>T-249</t>
  </si>
  <si>
    <t>E    183</t>
  </si>
  <si>
    <t>T-424</t>
  </si>
  <si>
    <t>E    184</t>
  </si>
  <si>
    <t>T-250</t>
  </si>
  <si>
    <t>E    185</t>
  </si>
  <si>
    <t>T-425</t>
  </si>
  <si>
    <t>E    186</t>
  </si>
  <si>
    <t>T-426</t>
  </si>
  <si>
    <t>E    187</t>
  </si>
  <si>
    <t>T-427</t>
  </si>
  <si>
    <t>E    189</t>
  </si>
  <si>
    <t>T-251</t>
  </si>
  <si>
    <t>E    190</t>
  </si>
  <si>
    <t>T-252</t>
  </si>
  <si>
    <t>LJIMENEZ:JC IMAGEN AUTOMOTRIZ SA DE</t>
  </si>
  <si>
    <t>E    191</t>
  </si>
  <si>
    <t>T-428</t>
  </si>
  <si>
    <t>EVOLUCION E INOVACION EMPRESARIA SC</t>
  </si>
  <si>
    <t>E    192</t>
  </si>
  <si>
    <t>CH-12025</t>
  </si>
  <si>
    <t>CONDE SALINAS MARIA DEL ROSARIO</t>
  </si>
  <si>
    <t>D  1,582</t>
  </si>
  <si>
    <t>0282-TCN13</t>
  </si>
  <si>
    <t>D  1,584</t>
  </si>
  <si>
    <t>0380-TCN13</t>
  </si>
  <si>
    <t>E    242</t>
  </si>
  <si>
    <t>CH-12033</t>
  </si>
  <si>
    <t>D  1,620</t>
  </si>
  <si>
    <t>0944-TCN12</t>
  </si>
  <si>
    <t>OZ  AUTOMOTRIZ  DE  GUADALAJARA</t>
  </si>
  <si>
    <t>D  1,652</t>
  </si>
  <si>
    <t>0381-TCN13</t>
  </si>
  <si>
    <t>LIDERAZGO AUTOMOTRIZ DE PUEBLA</t>
  </si>
  <si>
    <t>D  1,729</t>
  </si>
  <si>
    <t>E    202</t>
  </si>
  <si>
    <t>CH-12004</t>
  </si>
  <si>
    <t>E    203</t>
  </si>
  <si>
    <t>CH-12032</t>
  </si>
  <si>
    <t>MENESES AGUIRRE ELIZABETH</t>
  </si>
  <si>
    <t>E    210</t>
  </si>
  <si>
    <t>CH-716</t>
  </si>
  <si>
    <t>WIME, S.A. DE C.V.</t>
  </si>
  <si>
    <t>E    247</t>
  </si>
  <si>
    <t>CH-12034</t>
  </si>
  <si>
    <t>DIEZ OCHENTA Y NUEVE SA DE CV</t>
  </si>
  <si>
    <t>D  1,790</t>
  </si>
  <si>
    <t>0382-TCN13</t>
  </si>
  <si>
    <t>D  1,803</t>
  </si>
  <si>
    <t>OZ  AUTOMOTRIZ S D E RL DE  CV</t>
  </si>
  <si>
    <t>D  1,815</t>
  </si>
  <si>
    <t>0945-TCN12</t>
  </si>
  <si>
    <t>ALDEN  QUERETARO S DE  RL DE CV</t>
  </si>
  <si>
    <t>D  1,829</t>
  </si>
  <si>
    <t>0385-TCN13</t>
  </si>
  <si>
    <t>D  1,830</t>
  </si>
  <si>
    <t>0383-TCN13</t>
  </si>
  <si>
    <t>CCD, AUTOSALES   PUERTO VALLARTA</t>
  </si>
  <si>
    <t>0384-TCN13</t>
  </si>
  <si>
    <t>D  1,837</t>
  </si>
  <si>
    <t>CCD, AUTOSALES  PUERTO VALLARTA</t>
  </si>
  <si>
    <t>E    212</t>
  </si>
  <si>
    <t>CH-12037</t>
  </si>
  <si>
    <t>E    214</t>
  </si>
  <si>
    <t>CH-12039</t>
  </si>
  <si>
    <t>E    215</t>
  </si>
  <si>
    <t>CH-12042</t>
  </si>
  <si>
    <t>E    216</t>
  </si>
  <si>
    <t>CH-12044</t>
  </si>
  <si>
    <t>D  1,878</t>
  </si>
  <si>
    <t>0386-TCN13</t>
  </si>
  <si>
    <t>LIDERAZGO AUTOMOTRIZ DE PUEBLA S DE</t>
  </si>
  <si>
    <t>D  1,880</t>
  </si>
  <si>
    <t>0387-TCN13</t>
  </si>
  <si>
    <t>PROMOTORA  AUTOMTRIZ DE  SANTA  FE</t>
  </si>
  <si>
    <t>D  1,885</t>
  </si>
  <si>
    <t>0388-TCN13</t>
  </si>
  <si>
    <t>D  1,898</t>
  </si>
  <si>
    <t>0389-TCN13</t>
  </si>
  <si>
    <t>ALECSA  PACHUCA S DE RL DE  CV</t>
  </si>
  <si>
    <t>D  1,917</t>
  </si>
  <si>
    <t>0390-TCN13</t>
  </si>
  <si>
    <t>AUTOMOTRIZ OAXACA DE  ANTEQUERA S D</t>
  </si>
  <si>
    <t>D  1,925</t>
  </si>
  <si>
    <t>0391-TCN13</t>
  </si>
  <si>
    <t>OZ  AUTOMOTRIZ S DE RL DE RL DE  CV</t>
  </si>
  <si>
    <t>D  1,964</t>
  </si>
  <si>
    <t>0393-TCN13</t>
  </si>
  <si>
    <t>D  1,965</t>
  </si>
  <si>
    <t>0392-TCN13</t>
  </si>
  <si>
    <t>D  1,976</t>
  </si>
  <si>
    <t>0394-TCN13</t>
  </si>
  <si>
    <t>D  1,982</t>
  </si>
  <si>
    <t>0395-TCN13</t>
  </si>
  <si>
    <t>D  1,985</t>
  </si>
  <si>
    <t>0396-TCN13</t>
  </si>
  <si>
    <t>D  1,987</t>
  </si>
  <si>
    <t>0397-TCN13</t>
  </si>
  <si>
    <t>D  1,990</t>
  </si>
  <si>
    <t>0398-TCN13</t>
  </si>
  <si>
    <t>D  1,993</t>
  </si>
  <si>
    <t>0399-TCN13</t>
  </si>
  <si>
    <t>D  1,995</t>
  </si>
  <si>
    <t>0400-TCN13</t>
  </si>
  <si>
    <t>D  2,017</t>
  </si>
  <si>
    <t>COMISIONES</t>
  </si>
  <si>
    <t>COMISIONES BBVA ENE 2013</t>
  </si>
  <si>
    <t>D  2,028</t>
  </si>
  <si>
    <t>VIATICOS</t>
  </si>
  <si>
    <t>LJIMENEZ:GASTOS JOSUE PEREZ SALGADO</t>
  </si>
  <si>
    <t>D  2,033</t>
  </si>
  <si>
    <t>EMBARQUE15</t>
  </si>
  <si>
    <t>EMBARQUE NUM 15</t>
  </si>
  <si>
    <t>D  2,046</t>
  </si>
  <si>
    <t>BANAMEX</t>
  </si>
  <si>
    <t>LJIMENEZ:COMISIONES BNX ENE 2012</t>
  </si>
  <si>
    <t>D  2,047</t>
  </si>
  <si>
    <t>COMSANTAND</t>
  </si>
  <si>
    <t>COMISIONES SANTANDER ENE 2013</t>
  </si>
  <si>
    <t>D  2,048</t>
  </si>
  <si>
    <t>COMBANORTE</t>
  </si>
  <si>
    <t>COMISIONES BNTE ENE 2013</t>
  </si>
  <si>
    <t>D  2,051</t>
  </si>
  <si>
    <t>COM BAJIO</t>
  </si>
  <si>
    <t>COMISINES BAJIO ENE 2013</t>
  </si>
  <si>
    <t>D  2,057</t>
  </si>
  <si>
    <t>EMBARQUE18</t>
  </si>
  <si>
    <t>EMBARQUE NUM 18</t>
  </si>
  <si>
    <t>D  2,060</t>
  </si>
  <si>
    <t>LJIMENEZ:COMISIONES HSBC ENE 2013</t>
  </si>
  <si>
    <t>D  2,072</t>
  </si>
  <si>
    <t>COMISIONES SCOTIABANK ENE</t>
  </si>
  <si>
    <t>D  2,082</t>
  </si>
  <si>
    <t>GTOS000001</t>
  </si>
  <si>
    <t>D  2,083</t>
  </si>
  <si>
    <t>RABELLOENE</t>
  </si>
  <si>
    <t>D  2,132</t>
  </si>
  <si>
    <t>S0369</t>
  </si>
  <si>
    <t>MARIA ELENA FLORES ALVAREZ</t>
  </si>
  <si>
    <t>D  2,133</t>
  </si>
  <si>
    <t>S0377</t>
  </si>
  <si>
    <t>ARMANDO DURAN MEJIA</t>
  </si>
  <si>
    <t>D  2,134</t>
  </si>
  <si>
    <t>S0351</t>
  </si>
  <si>
    <t>CARLOS RODRIGO LEAL BELLOT</t>
  </si>
  <si>
    <t>D  2,135</t>
  </si>
  <si>
    <t>R0461</t>
  </si>
  <si>
    <t>AVALOS MENDEZ FRANCISCO JAVIER</t>
  </si>
  <si>
    <t>D  2,136</t>
  </si>
  <si>
    <t>R0451</t>
  </si>
  <si>
    <t>DISTRIBUIDORA VOLKSWAGUEN DEL</t>
  </si>
  <si>
    <t>D  2,137</t>
  </si>
  <si>
    <t>R0496</t>
  </si>
  <si>
    <t>AUTOZONE DE MEXICO S DE RL DE</t>
  </si>
  <si>
    <t>D  2,138</t>
  </si>
  <si>
    <t>P2713</t>
  </si>
  <si>
    <t>TRASLADO CD JUAREZ INV 0934-TC</t>
  </si>
  <si>
    <t>D  2,141</t>
  </si>
  <si>
    <t>P2715</t>
  </si>
  <si>
    <t>TRASLADO INV 0325-TCN13</t>
  </si>
  <si>
    <t>D  2,142</t>
  </si>
  <si>
    <t>P2717</t>
  </si>
  <si>
    <t>TRASLADO INV 0331-TCN 13</t>
  </si>
  <si>
    <t>D  2,144</t>
  </si>
  <si>
    <t>P2719</t>
  </si>
  <si>
    <t>TRASLADO INV 0340-TCN13</t>
  </si>
  <si>
    <t>D  2,147</t>
  </si>
  <si>
    <t>P2722</t>
  </si>
  <si>
    <t>TRASLADO INV 0218-TCN13</t>
  </si>
  <si>
    <t>D  2,149</t>
  </si>
  <si>
    <t>P2724</t>
  </si>
  <si>
    <t>TRASLADO INV 0300-TCN13</t>
  </si>
  <si>
    <t>D  2,151</t>
  </si>
  <si>
    <t>P2747</t>
  </si>
  <si>
    <t>TRASLADO MONTERREY INV 0370-TC</t>
  </si>
  <si>
    <t>D  2,153</t>
  </si>
  <si>
    <t>P2749</t>
  </si>
  <si>
    <t>TRASLADO INV 0361-TCN13</t>
  </si>
  <si>
    <t>D  2,155</t>
  </si>
  <si>
    <t>P2751</t>
  </si>
  <si>
    <t>TRASLADO PACHUCA INV 0373-TCN1</t>
  </si>
  <si>
    <t>D  2,157</t>
  </si>
  <si>
    <t>P2753</t>
  </si>
  <si>
    <t>SOBRE PESO</t>
  </si>
  <si>
    <t>D  2,158</t>
  </si>
  <si>
    <t>P2754</t>
  </si>
  <si>
    <t>COSTCO DE MEXICO SA DE CV</t>
  </si>
  <si>
    <t>D  2,159</t>
  </si>
  <si>
    <t>P2755</t>
  </si>
  <si>
    <t>ALEJANDRO LOPEZ NEGRETE</t>
  </si>
  <si>
    <t>D  2,160</t>
  </si>
  <si>
    <t>P2756</t>
  </si>
  <si>
    <t>MARY ANN REYES RODRIGUEZ</t>
  </si>
  <si>
    <t>D  2,161</t>
  </si>
  <si>
    <t>P2757</t>
  </si>
  <si>
    <t>TIENDAS EXTRA SA DE CV</t>
  </si>
  <si>
    <t>D  2,162</t>
  </si>
  <si>
    <t>P2758</t>
  </si>
  <si>
    <t>JUAN CARLOS AGUILA ESTRADA</t>
  </si>
  <si>
    <t>D  2,163</t>
  </si>
  <si>
    <t>P2759</t>
  </si>
  <si>
    <t>ROSA MARIA ARELLANO VAZQUEZ</t>
  </si>
  <si>
    <t>D  2,164</t>
  </si>
  <si>
    <t>P2760</t>
  </si>
  <si>
    <t>JUAN FELIPE ARVIZU  MANCERA</t>
  </si>
  <si>
    <t>D  2,165</t>
  </si>
  <si>
    <t>P2761</t>
  </si>
  <si>
    <t>TOMAS SOLORZANO BRINGAS</t>
  </si>
  <si>
    <t>D  2,166</t>
  </si>
  <si>
    <t>P2762</t>
  </si>
  <si>
    <t>RADIO SHACK DE MEXICO SA DE CV</t>
  </si>
  <si>
    <t>D  2,167</t>
  </si>
  <si>
    <t>P2763</t>
  </si>
  <si>
    <t>NUEVA WAL MART DE MEXICO S DE</t>
  </si>
  <si>
    <t>D  2,169</t>
  </si>
  <si>
    <t>P2765</t>
  </si>
  <si>
    <t>DEA GARCIA</t>
  </si>
  <si>
    <t>D  2,171</t>
  </si>
  <si>
    <t>P2767</t>
  </si>
  <si>
    <t>D  2,172</t>
  </si>
  <si>
    <t>P2768</t>
  </si>
  <si>
    <t>COMUNICACIONES NEXTEL DE MEXIC</t>
  </si>
  <si>
    <t>D  2,174</t>
  </si>
  <si>
    <t>P2770</t>
  </si>
  <si>
    <t>CAFE SIRENA S DE RL DE CV</t>
  </si>
  <si>
    <t>D  2,175</t>
  </si>
  <si>
    <t>P2771</t>
  </si>
  <si>
    <t>BALEROS Y RETENES SUAREZ</t>
  </si>
  <si>
    <t>D  2,176</t>
  </si>
  <si>
    <t>P2772</t>
  </si>
  <si>
    <t>MARIA ROSARIO MARTINEZ MENDOZA</t>
  </si>
  <si>
    <t>D  2,179</t>
  </si>
  <si>
    <t>P2773</t>
  </si>
  <si>
    <t>JUNTA MUNICIPAL DE AGUA POTABL</t>
  </si>
  <si>
    <t>D  2,180</t>
  </si>
  <si>
    <t>P2774</t>
  </si>
  <si>
    <t>D  2,181</t>
  </si>
  <si>
    <t>P2775</t>
  </si>
  <si>
    <t>OFICCE DEPOT DE MEXICO SA DE C</t>
  </si>
  <si>
    <t>D  2,182</t>
  </si>
  <si>
    <t>P2776</t>
  </si>
  <si>
    <t>EBORDEX S DE RL DE CV</t>
  </si>
  <si>
    <t>D  2,184</t>
  </si>
  <si>
    <t>P2778</t>
  </si>
  <si>
    <t>ARMANDO SOTO ANGELES</t>
  </si>
  <si>
    <t>D  2,185</t>
  </si>
  <si>
    <t>P2779</t>
  </si>
  <si>
    <t>COMUNICACIONES MERCURIO SA DE</t>
  </si>
  <si>
    <t>D  2,186</t>
  </si>
  <si>
    <t>P2780</t>
  </si>
  <si>
    <t>OFFICE DEPOT DE MEXICO SA DE C</t>
  </si>
  <si>
    <t>D  2,187</t>
  </si>
  <si>
    <t>P2781</t>
  </si>
  <si>
    <t>RESTAURANTES CALIFORNIA SA DE</t>
  </si>
  <si>
    <t>D  2,189</t>
  </si>
  <si>
    <t>P2783</t>
  </si>
  <si>
    <t>MARCAS NESTLE SA DE CV</t>
  </si>
  <si>
    <t>D  2,193</t>
  </si>
  <si>
    <t>P2787</t>
  </si>
  <si>
    <t>CONSTRUCCION INDUSTRIAL Y HABI</t>
  </si>
  <si>
    <t>D  2,194</t>
  </si>
  <si>
    <t>P2788</t>
  </si>
  <si>
    <t>TIENDAS SORIANA SA DE CV</t>
  </si>
  <si>
    <t>D  2,196</t>
  </si>
  <si>
    <t>P2790</t>
  </si>
  <si>
    <t>OPERADORA DE ALIMENTOS CVC SA</t>
  </si>
  <si>
    <t>D  2,197</t>
  </si>
  <si>
    <t>P2791</t>
  </si>
  <si>
    <t>NUEVA WAL MART DE MEXICO SA</t>
  </si>
  <si>
    <t>D  2,200</t>
  </si>
  <si>
    <t>P2794</t>
  </si>
  <si>
    <t>CENTRO METALICO DEL BAJIO SA D</t>
  </si>
  <si>
    <t>D  2,201</t>
  </si>
  <si>
    <t>P2795</t>
  </si>
  <si>
    <t>ARTURO JAVIER RICO HERNANDEZ</t>
  </si>
  <si>
    <t>D  2,203</t>
  </si>
  <si>
    <t>P2797</t>
  </si>
  <si>
    <t>ELITE MOTORS SA DE CV</t>
  </si>
  <si>
    <t>D  2,204</t>
  </si>
  <si>
    <t>P2798</t>
  </si>
  <si>
    <t>D  2,206</t>
  </si>
  <si>
    <t>P2800</t>
  </si>
  <si>
    <t>D  2,207</t>
  </si>
  <si>
    <t>P2801</t>
  </si>
  <si>
    <t>FERRETERIA MODELO DEL BAJIO SA</t>
  </si>
  <si>
    <t>D  2,209</t>
  </si>
  <si>
    <t>P2803</t>
  </si>
  <si>
    <t>JENARO RAMIREZ ALVAREZ</t>
  </si>
  <si>
    <t>D  2,214</t>
  </si>
  <si>
    <t>P2808</t>
  </si>
  <si>
    <t>DISTRIBUIDORA DE TORNILLOS Y B</t>
  </si>
  <si>
    <t>D  2,215</t>
  </si>
  <si>
    <t>P2809</t>
  </si>
  <si>
    <t>D  2,217</t>
  </si>
  <si>
    <t>P2814</t>
  </si>
  <si>
    <t>PREMIUM RESTAURANT BRANDS S DE</t>
  </si>
  <si>
    <t>D  2,223</t>
  </si>
  <si>
    <t>P2820</t>
  </si>
  <si>
    <t>D  2,226</t>
  </si>
  <si>
    <t>P2825</t>
  </si>
  <si>
    <t>CASETAS GERENCIA ENERO 2013</t>
  </si>
  <si>
    <t>D  2,227</t>
  </si>
  <si>
    <t>P2826</t>
  </si>
  <si>
    <t>TRASLADO GUADALAJARA INV 0391-</t>
  </si>
  <si>
    <t>D  2,231</t>
  </si>
  <si>
    <t>P2830</t>
  </si>
  <si>
    <t>TRASLADO INV 0377-TCN13</t>
  </si>
  <si>
    <t>D  2,233</t>
  </si>
  <si>
    <t>P2832</t>
  </si>
  <si>
    <t>TRASLADO INV 0360-TCN13</t>
  </si>
  <si>
    <t>D  2,235</t>
  </si>
  <si>
    <t>P2834</t>
  </si>
  <si>
    <t>ATEREN SHOP ELECTRONICS SOLUTI</t>
  </si>
  <si>
    <t>D  2,236</t>
  </si>
  <si>
    <t>P2835</t>
  </si>
  <si>
    <t>TRASLADO INV 0351-TCN13</t>
  </si>
  <si>
    <t>D  2,238</t>
  </si>
  <si>
    <t>P2837</t>
  </si>
  <si>
    <t>TRASLADO INV 0339-TCN13</t>
  </si>
  <si>
    <t>D  2,240</t>
  </si>
  <si>
    <t>P2839</t>
  </si>
  <si>
    <t>TRASLADO INV 0226-TCN13</t>
  </si>
  <si>
    <t>D  2,242</t>
  </si>
  <si>
    <t>P2841</t>
  </si>
  <si>
    <t>TRASLADO INV 0314-TCN13</t>
  </si>
  <si>
    <t>D  2,244</t>
  </si>
  <si>
    <t>P2843</t>
  </si>
  <si>
    <t>TRASLADO INV 0320-TCN1</t>
  </si>
  <si>
    <t>D  2,245</t>
  </si>
  <si>
    <t>P2844</t>
  </si>
  <si>
    <t>TRASLADO INV 0105-TCN13</t>
  </si>
  <si>
    <t>D  2,247</t>
  </si>
  <si>
    <t>P2846</t>
  </si>
  <si>
    <t>TRASLADO INV 0941-TCN12</t>
  </si>
  <si>
    <t>D  2,249</t>
  </si>
  <si>
    <t>P2848</t>
  </si>
  <si>
    <t>TRASLADO INV 0939-TCN12</t>
  </si>
  <si>
    <t>D  2,251</t>
  </si>
  <si>
    <t>P2850</t>
  </si>
  <si>
    <t>TRASLADO DE HIACRE</t>
  </si>
  <si>
    <t>D  2,252</t>
  </si>
  <si>
    <t>P2851</t>
  </si>
  <si>
    <t>TRASLADO HIACE VIN D0036772</t>
  </si>
  <si>
    <t>D  2,254</t>
  </si>
  <si>
    <t>P2853</t>
  </si>
  <si>
    <t>TRASLADO INV 0944-TCN12</t>
  </si>
  <si>
    <t>D  2,256</t>
  </si>
  <si>
    <t>P2855</t>
  </si>
  <si>
    <t>TRASLADO VIN D0036989</t>
  </si>
  <si>
    <t>D  2,259</t>
  </si>
  <si>
    <t>R0499</t>
  </si>
  <si>
    <t>AUTO PARTES Y MAS SA DE CV</t>
  </si>
  <si>
    <t>D  2,264</t>
  </si>
  <si>
    <t>PAGO REFAC</t>
  </si>
  <si>
    <t>LJIMENEZ:PAGO REFACCIONES CH 12050</t>
  </si>
  <si>
    <t>D  2,267</t>
  </si>
  <si>
    <t>AM-0300</t>
  </si>
  <si>
    <t>LJIMENEZ:GTOS DE ADMON ENERO 2013</t>
  </si>
  <si>
    <t>LJIMENEZ:GTOS DIVERSOS ENERO 2013</t>
  </si>
  <si>
    <t>D  2,320</t>
  </si>
  <si>
    <t>AA2343</t>
  </si>
  <si>
    <t>CAMION HILUX 0356N/13</t>
  </si>
  <si>
    <t>E    220</t>
  </si>
  <si>
    <t>CH-12045</t>
  </si>
  <si>
    <t>E    224</t>
  </si>
  <si>
    <t>T-429</t>
  </si>
  <si>
    <t>LJIMENEZ:OPERADORA ALAMEDA PARK, S.</t>
  </si>
  <si>
    <t>E    225</t>
  </si>
  <si>
    <t>T-430</t>
  </si>
  <si>
    <t>E    226</t>
  </si>
  <si>
    <t>T-431</t>
  </si>
  <si>
    <t>E    227</t>
  </si>
  <si>
    <t>T-253</t>
  </si>
  <si>
    <t>E    228</t>
  </si>
  <si>
    <t>T-432</t>
  </si>
  <si>
    <t>E    229</t>
  </si>
  <si>
    <t>T-433</t>
  </si>
  <si>
    <t>E    230</t>
  </si>
  <si>
    <t>T-434</t>
  </si>
  <si>
    <t>E    231</t>
  </si>
  <si>
    <t>T-435</t>
  </si>
  <si>
    <t>E    232</t>
  </si>
  <si>
    <t>T-436</t>
  </si>
  <si>
    <t>E    236</t>
  </si>
  <si>
    <t>CH-12043</t>
  </si>
  <si>
    <t>GRUPO CONCRESA MEXICO SA DE CV</t>
  </si>
  <si>
    <t>E    239</t>
  </si>
  <si>
    <t>CH-12031</t>
  </si>
  <si>
    <t>MORA SOLANO NICOLAS</t>
  </si>
  <si>
    <t>E    248</t>
  </si>
  <si>
    <t>T-254</t>
  </si>
  <si>
    <t>E    249</t>
  </si>
  <si>
    <t>T-437</t>
  </si>
  <si>
    <t>POLIZA</t>
  </si>
  <si>
    <t>FECHA</t>
  </si>
  <si>
    <t>PROVEEDOR</t>
  </si>
  <si>
    <t>RFC</t>
  </si>
  <si>
    <t>NOMBRE</t>
  </si>
  <si>
    <t>IVA</t>
  </si>
  <si>
    <t>DESCIPCION</t>
  </si>
  <si>
    <t>T</t>
  </si>
  <si>
    <t>ALECSA CELAYA, SRL DE CV</t>
  </si>
  <si>
    <t xml:space="preserve">ENERO </t>
  </si>
  <si>
    <t>COMPLEMENTARIA DIOT</t>
  </si>
  <si>
    <t>SUBTOTAL</t>
  </si>
  <si>
    <t>MNQ101025MC4</t>
  </si>
  <si>
    <t>AQU030811UM4</t>
  </si>
  <si>
    <t>ALDEN QUERETARO S DE RL DE CV</t>
  </si>
  <si>
    <t>APA040128N75</t>
  </si>
  <si>
    <t>ALECSA  PACHUCA  S  DE RL  CV</t>
  </si>
  <si>
    <t>LONA700127T42</t>
  </si>
  <si>
    <t>DUMA580801KN5</t>
  </si>
  <si>
    <t>SOAC780112US6</t>
  </si>
  <si>
    <t xml:space="preserve">PT CARLOS ARMANDO SOTO ANGELES </t>
  </si>
  <si>
    <t>RIHA691010CX2</t>
  </si>
  <si>
    <t>AMO110629DS9</t>
  </si>
  <si>
    <t>ATM1111075LA</t>
  </si>
  <si>
    <t>AOA040608H65</t>
  </si>
  <si>
    <t>AUTOMOTRIZ OAXACA DE ANTEQUERA S DE</t>
  </si>
  <si>
    <t>ACQ980113CL5</t>
  </si>
  <si>
    <t>AME970109GW0</t>
  </si>
  <si>
    <t xml:space="preserve">AUTOZONE DE MEXICO S DE RL DE CV </t>
  </si>
  <si>
    <t>AAMF550324LF5</t>
  </si>
  <si>
    <t>BRS870126P22</t>
  </si>
  <si>
    <t>CSI020226MV4</t>
  </si>
  <si>
    <t xml:space="preserve">CAFÉ SIRENA S DE RL DE CV </t>
  </si>
  <si>
    <t>LEBC7103076X6</t>
  </si>
  <si>
    <t>CAP070517CC3</t>
  </si>
  <si>
    <t>CCD  AUTOSALES  PUERTO  VALLARTA</t>
  </si>
  <si>
    <t>CMB9802181M3</t>
  </si>
  <si>
    <t>CENTRO METALICO DEL BAJIO SA DE CV</t>
  </si>
  <si>
    <t>CLV0602102I4</t>
  </si>
  <si>
    <t>CEVER LOMAS VERDES S DE RL DE C.V</t>
  </si>
  <si>
    <t>CTO021007DZ8</t>
  </si>
  <si>
    <t>CEVER TOLUCA SA DE CV</t>
  </si>
  <si>
    <t>CEC0402048B7</t>
  </si>
  <si>
    <t>CFE370814QI0</t>
  </si>
  <si>
    <t>CME9901281P2</t>
  </si>
  <si>
    <t>COMUNICACIONES MERCURIO SA DE CV</t>
  </si>
  <si>
    <t>CNM980114PI2</t>
  </si>
  <si>
    <t xml:space="preserve">COMUNICACIONES NEXTEL DE MEXICO SA DE CV </t>
  </si>
  <si>
    <t>COSR620916GL0</t>
  </si>
  <si>
    <t>CIH100122SU2</t>
  </si>
  <si>
    <t xml:space="preserve">CONSTRUCCION INDUSTRIAL Y HABITAT SA </t>
  </si>
  <si>
    <t>C&amp;A050406NL0</t>
  </si>
  <si>
    <t>CME910715UB9</t>
  </si>
  <si>
    <t xml:space="preserve">COSTCO DE MEXICO SA DE CV </t>
  </si>
  <si>
    <t>DAU0109242TA</t>
  </si>
  <si>
    <t>DALTON  AUTOMOTRIZ DE R.L. DE C.V.</t>
  </si>
  <si>
    <t>CUHM4810039X6</t>
  </si>
  <si>
    <t>GADE4012025L6</t>
  </si>
  <si>
    <t xml:space="preserve">DEA GARCIA </t>
  </si>
  <si>
    <t>DON110503C57</t>
  </si>
  <si>
    <t>DCO9712012B3</t>
  </si>
  <si>
    <t>DMS961031EU2</t>
  </si>
  <si>
    <t>DISTRIBUIDORA DE MATERIALES SAN PEDRO SA</t>
  </si>
  <si>
    <t>DTB000309B37</t>
  </si>
  <si>
    <t>DISTRIBUIDORA DE TORNILLOS Y BIRLOS SA</t>
  </si>
  <si>
    <t>DVB840717386</t>
  </si>
  <si>
    <t xml:space="preserve">DISTRIBUIDORA VOLKSWAGUEN DEL BAJIO SA DE CV </t>
  </si>
  <si>
    <t>EBO090624DA8</t>
  </si>
  <si>
    <t>ELE011009716</t>
  </si>
  <si>
    <t xml:space="preserve">ELECTROCOMPONENTES SA DE CV </t>
  </si>
  <si>
    <t>EMO99060242A</t>
  </si>
  <si>
    <t>EIE0209109X9</t>
  </si>
  <si>
    <t>FSC001207TR5</t>
  </si>
  <si>
    <t>FMB871228QF7</t>
  </si>
  <si>
    <t>GCM0903123H6</t>
  </si>
  <si>
    <t>DIFERENCIA.</t>
  </si>
  <si>
    <t>GPA0810247F3</t>
  </si>
  <si>
    <t>GEC091223SN6</t>
  </si>
  <si>
    <t>GULG640324QS3</t>
  </si>
  <si>
    <t>GCC0008235Z7</t>
  </si>
  <si>
    <t>IFC011107L9A</t>
  </si>
  <si>
    <t>ITM8012013N0</t>
  </si>
  <si>
    <t>IDA8609228I7</t>
  </si>
  <si>
    <t>INDUSTRIA DISEÑADORA DE AUTOPARTES</t>
  </si>
  <si>
    <t>IIC7010314Z0</t>
  </si>
  <si>
    <t>JIA091120L52</t>
  </si>
  <si>
    <t>JC IMAGEN AUTOMOTRIZ SA DE CV</t>
  </si>
  <si>
    <t>RAAJ6709248C1</t>
  </si>
  <si>
    <t>AIMJ651214GR7</t>
  </si>
  <si>
    <t xml:space="preserve">J JUAN FELIPE ARVIZU MANCERA </t>
  </si>
  <si>
    <t>JMA840106356</t>
  </si>
  <si>
    <t>JUNTA MUNICIPAL DE AGUA POTABLE</t>
  </si>
  <si>
    <t>JUNTA MUNICIPAL DE AGUA POTABLE Y ALCANTARILLADO</t>
  </si>
  <si>
    <t>LAP0209255U7</t>
  </si>
  <si>
    <t>LIDERAZGO  AUTOMOTRIZ  DE   PUEBLA</t>
  </si>
  <si>
    <t>LECA340720JN4</t>
  </si>
  <si>
    <t>LEAL CORONA JOSE ANTONIO</t>
  </si>
  <si>
    <t>MNE0409226K9</t>
  </si>
  <si>
    <t xml:space="preserve">MARCAS NESTLE SA DE CV </t>
  </si>
  <si>
    <t>MAR960105E93</t>
  </si>
  <si>
    <t>BBA940707IE1</t>
  </si>
  <si>
    <t xml:space="preserve">BANCO DEL BAJIO, SA </t>
  </si>
  <si>
    <t>BMN930209927</t>
  </si>
  <si>
    <t>BANCO MERCANTIL DEL NORTE, SA</t>
  </si>
  <si>
    <t>BSI970519CZ2</t>
  </si>
  <si>
    <t>BANCO SANTANDER, SA</t>
  </si>
  <si>
    <t>BBVA830831LJ2</t>
  </si>
  <si>
    <t xml:space="preserve">BBVA BANCOMER SA </t>
  </si>
  <si>
    <t>TFS011012M18</t>
  </si>
  <si>
    <t>HMI950125KG8</t>
  </si>
  <si>
    <t>HSBC DE MEXICO, SA</t>
  </si>
  <si>
    <t>MEAE670916JE8</t>
  </si>
  <si>
    <t xml:space="preserve">MANTENIMIENTO INDUSTRIAL Y RESIDENCIAL </t>
  </si>
  <si>
    <t>FOAE6505054XA</t>
  </si>
  <si>
    <t xml:space="preserve">MARIA ELENA FLORES ALVAREZ </t>
  </si>
  <si>
    <t>MAMR740915UN2</t>
  </si>
  <si>
    <t>RERM8305246Z7</t>
  </si>
  <si>
    <t>MTE060713J74</t>
  </si>
  <si>
    <t>MOEF731201TA1</t>
  </si>
  <si>
    <t>AUEJ820524G23</t>
  </si>
  <si>
    <t xml:space="preserve">MONTAJES EN MARCOS Y BASTIDORES </t>
  </si>
  <si>
    <t>MOSN720707P29</t>
  </si>
  <si>
    <t>MUBC4112283F2</t>
  </si>
  <si>
    <t>MULDOON BABLOT CECILIA</t>
  </si>
  <si>
    <t>NME090330IG1</t>
  </si>
  <si>
    <t>NIC021002MQ6</t>
  </si>
  <si>
    <t>NWM9709244W4</t>
  </si>
  <si>
    <t xml:space="preserve">NUEVA WAL MART DE MEXICO S DE RL DE CV </t>
  </si>
  <si>
    <t>OOAU7302051K3</t>
  </si>
  <si>
    <t>OONG650317SF9</t>
  </si>
  <si>
    <t>ODM950324V2A</t>
  </si>
  <si>
    <t>OAC1112068G6</t>
  </si>
  <si>
    <t xml:space="preserve">OPERADORA DE ALIMENTOS CVS SA DE CV </t>
  </si>
  <si>
    <t>OAC041025LXA</t>
  </si>
  <si>
    <t>OZ  AUTOMOTRIZ  DE  COLIMA S DE  RL</t>
  </si>
  <si>
    <t>OAU021125H84</t>
  </si>
  <si>
    <t>OZ AUTOMOTRIZ, S DE RL DE CV</t>
  </si>
  <si>
    <t>PAR821106JP2</t>
  </si>
  <si>
    <t>PCQ900419346</t>
  </si>
  <si>
    <t>PRB100802H20</t>
  </si>
  <si>
    <t xml:space="preserve">PREMIUM RESTAURANT BRANDS S DE RL DE CV </t>
  </si>
  <si>
    <t>PAS020528BY2</t>
  </si>
  <si>
    <t>RSM920701EP2</t>
  </si>
  <si>
    <t xml:space="preserve">RADIO SHACK DE MEXICO SA DE CV </t>
  </si>
  <si>
    <t>RVA820930462</t>
  </si>
  <si>
    <t>RCA950901KWA</t>
  </si>
  <si>
    <t>RESTAURANTES CALIFORNIA SA DE CV</t>
  </si>
  <si>
    <t>REMA750219BL6</t>
  </si>
  <si>
    <t>RED940114JX9</t>
  </si>
  <si>
    <t xml:space="preserve">REDPACK SA DE CV </t>
  </si>
  <si>
    <t>AEVR540718D40</t>
  </si>
  <si>
    <t xml:space="preserve">ROSA MARIA ARRELLANO VAZQUEZ </t>
  </si>
  <si>
    <t>SMO040908TU4</t>
  </si>
  <si>
    <t>SAMURAI MOTORS S DE RL DE CV</t>
  </si>
  <si>
    <t>SARP640403B52</t>
  </si>
  <si>
    <t>SQP0901086C2</t>
  </si>
  <si>
    <t>SEV040910EN3</t>
  </si>
  <si>
    <t>SEAE8106183T6</t>
  </si>
  <si>
    <t>TRP991214JY9</t>
  </si>
  <si>
    <t>TEX9302097F3</t>
  </si>
  <si>
    <t xml:space="preserve">TIENDAS EXTRA SA DE CV </t>
  </si>
  <si>
    <t>TSO991022PB6</t>
  </si>
  <si>
    <t xml:space="preserve">TIENDAS SORIANA SA DE CV </t>
  </si>
  <si>
    <t>SOBT75040262A</t>
  </si>
  <si>
    <t xml:space="preserve">TOMAS SOLORZANO BRINGAS </t>
  </si>
  <si>
    <t>TMS010508RX0</t>
  </si>
  <si>
    <t>TOYOTA MOTOR SALES DE MEXICO S DE R</t>
  </si>
  <si>
    <t>WIM100712R41</t>
  </si>
  <si>
    <t>VAAE850203JA2</t>
  </si>
  <si>
    <t>UAM011124U83</t>
  </si>
  <si>
    <t>UNITED AUTO DE  MONTERREY  S  DE RL</t>
  </si>
  <si>
    <t>UAA011124IL4</t>
  </si>
  <si>
    <t>UNITED AUTO DE AGUASCALIENTES S DE DE RL DE CV</t>
  </si>
  <si>
    <t>USL9307122X1</t>
  </si>
  <si>
    <t xml:space="preserve">ULTRA SERVICIO LOMAS SA DE CV </t>
  </si>
  <si>
    <t>SRB930119769</t>
  </si>
  <si>
    <t xml:space="preserve">SUPER´S RAPIDITOS BIP BIP SA DE CV </t>
  </si>
  <si>
    <t>SSH901002S14</t>
  </si>
  <si>
    <t xml:space="preserve">SUPER SERVICIO HERRERA DEL NORTE SA DE CV </t>
  </si>
  <si>
    <t>DIFERENCIA</t>
  </si>
  <si>
    <t>SSF021003QT0</t>
  </si>
  <si>
    <t xml:space="preserve">SUPER SERVICIO FERMACAR SA DE CV </t>
  </si>
  <si>
    <t>SSB940929UD5</t>
  </si>
  <si>
    <t xml:space="preserve">SUPER SERVICIO BELLA VISTA SA DE CV </t>
  </si>
  <si>
    <t>SGM950714DC2</t>
  </si>
  <si>
    <t xml:space="preserve">SERVICIOS GASOLINEROS DE MEXICO SA DE CV </t>
  </si>
  <si>
    <t>SXA041111GR2</t>
  </si>
  <si>
    <t xml:space="preserve">SERVICIO XACOBEO SA DE CV </t>
  </si>
  <si>
    <t>SNM930129QJ6</t>
  </si>
  <si>
    <t xml:space="preserve">SERVICIO NUEVO MEXICO SA DE CV </t>
  </si>
  <si>
    <t>SPJ980128D70</t>
  </si>
  <si>
    <t xml:space="preserve">SERVICIO PLAZA JARDIN SA DE CV </t>
  </si>
  <si>
    <t>SJU010405FU0</t>
  </si>
  <si>
    <t xml:space="preserve">SERVICIO LAS JUNTAS SA DE CV </t>
  </si>
  <si>
    <t>SIN9412025I4</t>
  </si>
  <si>
    <t xml:space="preserve">SCOTIABANK INVERLAT, SA </t>
  </si>
  <si>
    <t>MASS641103813</t>
  </si>
  <si>
    <t xml:space="preserve">SANTOS MARTINEZ SUAREZ </t>
  </si>
  <si>
    <t>RIRS750710F10</t>
  </si>
  <si>
    <t xml:space="preserve">SAMUEL RICO RAMIREZ </t>
  </si>
  <si>
    <t>QMO710112RH2</t>
  </si>
  <si>
    <t xml:space="preserve">QUERETARO MOTORS SA </t>
  </si>
  <si>
    <t>PCS071026A78</t>
  </si>
  <si>
    <t xml:space="preserve">PETRO 107 SA DE CV </t>
  </si>
  <si>
    <t>OKA000427NV2</t>
  </si>
  <si>
    <t xml:space="preserve">OPERADORA KAMERUN SA DE CV </t>
  </si>
  <si>
    <t>PARO600528HKA</t>
  </si>
  <si>
    <t>OLIVIA PATLAN REA</t>
  </si>
  <si>
    <t>OSE110824C75</t>
  </si>
  <si>
    <t xml:space="preserve">OLEUM SERVICE SA DE CV </t>
  </si>
  <si>
    <t>OAP08050277A</t>
  </si>
  <si>
    <t>OPERADORA ALAMEDA PARK, S.A. DE C.V</t>
  </si>
  <si>
    <t>SOEJ591006EQ0</t>
  </si>
  <si>
    <t xml:space="preserve">JENARO SOLORZANO ESQUEDA </t>
  </si>
  <si>
    <t>DRO940516GC2</t>
  </si>
  <si>
    <t xml:space="preserve">DISTRIBUIDORA ROESMA SA DE CV </t>
  </si>
  <si>
    <t>COV070910694</t>
  </si>
  <si>
    <t xml:space="preserve">COVESU SA DE CV </t>
  </si>
  <si>
    <t>AGA0006136F1</t>
  </si>
  <si>
    <t xml:space="preserve">AUTOSERVICIO GASHR SA DE CV </t>
  </si>
  <si>
    <t>AMO010815U41</t>
  </si>
  <si>
    <t xml:space="preserve">ABASTECEDORA LA MORENITA SA DE CV </t>
  </si>
  <si>
    <t>SAU960320HC4</t>
  </si>
  <si>
    <t>CTA031008KMA</t>
  </si>
  <si>
    <t>INTERCAMBCALIDAD DE TABASCO S  DE RL DE  CV</t>
  </si>
  <si>
    <t xml:space="preserve">GLOBAL </t>
  </si>
  <si>
    <t xml:space="preserve">CASETAS </t>
  </si>
  <si>
    <t>GLOBAL</t>
  </si>
  <si>
    <t>LJIMENEZ GASTOS JOSUE PEREZ SALGADO</t>
  </si>
  <si>
    <t>BNM840515VB1</t>
  </si>
  <si>
    <t>BANCO NACIONAL DE MEXICO, SA</t>
  </si>
  <si>
    <t>LORP760922EW9</t>
  </si>
  <si>
    <t xml:space="preserve">PAOLA LOPEZ RODRIGUEZ </t>
  </si>
  <si>
    <t>ESE930624B79</t>
  </si>
  <si>
    <t xml:space="preserve">ESTACIONES DE SERVICIO  SA DE CV </t>
  </si>
  <si>
    <t xml:space="preserve"> </t>
  </si>
  <si>
    <t>D  1,817</t>
  </si>
  <si>
    <t>RA*3</t>
  </si>
  <si>
    <t>D  1,818</t>
  </si>
  <si>
    <t>FEBRERO013</t>
  </si>
  <si>
    <t>E      1</t>
  </si>
  <si>
    <t>CH-12051</t>
  </si>
  <si>
    <t>E      2</t>
  </si>
  <si>
    <t>CH-12052</t>
  </si>
  <si>
    <t>GARCIA OLIVOS MARIA TERESA</t>
  </si>
  <si>
    <t>E      6</t>
  </si>
  <si>
    <t>CH-12056</t>
  </si>
  <si>
    <t>TELEFONOS DE MEXICO S.A.B. DE C.V.</t>
  </si>
  <si>
    <t>E      7</t>
  </si>
  <si>
    <t>CH-12057</t>
  </si>
  <si>
    <t>E      8</t>
  </si>
  <si>
    <t>CH-12058</t>
  </si>
  <si>
    <t>DTMAC COMERCIALIZADORA SA DE CV</t>
  </si>
  <si>
    <t>E     10</t>
  </si>
  <si>
    <t>CH-12059</t>
  </si>
  <si>
    <t>D    111</t>
  </si>
  <si>
    <t>0401-TCN13</t>
  </si>
  <si>
    <t>CEVER TOLUCA SA DE  CV</t>
  </si>
  <si>
    <t>D    129</t>
  </si>
  <si>
    <t>0068-TCN13</t>
  </si>
  <si>
    <t>TOYOCOAPA  S  DE  RL DE RL DE CV</t>
  </si>
  <si>
    <t>CH-12066</t>
  </si>
  <si>
    <t>DEUTSCHE BANK MEXICO, S.A. INSTITUC</t>
  </si>
  <si>
    <t>CH-12064</t>
  </si>
  <si>
    <t>D    160</t>
  </si>
  <si>
    <t>0332-TCN13</t>
  </si>
  <si>
    <t>D    168</t>
  </si>
  <si>
    <t>0407-TCN13</t>
  </si>
  <si>
    <t>D    171</t>
  </si>
  <si>
    <t>0402-TCN13</t>
  </si>
  <si>
    <t>AUTOMOVILES DINAMICOS S DE RL DE CV</t>
  </si>
  <si>
    <t>D    183</t>
  </si>
  <si>
    <t>0869-TCN12</t>
  </si>
  <si>
    <t>D    188</t>
  </si>
  <si>
    <t>0221-TCN13</t>
  </si>
  <si>
    <t>D    189</t>
  </si>
  <si>
    <t>0408-TCN13</t>
  </si>
  <si>
    <t>CH-12071</t>
  </si>
  <si>
    <t>COMPUCARE DE MEXICO, S.A. DE C.V.</t>
  </si>
  <si>
    <t>E     18</t>
  </si>
  <si>
    <t>CH-12072</t>
  </si>
  <si>
    <t>SOLIS CAMARA, LOPEZ GUERRERO Y MART</t>
  </si>
  <si>
    <t>E     19</t>
  </si>
  <si>
    <t>CH-12073</t>
  </si>
  <si>
    <t>LJIMENEZ:1915 AUDITORIA Y FINANZAS,</t>
  </si>
  <si>
    <t>E     20</t>
  </si>
  <si>
    <t>CH-12074</t>
  </si>
  <si>
    <t>E     24</t>
  </si>
  <si>
    <t>CH-12077</t>
  </si>
  <si>
    <t>CH-12078</t>
  </si>
  <si>
    <t>GALAZ, YAMAZAKI, RUIZ URQUIZA, S.C.</t>
  </si>
  <si>
    <t>CH-12079</t>
  </si>
  <si>
    <t>MYSTERY SHOPPER MEXICO, S.A. DE C.V</t>
  </si>
  <si>
    <t>E     32</t>
  </si>
  <si>
    <t>CH-12083</t>
  </si>
  <si>
    <t>VALOR MOTRIZ S DE RL DE CV</t>
  </si>
  <si>
    <t>D    243</t>
  </si>
  <si>
    <t>0406-TCN13</t>
  </si>
  <si>
    <t>D    244</t>
  </si>
  <si>
    <t>0405-TCN13</t>
  </si>
  <si>
    <t>D    245</t>
  </si>
  <si>
    <t>0403-TCN13</t>
  </si>
  <si>
    <t>D    247</t>
  </si>
  <si>
    <t>0404-TCN13</t>
  </si>
  <si>
    <t>D    248</t>
  </si>
  <si>
    <t>0409-TCN13</t>
  </si>
  <si>
    <t>E     34</t>
  </si>
  <si>
    <t>CH-12085</t>
  </si>
  <si>
    <t>E     35</t>
  </si>
  <si>
    <t>CH-12086</t>
  </si>
  <si>
    <t>E     36</t>
  </si>
  <si>
    <t>CH-12087</t>
  </si>
  <si>
    <t>CH-12091</t>
  </si>
  <si>
    <t>D    312</t>
  </si>
  <si>
    <t>0413-TCN13</t>
  </si>
  <si>
    <t>CCD.AUTOSALES  PUERTO  VALLARTA</t>
  </si>
  <si>
    <t>CH-309</t>
  </si>
  <si>
    <t>E     41</t>
  </si>
  <si>
    <t>CH-12095</t>
  </si>
  <si>
    <t>CH-12070</t>
  </si>
  <si>
    <t>E     45</t>
  </si>
  <si>
    <t>CH-12068</t>
  </si>
  <si>
    <t>CH-12061</t>
  </si>
  <si>
    <t>OCTAVIO ALBERTO GALLEGOS RIOS</t>
  </si>
  <si>
    <t>CH-12067</t>
  </si>
  <si>
    <t>CH-12088</t>
  </si>
  <si>
    <t>POLIESTIRENOS DE QUERETARO, S.A. DE</t>
  </si>
  <si>
    <t>CH-719</t>
  </si>
  <si>
    <t>LJIMENEZ:SANCHEZ ROMERO MARIA DEL P</t>
  </si>
  <si>
    <t>CH-720</t>
  </si>
  <si>
    <t>ERNESTO ARIAS VALDEZ</t>
  </si>
  <si>
    <t>D  2,075</t>
  </si>
  <si>
    <t>CH-12100</t>
  </si>
  <si>
    <t>INTERESES HIPOTECARIOS ENE/13</t>
  </si>
  <si>
    <t>D  2,076</t>
  </si>
  <si>
    <t>CH-12099</t>
  </si>
  <si>
    <t>INTERESES PP NUEVOS ENE/2013</t>
  </si>
  <si>
    <t>T-438</t>
  </si>
  <si>
    <t>CIA PERIODISTICA DEL SOL DE CELAYA,</t>
  </si>
  <si>
    <t>T-439</t>
  </si>
  <si>
    <t>T-255</t>
  </si>
  <si>
    <t>CMG EXCELENCIA EN SERVICIOS S DE RL</t>
  </si>
  <si>
    <t>E     57</t>
  </si>
  <si>
    <t>T-442</t>
  </si>
  <si>
    <t>LJIMENEZ:SERVICIO AUDITORIO SA DE C</t>
  </si>
  <si>
    <t>T-256</t>
  </si>
  <si>
    <t>E     59</t>
  </si>
  <si>
    <t>T-257</t>
  </si>
  <si>
    <t>E     60</t>
  </si>
  <si>
    <t>T-443</t>
  </si>
  <si>
    <t>E     61</t>
  </si>
  <si>
    <t>T-444</t>
  </si>
  <si>
    <t>E     62</t>
  </si>
  <si>
    <t>T-258</t>
  </si>
  <si>
    <t>T-445</t>
  </si>
  <si>
    <t>D    480</t>
  </si>
  <si>
    <t>COROLFEBRE</t>
  </si>
  <si>
    <t>LJIMENEZ:MENSUALIDAD COROLLA FEBRER</t>
  </si>
  <si>
    <t>D    519</t>
  </si>
  <si>
    <t>0414-TCN13</t>
  </si>
  <si>
    <t>D    544</t>
  </si>
  <si>
    <t>0412-TCN13</t>
  </si>
  <si>
    <t>D    546</t>
  </si>
  <si>
    <t>0410-TCN13</t>
  </si>
  <si>
    <t>D    549</t>
  </si>
  <si>
    <t>0411-TCN13</t>
  </si>
  <si>
    <t>D    649</t>
  </si>
  <si>
    <t>0415-TCN13</t>
  </si>
  <si>
    <t>UNITED AUTO DE MONTERREY S DE RL DE</t>
  </si>
  <si>
    <t>D    652</t>
  </si>
  <si>
    <t>0416-TCN13</t>
  </si>
  <si>
    <t>D    655</t>
  </si>
  <si>
    <t>0946-TCN12</t>
  </si>
  <si>
    <t>AUTOMOTRIZ TOY S.A  DE  C.V.</t>
  </si>
  <si>
    <t>E     73</t>
  </si>
  <si>
    <t>CH-12105</t>
  </si>
  <si>
    <t>D    690</t>
  </si>
  <si>
    <t>0417-TCN13</t>
  </si>
  <si>
    <t>D    699</t>
  </si>
  <si>
    <t>0418-TCN13</t>
  </si>
  <si>
    <t>CCD. PUERTO VALLLARTA S DE RL DE CV</t>
  </si>
  <si>
    <t>D    736</t>
  </si>
  <si>
    <t>0419-TCN13</t>
  </si>
  <si>
    <t>OZ AUTOMOTRIZ  S DE RL DE  CV</t>
  </si>
  <si>
    <t>D  1,820</t>
  </si>
  <si>
    <t>AM00000580</t>
  </si>
  <si>
    <t>CH-12111</t>
  </si>
  <si>
    <t>E     85</t>
  </si>
  <si>
    <t>CH-12115</t>
  </si>
  <si>
    <t>CH-12116</t>
  </si>
  <si>
    <t>D    763</t>
  </si>
  <si>
    <t>0420-TCN13</t>
  </si>
  <si>
    <t>OZ  AUTOMOTRIZ S  DE RL  DE  CV</t>
  </si>
  <si>
    <t>T-446</t>
  </si>
  <si>
    <t>E     88</t>
  </si>
  <si>
    <t>T-447</t>
  </si>
  <si>
    <t>T-448</t>
  </si>
  <si>
    <t>E     90</t>
  </si>
  <si>
    <t>T-449</t>
  </si>
  <si>
    <t>E     91</t>
  </si>
  <si>
    <t>T-259</t>
  </si>
  <si>
    <t>E     92</t>
  </si>
  <si>
    <t>T-450</t>
  </si>
  <si>
    <t>E     93</t>
  </si>
  <si>
    <t>T-451</t>
  </si>
  <si>
    <t>E     94</t>
  </si>
  <si>
    <t>T-452</t>
  </si>
  <si>
    <t>LJIMENEZ:IMPULSORA DE TRANSPORTES M</t>
  </si>
  <si>
    <t>E     95</t>
  </si>
  <si>
    <t>T-453</t>
  </si>
  <si>
    <t>E     96</t>
  </si>
  <si>
    <t>T-454</t>
  </si>
  <si>
    <t>T-455</t>
  </si>
  <si>
    <t>E     99</t>
  </si>
  <si>
    <t>T-457</t>
  </si>
  <si>
    <t>E    100</t>
  </si>
  <si>
    <t>T-458</t>
  </si>
  <si>
    <t>E    101</t>
  </si>
  <si>
    <t>T-459</t>
  </si>
  <si>
    <t>E    102</t>
  </si>
  <si>
    <t>T-460</t>
  </si>
  <si>
    <t>CONSTRUCCION INDUSTRIAL Y HABITAT,</t>
  </si>
  <si>
    <t>E    106</t>
  </si>
  <si>
    <t>CH-12118</t>
  </si>
  <si>
    <t>E    107</t>
  </si>
  <si>
    <t>CH-12119</t>
  </si>
  <si>
    <t>E    108</t>
  </si>
  <si>
    <t>CH-12120</t>
  </si>
  <si>
    <t>CH-12121</t>
  </si>
  <si>
    <t>D    802</t>
  </si>
  <si>
    <t>MENSUCAM12</t>
  </si>
  <si>
    <t>LJIMENEZ:MENSUALIDAD CAMRY FEBRERO</t>
  </si>
  <si>
    <t>E    111</t>
  </si>
  <si>
    <t>CH-12124</t>
  </si>
  <si>
    <t>E    112</t>
  </si>
  <si>
    <t>CH-7783762</t>
  </si>
  <si>
    <t>LJIMENEZ:COMISION FEDERAL DE ELECTR</t>
  </si>
  <si>
    <t>E    113</t>
  </si>
  <si>
    <t>CH-12096</t>
  </si>
  <si>
    <t>ARIZMENDI SANDOVAL MIREYA</t>
  </si>
  <si>
    <t>E    114</t>
  </si>
  <si>
    <t>CH-12098</t>
  </si>
  <si>
    <t>INFOTECNOLOGIA CORPORATIVA SC</t>
  </si>
  <si>
    <t>D    877</t>
  </si>
  <si>
    <t>0422-TCN13</t>
  </si>
  <si>
    <t>CH-12129</t>
  </si>
  <si>
    <t>CH-12132</t>
  </si>
  <si>
    <t>E    218</t>
  </si>
  <si>
    <t>CH-12127</t>
  </si>
  <si>
    <t>D    932</t>
  </si>
  <si>
    <t>0423-TCN13</t>
  </si>
  <si>
    <t>0424-TCN13</t>
  </si>
  <si>
    <t>D    957</t>
  </si>
  <si>
    <t>0425-TCN13</t>
  </si>
  <si>
    <t>FAME  PERISUR S DE RL DE  CV</t>
  </si>
  <si>
    <t>D    974</t>
  </si>
  <si>
    <t>D    980</t>
  </si>
  <si>
    <t>D    982</t>
  </si>
  <si>
    <t>D    984</t>
  </si>
  <si>
    <t>D  1,042</t>
  </si>
  <si>
    <t>AM-0590</t>
  </si>
  <si>
    <t>LJIMENEZ:BAJA DE PLACAS CHEVY AF</t>
  </si>
  <si>
    <t>CH-12134</t>
  </si>
  <si>
    <t>JACOBO HERNANDEZ JOSE EDGAR</t>
  </si>
  <si>
    <t>CH-12135</t>
  </si>
  <si>
    <t>NOTARIA PUBLICA NUMERO TRES SC</t>
  </si>
  <si>
    <t>CH-12138</t>
  </si>
  <si>
    <t>CH-12139</t>
  </si>
  <si>
    <t>LJIMENEZ:INSTITUTO DE ESTUDIOS BAJI</t>
  </si>
  <si>
    <t>E    129</t>
  </si>
  <si>
    <t>CH-12140</t>
  </si>
  <si>
    <t>CH-12141</t>
  </si>
  <si>
    <t>CH-12143</t>
  </si>
  <si>
    <t>CH-12144</t>
  </si>
  <si>
    <t>CH-312</t>
  </si>
  <si>
    <t>LJIMENEZ:SPX DE MEXICO S.A. DE C.V.</t>
  </si>
  <si>
    <t>E    219</t>
  </si>
  <si>
    <t>CH-12156</t>
  </si>
  <si>
    <t>STYLE SIGN, SA DE CV</t>
  </si>
  <si>
    <t>D  1,023</t>
  </si>
  <si>
    <t>0426-TCN13</t>
  </si>
  <si>
    <t>CCD. AUTOSALES PUERTO  VALLARTA S</t>
  </si>
  <si>
    <t>D  1,035</t>
  </si>
  <si>
    <t>0427-TCN13</t>
  </si>
  <si>
    <t>D  1,039</t>
  </si>
  <si>
    <t>0428-TCN13</t>
  </si>
  <si>
    <t>CCD.AUTOSALES  PUERTO VALLARTA</t>
  </si>
  <si>
    <t>D  1,040</t>
  </si>
  <si>
    <t>0430-TCN13</t>
  </si>
  <si>
    <t>OZ AUTOMOTRIZ S  DE RL DE CV</t>
  </si>
  <si>
    <t>D  1,041</t>
  </si>
  <si>
    <t>0429-TCN13</t>
  </si>
  <si>
    <t>OZ  AUTOMOTRIZ  S  DE RL DE  CV</t>
  </si>
  <si>
    <t>D  1,057</t>
  </si>
  <si>
    <t>0431-TCN13</t>
  </si>
  <si>
    <t>CEVER TOLUCA  S  DE RL DE  CV</t>
  </si>
  <si>
    <t>E    144</t>
  </si>
  <si>
    <t>CH-12154</t>
  </si>
  <si>
    <t>LEAL BELLOT CARLOS RODRIGO</t>
  </si>
  <si>
    <t>0432-TCN13</t>
  </si>
  <si>
    <t>0947-TCN12</t>
  </si>
  <si>
    <t>UNITED AUTO DE  MONTERREY  S DE  RL</t>
  </si>
  <si>
    <t>D  1,106</t>
  </si>
  <si>
    <t>0433-TCN13</t>
  </si>
  <si>
    <t>D  1,111</t>
  </si>
  <si>
    <t>0434-TCN13</t>
  </si>
  <si>
    <t>FAME PERISUR S  DE  RL DE  CV</t>
  </si>
  <si>
    <t>D  1,821</t>
  </si>
  <si>
    <t>AM00000605</t>
  </si>
  <si>
    <t>D  1,822</t>
  </si>
  <si>
    <t>AM00000603</t>
  </si>
  <si>
    <t>E    149</t>
  </si>
  <si>
    <t>T-461</t>
  </si>
  <si>
    <t>T-462</t>
  </si>
  <si>
    <t>E    151</t>
  </si>
  <si>
    <t>T-260</t>
  </si>
  <si>
    <t>E    152</t>
  </si>
  <si>
    <t>T-463</t>
  </si>
  <si>
    <t>CORDOVA NOVOA ALFONSO</t>
  </si>
  <si>
    <t>E    153</t>
  </si>
  <si>
    <t>T-464</t>
  </si>
  <si>
    <t>D  1,155</t>
  </si>
  <si>
    <t>0436-TCN13</t>
  </si>
  <si>
    <t>D  1,158</t>
  </si>
  <si>
    <t>0437-TCN13</t>
  </si>
  <si>
    <t>CCD.  AUTOSALES PUERTO VALLARTA  S</t>
  </si>
  <si>
    <t>D  1,182</t>
  </si>
  <si>
    <t>0438-TCN13</t>
  </si>
  <si>
    <t>D  1,208</t>
  </si>
  <si>
    <t>0948-TCN12</t>
  </si>
  <si>
    <t>AUTOMOTRIZ  TOY S.A DE  C.V.</t>
  </si>
  <si>
    <t>D  1,215</t>
  </si>
  <si>
    <t>0440-TCN13</t>
  </si>
  <si>
    <t>DALTON AUTOMOTRIZ S DE RL DE  CV</t>
  </si>
  <si>
    <t>E    166</t>
  </si>
  <si>
    <t>CH-12161</t>
  </si>
  <si>
    <t>E    171</t>
  </si>
  <si>
    <t>CH-12165</t>
  </si>
  <si>
    <t>E    173</t>
  </si>
  <si>
    <t>CH-12167</t>
  </si>
  <si>
    <t>LEON GONZALEZ NICOLAS</t>
  </si>
  <si>
    <t>D  1,254</t>
  </si>
  <si>
    <t>0949-TCN12</t>
  </si>
  <si>
    <t>PROMOTORA AUTOMOTRIZ DE IRAPUATO S</t>
  </si>
  <si>
    <t>D  1,261</t>
  </si>
  <si>
    <t>0442-TCN13</t>
  </si>
  <si>
    <t>D  1,262</t>
  </si>
  <si>
    <t>0441-TCN13</t>
  </si>
  <si>
    <t>TOY MORELOS S  DE  RL DE CV</t>
  </si>
  <si>
    <t>D  1,292</t>
  </si>
  <si>
    <t>COMPROBACI</t>
  </si>
  <si>
    <t>LJIMENEZ:GTS COMPROB JSLM</t>
  </si>
  <si>
    <t>D  1,305</t>
  </si>
  <si>
    <t>0443-TCN13</t>
  </si>
  <si>
    <t>DALTON AUTOMOTORES S DE RL DE CV</t>
  </si>
  <si>
    <t>0444-TCN13</t>
  </si>
  <si>
    <t>D  1,341</t>
  </si>
  <si>
    <t>D  1,355</t>
  </si>
  <si>
    <t>0446-TCN13</t>
  </si>
  <si>
    <t>CH-12174</t>
  </si>
  <si>
    <t>CH-12094</t>
  </si>
  <si>
    <t>CH-12145</t>
  </si>
  <si>
    <t>CH-12123</t>
  </si>
  <si>
    <t>CH-12136</t>
  </si>
  <si>
    <t>ASOCIACION DE DISTRIBUIDORES DE AUT</t>
  </si>
  <si>
    <t>CH-12170</t>
  </si>
  <si>
    <t>WURTH MEXICO, S.A. DE C.V.</t>
  </si>
  <si>
    <t>D  1,424</t>
  </si>
  <si>
    <t>0447-TCN13</t>
  </si>
  <si>
    <t>CCD, AUTOSALES PUERTO VALLARTA S  D</t>
  </si>
  <si>
    <t>D  1,427</t>
  </si>
  <si>
    <t>0448-TCN13</t>
  </si>
  <si>
    <t>GASTOQRO01</t>
  </si>
  <si>
    <t>LJIMENEZ:BALBUENA SALAZAR PATRICIA</t>
  </si>
  <si>
    <t>D  1,462</t>
  </si>
  <si>
    <t>0449-TCN13</t>
  </si>
  <si>
    <t>D  1,467</t>
  </si>
  <si>
    <t>0450-TCN13</t>
  </si>
  <si>
    <t>D  1,469</t>
  </si>
  <si>
    <t>0451-TCN13</t>
  </si>
  <si>
    <t>D  1,470</t>
  </si>
  <si>
    <t>0452-TCN13</t>
  </si>
  <si>
    <t>D  1,471</t>
  </si>
  <si>
    <t>0453-TCN13</t>
  </si>
  <si>
    <t>D  1,485</t>
  </si>
  <si>
    <t>0454-TCN13</t>
  </si>
  <si>
    <t>CH-12180</t>
  </si>
  <si>
    <t>CH-12181</t>
  </si>
  <si>
    <t>E    193</t>
  </si>
  <si>
    <t>CH-12182</t>
  </si>
  <si>
    <t>D  1,507</t>
  </si>
  <si>
    <t>0455-TCN13</t>
  </si>
  <si>
    <t>D  1,510</t>
  </si>
  <si>
    <t>0456-TCN13</t>
  </si>
  <si>
    <t>D  1,545</t>
  </si>
  <si>
    <t>0457-TCN13</t>
  </si>
  <si>
    <t>D  1,547</t>
  </si>
  <si>
    <t>0458-TCN13</t>
  </si>
  <si>
    <t>D  1,548</t>
  </si>
  <si>
    <t>0459-TCN13</t>
  </si>
  <si>
    <t>D  1,549</t>
  </si>
  <si>
    <t>0460-TCN13</t>
  </si>
  <si>
    <t>D  1,576</t>
  </si>
  <si>
    <t>0461-TCN13</t>
  </si>
  <si>
    <t>0462-TCN13</t>
  </si>
  <si>
    <t>0950-TCN12</t>
  </si>
  <si>
    <t>D  1,587</t>
  </si>
  <si>
    <t>0463-TCN13</t>
  </si>
  <si>
    <t>E    200</t>
  </si>
  <si>
    <t>CH-12186</t>
  </si>
  <si>
    <t>CH-12189</t>
  </si>
  <si>
    <t>VAZQUEZ REYNOSO JUAN CARLOS</t>
  </si>
  <si>
    <t>E    204</t>
  </si>
  <si>
    <t>CH-12190</t>
  </si>
  <si>
    <t>E    205</t>
  </si>
  <si>
    <t>CH-12191</t>
  </si>
  <si>
    <t>D  1,611</t>
  </si>
  <si>
    <t>0464-TCN13</t>
  </si>
  <si>
    <t>D  1,613</t>
  </si>
  <si>
    <t>0465-TCN13</t>
  </si>
  <si>
    <t>D  1,616</t>
  </si>
  <si>
    <t>0466-TCN13</t>
  </si>
  <si>
    <t>D  1,619</t>
  </si>
  <si>
    <t>D  1,624</t>
  </si>
  <si>
    <t>D  1,625</t>
  </si>
  <si>
    <t>0467-TCN13</t>
  </si>
  <si>
    <t>D  1,632</t>
  </si>
  <si>
    <t>0468-TCN13</t>
  </si>
  <si>
    <t>CCD, AUTOSALES PUERTO  VALLARTA  S</t>
  </si>
  <si>
    <t>D  1,633</t>
  </si>
  <si>
    <t>D  1,636</t>
  </si>
  <si>
    <t>0951-TCN12</t>
  </si>
  <si>
    <t>D  1,637</t>
  </si>
  <si>
    <t>D  1,642</t>
  </si>
  <si>
    <t>0469-TCN13</t>
  </si>
  <si>
    <t>CCD. AUTOSALES  PUERTO VALLARTA S D</t>
  </si>
  <si>
    <t>D  1,645</t>
  </si>
  <si>
    <t>D  1,649</t>
  </si>
  <si>
    <t>0470-TCN13</t>
  </si>
  <si>
    <t>FAME  PERISUR S DE RL DE CV</t>
  </si>
  <si>
    <t>D  1,651</t>
  </si>
  <si>
    <t>D  1,664</t>
  </si>
  <si>
    <t>0471-TCN13</t>
  </si>
  <si>
    <t>TOYOMOTORS  DE  POLANCO  S  DE RL</t>
  </si>
  <si>
    <t>D  1,666</t>
  </si>
  <si>
    <t>D  1,668</t>
  </si>
  <si>
    <t>D  1,674</t>
  </si>
  <si>
    <t>0472-TCN13</t>
  </si>
  <si>
    <t>D  1,706</t>
  </si>
  <si>
    <t>0473-TCN13</t>
  </si>
  <si>
    <t>DURANGO  AUTOMOTORES S D E RL DE CV</t>
  </si>
  <si>
    <t>D  1,745</t>
  </si>
  <si>
    <t>0474-TCN13</t>
  </si>
  <si>
    <t>D  1,782</t>
  </si>
  <si>
    <t>0475-TCN13</t>
  </si>
  <si>
    <t>OZ  AUTOMOTRIZ  DE COLIMA S DE RL C</t>
  </si>
  <si>
    <t>D  1,791</t>
  </si>
  <si>
    <t>0476-TCN13</t>
  </si>
  <si>
    <t>D  1,797</t>
  </si>
  <si>
    <t>0477-TCN13</t>
  </si>
  <si>
    <t>DALTON AUTOMOTRIZ S  DE RLDE CV</t>
  </si>
  <si>
    <t>D  1,813</t>
  </si>
  <si>
    <t>0952-TCN12</t>
  </si>
  <si>
    <t>UNITED  AUTO DE MONTERREY S DE RL D</t>
  </si>
  <si>
    <t>0479-TCN13</t>
  </si>
  <si>
    <t>COMBBVAFEB</t>
  </si>
  <si>
    <t>LJIMENEZ:COM BBVA FEB 2013</t>
  </si>
  <si>
    <t>D  1,879</t>
  </si>
  <si>
    <t>COMBNXFEB</t>
  </si>
  <si>
    <t>LJIMENEZ:COM BANAMEX FEB 2013</t>
  </si>
  <si>
    <t>COMSANTFEB</t>
  </si>
  <si>
    <t>COM SANTANDER FEB 2013</t>
  </si>
  <si>
    <t>D  1,881</t>
  </si>
  <si>
    <t>COMHSBCFEB</t>
  </si>
  <si>
    <t>COM HSBC FEB 2013</t>
  </si>
  <si>
    <t>D  1,882</t>
  </si>
  <si>
    <t>COMBBFEB13</t>
  </si>
  <si>
    <t>LJIMENEZ:COM BAJIO FEB 2013</t>
  </si>
  <si>
    <t>D  1,913</t>
  </si>
  <si>
    <t>COMISIONES AMEX FEB 2013</t>
  </si>
  <si>
    <t>D  1,914</t>
  </si>
  <si>
    <t>LJIMENEZ:VIATICOS SAN LUIS POTOSI</t>
  </si>
  <si>
    <t>D  1,915</t>
  </si>
  <si>
    <t>CURSO SAN LUIS POTOSI</t>
  </si>
  <si>
    <t>D  1,922</t>
  </si>
  <si>
    <t>VIATICOS CURSO SANTA FE 2013</t>
  </si>
  <si>
    <t>D  1,924</t>
  </si>
  <si>
    <t>PRESENTACION RAV4 2013</t>
  </si>
  <si>
    <t>D  1,926</t>
  </si>
  <si>
    <t>COMISIONES SCOTIABANK FEB 2013</t>
  </si>
  <si>
    <t>D  1,929</t>
  </si>
  <si>
    <t>COMISIONES BANORTE MES DE FEB</t>
  </si>
  <si>
    <t>D  1,938</t>
  </si>
  <si>
    <t>EMBAR 52</t>
  </si>
  <si>
    <t>LJIMENEZ:EMBARQUE NUM 52 INV 0014TC</t>
  </si>
  <si>
    <t>D  1,940</t>
  </si>
  <si>
    <t>PERIFERICA</t>
  </si>
  <si>
    <t>DURAN MEJIA ARMANDO</t>
  </si>
  <si>
    <t>D  1,941</t>
  </si>
  <si>
    <t>D  1,942</t>
  </si>
  <si>
    <t>CENTRO DE DISTRIBUCION ORIENTE</t>
  </si>
  <si>
    <t>D  1,944</t>
  </si>
  <si>
    <t>TRASLADO DE TOLUCA INV 0401-TC</t>
  </si>
  <si>
    <t>D  1,946</t>
  </si>
  <si>
    <t>TRASLADO MONTERREY INV 0415-TC</t>
  </si>
  <si>
    <t>D  1,948</t>
  </si>
  <si>
    <t>TRASLADO REYNOSA INV 0421-TCN1</t>
  </si>
  <si>
    <t>D  1,949</t>
  </si>
  <si>
    <t>TRASLADO INV 0420-TCN13</t>
  </si>
  <si>
    <t>D  1,951</t>
  </si>
  <si>
    <t>TRASLADO INV 0946-TCN12</t>
  </si>
  <si>
    <t>D  1,953</t>
  </si>
  <si>
    <t>TRASLADO INV 0416-TCN13</t>
  </si>
  <si>
    <t>D  1,955</t>
  </si>
  <si>
    <t>TRASLADO INV 0386-TCN13</t>
  </si>
  <si>
    <t>D  1,957</t>
  </si>
  <si>
    <t>TRASLADO INV 0419-TCN13</t>
  </si>
  <si>
    <t>D  1,959</t>
  </si>
  <si>
    <t>TRASLADO INV 0389-TCN13</t>
  </si>
  <si>
    <t>D  1,963</t>
  </si>
  <si>
    <t>COMPAÑIA FERRRETERA NUEVO MUND</t>
  </si>
  <si>
    <t>COMPAÑIA FERRETERA NUEVO MUNDO</t>
  </si>
  <si>
    <t>D  1,967</t>
  </si>
  <si>
    <t>ELECTROCOMPONENTES SA DE CV</t>
  </si>
  <si>
    <t>D  1,968</t>
  </si>
  <si>
    <t>DISTRIBUIDORA LIVERPOOL SA DE</t>
  </si>
  <si>
    <t>D  1,969</t>
  </si>
  <si>
    <t>D  1,970</t>
  </si>
  <si>
    <t>LUIS ARMANDO MENDEZ REYNA</t>
  </si>
  <si>
    <t>D  1,971</t>
  </si>
  <si>
    <t>FERRERTERIA MODELO DEL BAJIO S</t>
  </si>
  <si>
    <t>D  1,972</t>
  </si>
  <si>
    <t>ARTURO RICO HERNANDEZ</t>
  </si>
  <si>
    <t>D  1,973</t>
  </si>
  <si>
    <t>REDPACK SA DE CV</t>
  </si>
  <si>
    <t>D  1,974</t>
  </si>
  <si>
    <t>D  1,975</t>
  </si>
  <si>
    <t>D  1,977</t>
  </si>
  <si>
    <t>D  1,988</t>
  </si>
  <si>
    <t>D  1,991</t>
  </si>
  <si>
    <t>MARIO EDUARDO VILLAGRAN HERNAN</t>
  </si>
  <si>
    <t>D  1,992</t>
  </si>
  <si>
    <t>GUILLERMO CORTAZAR CASTAÑON</t>
  </si>
  <si>
    <t>D  1,994</t>
  </si>
  <si>
    <t>GUILLERMO CORTAZAN CASTAÑON</t>
  </si>
  <si>
    <t>DANIEL ARREDONDO ESPINOSA</t>
  </si>
  <si>
    <t>D  1,997</t>
  </si>
  <si>
    <t>D  1,999</t>
  </si>
  <si>
    <t>Z DISTRIBUIDORA DE CELAYA SA D</t>
  </si>
  <si>
    <t>D  2,001</t>
  </si>
  <si>
    <t>DISTRIBUIDORA DE TORNILLO Y BI</t>
  </si>
  <si>
    <t>D  2,005</t>
  </si>
  <si>
    <t>LUIS ARMANDO  MENDEZ REYNA</t>
  </si>
  <si>
    <t>D  2,006</t>
  </si>
  <si>
    <t>JOEL MERCADO ORTIZ</t>
  </si>
  <si>
    <t>D  2,011</t>
  </si>
  <si>
    <t>P3173</t>
  </si>
  <si>
    <t>DIF EN VIATICOS GDL RAV4</t>
  </si>
  <si>
    <t>D  2,013</t>
  </si>
  <si>
    <t>P3175</t>
  </si>
  <si>
    <t>D  2,014</t>
  </si>
  <si>
    <t>P3176</t>
  </si>
  <si>
    <t>D  2,016</t>
  </si>
  <si>
    <t>P3178</t>
  </si>
  <si>
    <t>JORGE RUELAS FLORES</t>
  </si>
  <si>
    <t>P3179</t>
  </si>
  <si>
    <t>MARTHA EDITH JURADO BRISEÑO</t>
  </si>
  <si>
    <t>D  2,018</t>
  </si>
  <si>
    <t>P3180</t>
  </si>
  <si>
    <t>ALEJANDRO GONZALEZ MARTINEZ</t>
  </si>
  <si>
    <t>D  2,022</t>
  </si>
  <si>
    <t>P3184</t>
  </si>
  <si>
    <t>MARIA ELENA SANCHEZ MONDRAGON</t>
  </si>
  <si>
    <t>P3190</t>
  </si>
  <si>
    <t>D  2,029</t>
  </si>
  <si>
    <t>P3191</t>
  </si>
  <si>
    <t>SARA SANDOVAL ACHIRICA</t>
  </si>
  <si>
    <t>D  2,031</t>
  </si>
  <si>
    <t>P3193</t>
  </si>
  <si>
    <t>P3195</t>
  </si>
  <si>
    <t>CASETAS DE GERENCIA</t>
  </si>
  <si>
    <t>D  2,034</t>
  </si>
  <si>
    <t>P3196</t>
  </si>
  <si>
    <t>TRASLADO INV 0430-TCN13</t>
  </si>
  <si>
    <t>D  2,036</t>
  </si>
  <si>
    <t>P3198</t>
  </si>
  <si>
    <t>TRASLADO DE CAMRY INV 0947-TCN</t>
  </si>
  <si>
    <t>D  2,038</t>
  </si>
  <si>
    <t>P3200</t>
  </si>
  <si>
    <t>TRASLADO SLP INV 0443-TCN13</t>
  </si>
  <si>
    <t>D  2,040</t>
  </si>
  <si>
    <t>P3202</t>
  </si>
  <si>
    <t>TRASLADO INV 0429-TCN13</t>
  </si>
  <si>
    <t>D  2,042</t>
  </si>
  <si>
    <t>P3204</t>
  </si>
  <si>
    <t>TRASLADO IRAPUATO RAV4 INV 094</t>
  </si>
  <si>
    <t>D  2,044</t>
  </si>
  <si>
    <t>P3206</t>
  </si>
  <si>
    <t>TRASLADO INV 0428-TCN13</t>
  </si>
  <si>
    <t>P3208</t>
  </si>
  <si>
    <t>TRASLADO INV 0431-TCN13</t>
  </si>
  <si>
    <t>P3210</t>
  </si>
  <si>
    <t>TRASLADO GDL INV 0477-TCN13</t>
  </si>
  <si>
    <t>D  2,050</t>
  </si>
  <si>
    <t>P3212</t>
  </si>
  <si>
    <t>TRASLADO INV 0470-TCN13</t>
  </si>
  <si>
    <t>D  2,052</t>
  </si>
  <si>
    <t>P3214</t>
  </si>
  <si>
    <t>TRASLADO INV 0948-TCN12</t>
  </si>
  <si>
    <t>D  2,054</t>
  </si>
  <si>
    <t>P2861</t>
  </si>
  <si>
    <t>TRASLADO INV 0387-TCN13</t>
  </si>
  <si>
    <t>P2863</t>
  </si>
  <si>
    <t>TRASLADO INV 0384-TCN13</t>
  </si>
  <si>
    <t>D  2,059</t>
  </si>
  <si>
    <t>P2865</t>
  </si>
  <si>
    <t>TRASLADO INV 0379-TCN13</t>
  </si>
  <si>
    <t>D  2,061</t>
  </si>
  <si>
    <t>P2867</t>
  </si>
  <si>
    <t>TRASLADO INV 0402-TCN13</t>
  </si>
  <si>
    <t>D  2,063</t>
  </si>
  <si>
    <t>P2869</t>
  </si>
  <si>
    <t>COMPLEMENTO INV 0383-TCN13</t>
  </si>
  <si>
    <t>D  2,065</t>
  </si>
  <si>
    <t>P2871</t>
  </si>
  <si>
    <t>TRASLADO INV 0345-TCN13</t>
  </si>
  <si>
    <t>D  2,067</t>
  </si>
  <si>
    <t>P2885</t>
  </si>
  <si>
    <t>TRASLADO INV 0244-TCN13</t>
  </si>
  <si>
    <t>D  2,068</t>
  </si>
  <si>
    <t>P2886</t>
  </si>
  <si>
    <t>TRASLADO INV 0413-TCN13</t>
  </si>
  <si>
    <t>D  2,070</t>
  </si>
  <si>
    <t>P2895</t>
  </si>
  <si>
    <t>TRASLADO INV 0418-TCN13</t>
  </si>
  <si>
    <t>R0543</t>
  </si>
  <si>
    <t>AUTOS COMPACTOS DE QUERETARO S</t>
  </si>
  <si>
    <t>D  2,079</t>
  </si>
  <si>
    <t>VIATICOS SLP 10 AL 13 FEB 2013</t>
  </si>
  <si>
    <t>CH-12199</t>
  </si>
  <si>
    <t>E    213</t>
  </si>
  <si>
    <t>CH-12200</t>
  </si>
  <si>
    <t>CH-12193</t>
  </si>
  <si>
    <t>E    217</t>
  </si>
  <si>
    <t>CH-12192</t>
  </si>
  <si>
    <t>LJIMENEZ:PAGO REFACCIONES ENERO 201</t>
  </si>
  <si>
    <t>FEBRERO</t>
  </si>
  <si>
    <t>DESCRIPCION</t>
  </si>
  <si>
    <t>GOMA8205238E3</t>
  </si>
  <si>
    <t>AISM470608MI8</t>
  </si>
  <si>
    <t>ADA030715477</t>
  </si>
  <si>
    <t>ATO0108161E1</t>
  </si>
  <si>
    <t>AUTOMOTRIZ TOY SA DE DE CV</t>
  </si>
  <si>
    <t>ADI090204QN7</t>
  </si>
  <si>
    <t>CDO0509296I9</t>
  </si>
  <si>
    <t>CPS780919KCA</t>
  </si>
  <si>
    <t>CEE090223D54</t>
  </si>
  <si>
    <t>AEC810901298</t>
  </si>
  <si>
    <t>AMERICAN EXPRESS COMPANY MEXICO, SA DE CV</t>
  </si>
  <si>
    <t>FNM000504R36</t>
  </si>
  <si>
    <t>CASETAS</t>
  </si>
  <si>
    <t>LICR5909045AA</t>
  </si>
  <si>
    <t xml:space="preserve">ROSALIA GRICELDA DE LIRA CESEÑA </t>
  </si>
  <si>
    <t>SERVICIO LAS JUNTAS SA DE CV</t>
  </si>
  <si>
    <t>CME001204KS6</t>
  </si>
  <si>
    <t>CONSULTORES &amp; ASESORES INTEGRALES SC</t>
  </si>
  <si>
    <t>CONA671211ME4</t>
  </si>
  <si>
    <t>IPH070628NU1</t>
  </si>
  <si>
    <t xml:space="preserve">IMPULSORA DE PROYECTOS EN HOTELERIA SA DE CV </t>
  </si>
  <si>
    <t>AEED6206049S3</t>
  </si>
  <si>
    <t>GTL930712H73</t>
  </si>
  <si>
    <t xml:space="preserve">GASOLINERA TLAQUEPAQUE SA DE CV </t>
  </si>
  <si>
    <t>DLI931201MI9</t>
  </si>
  <si>
    <t>DCO050303BG1</t>
  </si>
  <si>
    <t>DAU0511111HA</t>
  </si>
  <si>
    <t>DURANGO AUTOMOTORES  S DE R.L. DE C</t>
  </si>
  <si>
    <t>AIVE8209029X6</t>
  </si>
  <si>
    <t>FPE010903R76</t>
  </si>
  <si>
    <t>FAME   PERISUR  S  DELRL DE CV</t>
  </si>
  <si>
    <t>GYR880101TL1</t>
  </si>
  <si>
    <t>COCG720813M85</t>
  </si>
  <si>
    <t>ICO980323HU9</t>
  </si>
  <si>
    <t>JAHE830111P40</t>
  </si>
  <si>
    <t>MEOJ600724APA</t>
  </si>
  <si>
    <t>RUFJ580116B59</t>
  </si>
  <si>
    <t>LEGN571217M44</t>
  </si>
  <si>
    <t>HMA0803312J5</t>
  </si>
  <si>
    <t xml:space="preserve">HOTEL MARY SA DE CV </t>
  </si>
  <si>
    <t>OOS060130CA3</t>
  </si>
  <si>
    <t>OPERADORA SAN MIGUEL SA DE CV</t>
  </si>
  <si>
    <t>FACG701215J69</t>
  </si>
  <si>
    <t xml:space="preserve">FRANCO CUEVAS GABINO CESAR </t>
  </si>
  <si>
    <t>UFM570830NYA</t>
  </si>
  <si>
    <t xml:space="preserve">UNION F. Y M. SA DE CV </t>
  </si>
  <si>
    <t>MERL571216D49</t>
  </si>
  <si>
    <t>SAME501118ED3</t>
  </si>
  <si>
    <t>VIHM580912N38</t>
  </si>
  <si>
    <t>JUBM6906127N8</t>
  </si>
  <si>
    <t>MSM010207IP3</t>
  </si>
  <si>
    <t>NPN070124M2A</t>
  </si>
  <si>
    <t>HPS701112C35</t>
  </si>
  <si>
    <t xml:space="preserve">HOTEL PLAZA DEL SOL SA DE CV </t>
  </si>
  <si>
    <t>RST030219DA1</t>
  </si>
  <si>
    <t xml:space="preserve">RESTAURANTE Y SERVICIOS TAPATIOS SA DE CV </t>
  </si>
  <si>
    <t>PQU051006TY8</t>
  </si>
  <si>
    <t>PAI060427TP7</t>
  </si>
  <si>
    <t>PROMOTORA AUTOMOTRIZ IRAPUATO, S DE RL DE CV</t>
  </si>
  <si>
    <t>SAAS700911UUA</t>
  </si>
  <si>
    <t xml:space="preserve">SARA SANDOVAL ACHIRICA </t>
  </si>
  <si>
    <t>SCL080624G16</t>
  </si>
  <si>
    <t>SSI960509AE3</t>
  </si>
  <si>
    <t>TME840315KT6</t>
  </si>
  <si>
    <t>TMO050928IX4</t>
  </si>
  <si>
    <t>TOY  MORELOS  S  D E RLD E  CV</t>
  </si>
  <si>
    <t>TOY0507283C5</t>
  </si>
  <si>
    <t>TOYOCOAPA S DE RL DE CV</t>
  </si>
  <si>
    <t>TPO0701266T0</t>
  </si>
  <si>
    <t>TOYOMOTORS DE  POLANCO SRL DE CV</t>
  </si>
  <si>
    <t>OGI080515II7</t>
  </si>
  <si>
    <t xml:space="preserve">OPERADORA GASTRONOMICA IEE SA DE CV </t>
  </si>
  <si>
    <t xml:space="preserve">LA MORENITA SA DE CV </t>
  </si>
  <si>
    <t>GAAC650627S87</t>
  </si>
  <si>
    <t xml:space="preserve">CUAUHTEMOC GARCIA AGUILAR </t>
  </si>
  <si>
    <t>LOSV340617F28</t>
  </si>
  <si>
    <t xml:space="preserve">VICTOR MANUEL LOPEZ STOUPIGNAN </t>
  </si>
  <si>
    <t>D  2,066</t>
  </si>
  <si>
    <t>GST9312019C3</t>
  </si>
  <si>
    <t xml:space="preserve">GASOLINERA SERVICIO EL TREBOL SA DE CV DE RL </t>
  </si>
  <si>
    <t>ALI081114AN2</t>
  </si>
  <si>
    <t xml:space="preserve">ALIMENTARIA COMPANY S DE RL DE CV </t>
  </si>
  <si>
    <t>ASA990212AQ5</t>
  </si>
  <si>
    <t xml:space="preserve">AUTO SERVICIO ANGELOPOLIS SA DE CV </t>
  </si>
  <si>
    <t>CMI100423CC4</t>
  </si>
  <si>
    <t xml:space="preserve">CIELO MIXTO SA DE CV </t>
  </si>
  <si>
    <t>ESG000418CS4</t>
  </si>
  <si>
    <t>ESGES SA DE CV</t>
  </si>
  <si>
    <t>PETRO 107 SA DE CV</t>
  </si>
  <si>
    <t>REML670716FU4</t>
  </si>
  <si>
    <t xml:space="preserve">REGALADO MARTINEZ JOSE LUIS </t>
  </si>
  <si>
    <t>D  2,058</t>
  </si>
  <si>
    <t xml:space="preserve">SERVICIO LAS JUNTAS SA </t>
  </si>
  <si>
    <t>POL0804309C9</t>
  </si>
  <si>
    <t xml:space="preserve">POLIGAS SA DE CV </t>
  </si>
  <si>
    <t>SLV001208MX8</t>
  </si>
  <si>
    <t xml:space="preserve">SERVICIO LOMAS DE VISTA HERMOSA SA DE CV </t>
  </si>
  <si>
    <t xml:space="preserve">ALIMENTARIA COMPANY S E RL DE CV </t>
  </si>
  <si>
    <t>IIG090126G30</t>
  </si>
  <si>
    <t xml:space="preserve">INMOBILIARIA IGOVA SA DE CV </t>
  </si>
  <si>
    <t>SGV901113NB2</t>
  </si>
  <si>
    <t xml:space="preserve">SERVICIO GRAN VIA SA DE CV </t>
  </si>
  <si>
    <t>AGI990422EL7</t>
  </si>
  <si>
    <t xml:space="preserve">ADMINISTRADORA DE GASOLINERAS INTERLOMAS SA </t>
  </si>
  <si>
    <t>D  2,069</t>
  </si>
  <si>
    <t>LIOM760619DS7</t>
  </si>
  <si>
    <t xml:space="preserve">MAYDE GUADALUPE DE LIRA ORNELAS </t>
  </si>
  <si>
    <t>STE9109029AA</t>
  </si>
  <si>
    <t xml:space="preserve">SERVICIO TEPEACA SA DE CV </t>
  </si>
  <si>
    <t>D  2,073</t>
  </si>
  <si>
    <t>GNG6804229Q4</t>
  </si>
  <si>
    <t xml:space="preserve">GASOLINERA DEL NORTE DE GUADALAJARA SA DE CV </t>
  </si>
  <si>
    <t xml:space="preserve">SERVICIO GASHR SA DE CV </t>
  </si>
  <si>
    <t>RULL790403CM2</t>
  </si>
  <si>
    <t xml:space="preserve">LUIS ALBERTO RUVALCABA DE LIRA </t>
  </si>
  <si>
    <t>SBA030617DE0</t>
  </si>
  <si>
    <t xml:space="preserve">SERVICIO BASE AEREA SA DE CV </t>
  </si>
  <si>
    <t>D  2,035</t>
  </si>
  <si>
    <t>GOC9303301F4</t>
  </si>
  <si>
    <t xml:space="preserve">GRUPO OCTANO SA DE CV </t>
  </si>
  <si>
    <t>CGP970522EE4</t>
  </si>
  <si>
    <t>CONSORCIO GASOLINERO PLUS SA DE CV</t>
  </si>
  <si>
    <t>SCL9409281V5</t>
  </si>
  <si>
    <t xml:space="preserve">SERVICIO CLAVE SA DE CV </t>
  </si>
  <si>
    <t>MPI0209186F9</t>
  </si>
  <si>
    <t xml:space="preserve">MULTISERVICIO LOS PITS SA DE CV </t>
  </si>
  <si>
    <t>D  1,947</t>
  </si>
  <si>
    <t xml:space="preserve">GOM040622MRA </t>
  </si>
  <si>
    <t xml:space="preserve">GASOLINERA OMEGA MATEHUALA II SA DE CV </t>
  </si>
  <si>
    <t>GGU920707CSA</t>
  </si>
  <si>
    <t xml:space="preserve">GAS GUERRA SA DE CV </t>
  </si>
  <si>
    <t>MSR990518KK8</t>
  </si>
  <si>
    <t xml:space="preserve">MULTISERVICIO ROBERTO SA DE CV </t>
  </si>
  <si>
    <t>PPA090403C75</t>
  </si>
  <si>
    <t xml:space="preserve">PARADERO EL PARIENTE SA DE CV </t>
  </si>
  <si>
    <t>SSR760906L2A</t>
  </si>
  <si>
    <t xml:space="preserve">SERVICIO SANTA MARIA DEL RIO SA </t>
  </si>
  <si>
    <t>MCI070720G67</t>
  </si>
  <si>
    <t xml:space="preserve">MARISCOS CHILO SA DE CV </t>
  </si>
  <si>
    <t>SUPER SERVICIO FERMACAR SA DE CV</t>
  </si>
  <si>
    <t>VMT060106JC7</t>
  </si>
  <si>
    <t>VALOR MOTRIZ S. DE R.L. DE C.V.</t>
  </si>
  <si>
    <t>VARJ710710E48</t>
  </si>
  <si>
    <t>D  1,927</t>
  </si>
  <si>
    <t>GGG110420163</t>
  </si>
  <si>
    <t>GRUPO GASTRONOMICO GLOTONERI SA DE CV</t>
  </si>
  <si>
    <t>GUSL390917LW6</t>
  </si>
  <si>
    <t xml:space="preserve">JOSE LUIS LAMBERTO GUZMAN Y SANCHEZ </t>
  </si>
  <si>
    <t>OET0806125B1</t>
  </si>
  <si>
    <t xml:space="preserve">OPERADORA DE ESTANCIAS TURISTICAS SC </t>
  </si>
  <si>
    <t>SUS070221RU6</t>
  </si>
  <si>
    <t xml:space="preserve">SUSHIARCOS SA DE CV </t>
  </si>
  <si>
    <t>D  2,081</t>
  </si>
  <si>
    <t>ISR101020SBA</t>
  </si>
  <si>
    <t xml:space="preserve">ISRAELDEZ SA DE CV </t>
  </si>
  <si>
    <t>ORS041026JH8</t>
  </si>
  <si>
    <t xml:space="preserve">OPERADORA RIVERA SACRA SA DE CV </t>
  </si>
  <si>
    <t>PAML6110125X3</t>
  </si>
  <si>
    <t xml:space="preserve">LUCERO CONCEPCION PARRA MARTINEZ </t>
  </si>
  <si>
    <t>WME9003078U2</t>
  </si>
  <si>
    <t>ZDC920821GC1</t>
  </si>
  <si>
    <t xml:space="preserve">Z DISTRIBUIDORA DE CELAYA SA DE CV </t>
  </si>
  <si>
    <t xml:space="preserve">SERVICIO AUDITORIO </t>
  </si>
  <si>
    <t>MARZO</t>
  </si>
  <si>
    <t>D      5</t>
  </si>
  <si>
    <t>0480-TCN13</t>
  </si>
  <si>
    <t>D      6</t>
  </si>
  <si>
    <t>D     18</t>
  </si>
  <si>
    <t>0481-TCN13</t>
  </si>
  <si>
    <t>MEGAMOTORS NIPPON  S  DE RL DE CV</t>
  </si>
  <si>
    <t>D    135</t>
  </si>
  <si>
    <t>0482-TCN13</t>
  </si>
  <si>
    <t>D    144</t>
  </si>
  <si>
    <t>0484-TCN13</t>
  </si>
  <si>
    <t>D    179</t>
  </si>
  <si>
    <t>D    184</t>
  </si>
  <si>
    <t>0485-TCN13</t>
  </si>
  <si>
    <t>D    195</t>
  </si>
  <si>
    <t>0486-TCN13</t>
  </si>
  <si>
    <t>UNITED AUTO  DE MONTERREY  S  DE RL</t>
  </si>
  <si>
    <t>D    271</t>
  </si>
  <si>
    <t>0487-TCN13</t>
  </si>
  <si>
    <t>OZ AUTOMOTRIZ S DE RL DE CV</t>
  </si>
  <si>
    <t>D    285</t>
  </si>
  <si>
    <t>0953-TCN12</t>
  </si>
  <si>
    <t>UNITED  AUTO DE MONTEREY  S DE RL D</t>
  </si>
  <si>
    <t>D    386</t>
  </si>
  <si>
    <t>0488-TCN13</t>
  </si>
  <si>
    <t>ALDEN SATELITE  S DE RL DE CV</t>
  </si>
  <si>
    <t>D    393</t>
  </si>
  <si>
    <t>0489-TCN13</t>
  </si>
  <si>
    <t>AUTOMOVILES  DINAMICOS S DE RL DE</t>
  </si>
  <si>
    <t>D    399</t>
  </si>
  <si>
    <t>D    402</t>
  </si>
  <si>
    <t>0490-TCN13</t>
  </si>
  <si>
    <t>D    420</t>
  </si>
  <si>
    <t>D    468</t>
  </si>
  <si>
    <t>0491-TCN13</t>
  </si>
  <si>
    <t>D    496</t>
  </si>
  <si>
    <t>COROLLAMZ1</t>
  </si>
  <si>
    <t>LJIMENEZ:MENSUALIDAD COROLLA MARZO</t>
  </si>
  <si>
    <t>0492-TCN13</t>
  </si>
  <si>
    <t>D    642</t>
  </si>
  <si>
    <t>0495-TCN13</t>
  </si>
  <si>
    <t>D    665</t>
  </si>
  <si>
    <t>0496-TCN13</t>
  </si>
  <si>
    <t>D    666</t>
  </si>
  <si>
    <t>0497-TCN13</t>
  </si>
  <si>
    <t>D    669</t>
  </si>
  <si>
    <t>0498-TCN13</t>
  </si>
  <si>
    <t>0499-TCN13</t>
  </si>
  <si>
    <t>0500-TCN13</t>
  </si>
  <si>
    <t>D    677</t>
  </si>
  <si>
    <t>0501-TCN13</t>
  </si>
  <si>
    <t>0502-TCN13</t>
  </si>
  <si>
    <t>D    687</t>
  </si>
  <si>
    <t>AM00000612</t>
  </si>
  <si>
    <t>D    696</t>
  </si>
  <si>
    <t>0503-TCN13</t>
  </si>
  <si>
    <t>CCD.AUTOSALES PUERTO  VALLARTA S  D</t>
  </si>
  <si>
    <t>D    707</t>
  </si>
  <si>
    <t>0493-TCN13</t>
  </si>
  <si>
    <t>D    709</t>
  </si>
  <si>
    <t>0494-TCN13</t>
  </si>
  <si>
    <t>D    711</t>
  </si>
  <si>
    <t>0504-TCN13</t>
  </si>
  <si>
    <t>D    726</t>
  </si>
  <si>
    <t>0505-TCN13</t>
  </si>
  <si>
    <t>CCD. AUTOSALES   PUERTO  VALLARTA</t>
  </si>
  <si>
    <t>D    732</t>
  </si>
  <si>
    <t>0506-TCN13</t>
  </si>
  <si>
    <t>GRUPO  PENNINSULA   MOTORS  S DE RL</t>
  </si>
  <si>
    <t>D    739</t>
  </si>
  <si>
    <t>0507-TCN13</t>
  </si>
  <si>
    <t>AUTOMOVILES DINAMICOS  S  DE RL DE</t>
  </si>
  <si>
    <t>D    767</t>
  </si>
  <si>
    <t>0510-TCN13</t>
  </si>
  <si>
    <t>D    771</t>
  </si>
  <si>
    <t>0511-TCN13</t>
  </si>
  <si>
    <t>VALOR MOTRIZ  S  DE  RL DE  CV</t>
  </si>
  <si>
    <t>D    795</t>
  </si>
  <si>
    <t>0508-TCN13</t>
  </si>
  <si>
    <t>D    800</t>
  </si>
  <si>
    <t>0509-TCN13</t>
  </si>
  <si>
    <t>D    808</t>
  </si>
  <si>
    <t>0512-TCN13</t>
  </si>
  <si>
    <t>D    809</t>
  </si>
  <si>
    <t>0513-TCN13</t>
  </si>
  <si>
    <t>D    811</t>
  </si>
  <si>
    <t>0514-TCN13</t>
  </si>
  <si>
    <t>D    813</t>
  </si>
  <si>
    <t>0515-TCN13</t>
  </si>
  <si>
    <t>0516-TCN13</t>
  </si>
  <si>
    <t>D    818</t>
  </si>
  <si>
    <t>0517-TCN13</t>
  </si>
  <si>
    <t>D    840</t>
  </si>
  <si>
    <t>0518-TCN13</t>
  </si>
  <si>
    <t>D    865</t>
  </si>
  <si>
    <t>0519-TCN13</t>
  </si>
  <si>
    <t>D    955</t>
  </si>
  <si>
    <t>0520-TCN13</t>
  </si>
  <si>
    <t>D    971</t>
  </si>
  <si>
    <t>0521-TCN13</t>
  </si>
  <si>
    <t>0522-TCN13</t>
  </si>
  <si>
    <t>D  1,131</t>
  </si>
  <si>
    <t>0523-TCN13</t>
  </si>
  <si>
    <t>FAME  PERISUR  S DE RL DE  CV</t>
  </si>
  <si>
    <t>D  1,146</t>
  </si>
  <si>
    <t>0525-TCN13</t>
  </si>
  <si>
    <t>ALDEN  SATELITE S DE  RL DE CV</t>
  </si>
  <si>
    <t>D  1,148</t>
  </si>
  <si>
    <t>0524-TCN13</t>
  </si>
  <si>
    <t>ALDEN QUERETARO S DE RLD E CV</t>
  </si>
  <si>
    <t>D  1,153</t>
  </si>
  <si>
    <t>0526-TCN13</t>
  </si>
  <si>
    <t>SAMURAI MOTORS S DE RLD E CV</t>
  </si>
  <si>
    <t>D  1,219</t>
  </si>
  <si>
    <t>0527-TCN13</t>
  </si>
  <si>
    <t>D  1,236</t>
  </si>
  <si>
    <t>0528-TCN13</t>
  </si>
  <si>
    <t>D  1,237</t>
  </si>
  <si>
    <t>0529-TCN13</t>
  </si>
  <si>
    <t>D  1,238</t>
  </si>
  <si>
    <t>0530-TCN13</t>
  </si>
  <si>
    <t>D  1,239</t>
  </si>
  <si>
    <t>0531-TCN13</t>
  </si>
  <si>
    <t>D  1,240</t>
  </si>
  <si>
    <t>0532-TCN13</t>
  </si>
  <si>
    <t>D  1,241</t>
  </si>
  <si>
    <t>0533-TCN13</t>
  </si>
  <si>
    <t>D  1,244</t>
  </si>
  <si>
    <t>0534-TCN13</t>
  </si>
  <si>
    <t>D  1,247</t>
  </si>
  <si>
    <t>0535-TCN13</t>
  </si>
  <si>
    <t>D  1,248</t>
  </si>
  <si>
    <t>0023-TCU13</t>
  </si>
  <si>
    <t>D  1,249</t>
  </si>
  <si>
    <t>0536-TCN13</t>
  </si>
  <si>
    <t>D  1,253</t>
  </si>
  <si>
    <t>0537-TCN13</t>
  </si>
  <si>
    <t>0538-TCN13</t>
  </si>
  <si>
    <t>RECLASIFIC IVA VARIAS FAC</t>
  </si>
  <si>
    <t>D  1,328</t>
  </si>
  <si>
    <t>0539-TCN13</t>
  </si>
  <si>
    <t>D  1,419</t>
  </si>
  <si>
    <t>0540-TCN13</t>
  </si>
  <si>
    <t>D  1,434</t>
  </si>
  <si>
    <t>AM00000642</t>
  </si>
  <si>
    <t>LJIMENEZ:RABELLO</t>
  </si>
  <si>
    <t>D  1,435</t>
  </si>
  <si>
    <t>AM00000647</t>
  </si>
  <si>
    <t>D  1,541</t>
  </si>
  <si>
    <t>RA-23</t>
  </si>
  <si>
    <t>D  1,543</t>
  </si>
  <si>
    <t>RENMAR2013</t>
  </si>
  <si>
    <t>D  1,546</t>
  </si>
  <si>
    <t>0541-TCN13</t>
  </si>
  <si>
    <t>TOYOCOAPA S DE  RL DE CV</t>
  </si>
  <si>
    <t>D  1,551</t>
  </si>
  <si>
    <t>0542-TCN13</t>
  </si>
  <si>
    <t>CALIDAD DE TABASCO S DE RL DE CV</t>
  </si>
  <si>
    <t>D  1,553</t>
  </si>
  <si>
    <t>0543-TCN13</t>
  </si>
  <si>
    <t>0544-TCN13</t>
  </si>
  <si>
    <t>OZ  AUTOMOTRIZ  S DE RL DE CV</t>
  </si>
  <si>
    <t>0545-TCN13</t>
  </si>
  <si>
    <t>PROMOTORA  AUTOMOTRIZ  DE IRAPUATO</t>
  </si>
  <si>
    <t>D  1,667</t>
  </si>
  <si>
    <t>0550-TCN13</t>
  </si>
  <si>
    <t>CCD, AUTOSALES  PUERTO VALLARTA  S</t>
  </si>
  <si>
    <t>0546-TCN13</t>
  </si>
  <si>
    <t>D  1,670</t>
  </si>
  <si>
    <t>0547-TCN13</t>
  </si>
  <si>
    <t>ALECSA  PAHUCA S DE RL DE CV</t>
  </si>
  <si>
    <t>D  1,671</t>
  </si>
  <si>
    <t>0549-TCN13</t>
  </si>
  <si>
    <t>D  1,672</t>
  </si>
  <si>
    <t>0548-TCN13</t>
  </si>
  <si>
    <t>D  1,673</t>
  </si>
  <si>
    <t>OZ  AUTOMOTRIZ  DE GUADLAJARA S DE</t>
  </si>
  <si>
    <t>D  1,730</t>
  </si>
  <si>
    <t>LJIMENEZ:COMISIONES BANCOMER MARZO</t>
  </si>
  <si>
    <t>D  1,738</t>
  </si>
  <si>
    <t>COMISIONES SCOTIABANK MARZO 20</t>
  </si>
  <si>
    <t>D  1,739</t>
  </si>
  <si>
    <t>LJIMENEZ:COMISIONES HSBC MARZO 2013</t>
  </si>
  <si>
    <t>D  1,740</t>
  </si>
  <si>
    <t>COMISIONES BANBAJIO MARZO 2013</t>
  </si>
  <si>
    <t>D  1,741</t>
  </si>
  <si>
    <t>LJIMENEZ:COMISIONES BANORTE MARZO 2</t>
  </si>
  <si>
    <t>COMISIONES SANTANDER MARZO</t>
  </si>
  <si>
    <t>D  1,746</t>
  </si>
  <si>
    <t>COMISIONES BANAMEX MARZO 2013</t>
  </si>
  <si>
    <t>D  1,750</t>
  </si>
  <si>
    <t>A000000631</t>
  </si>
  <si>
    <t>D  1,751</t>
  </si>
  <si>
    <t>D  1,794</t>
  </si>
  <si>
    <t>EMBARQUE92</t>
  </si>
  <si>
    <t>LJIMENEZ:EMBARQUE NUM 92</t>
  </si>
  <si>
    <t>D  1,795</t>
  </si>
  <si>
    <t>EMBARQUE87</t>
  </si>
  <si>
    <t>EMBARQUE NUM 87</t>
  </si>
  <si>
    <t>D  1,796</t>
  </si>
  <si>
    <t>EMBARQUE72</t>
  </si>
  <si>
    <t>EMBARQUE NUM 72</t>
  </si>
  <si>
    <t>D  1,802</t>
  </si>
  <si>
    <t>COMISIONES AMEX MARZO 2013</t>
  </si>
  <si>
    <t>D  1,858</t>
  </si>
  <si>
    <t>0954-TCN12</t>
  </si>
  <si>
    <t>AUTOMOTRIZ OAXACA DE ANTEQUEÑA</t>
  </si>
  <si>
    <t>D  1,859</t>
  </si>
  <si>
    <t>TOYOTA FINANCIAL SERVICES</t>
  </si>
  <si>
    <t>D  1,860</t>
  </si>
  <si>
    <t>0551-TCN13</t>
  </si>
  <si>
    <t>D  1,861</t>
  </si>
  <si>
    <t>0563-TCN13</t>
  </si>
  <si>
    <t>TOYOTA FINANCIAL SERVICES, SA</t>
  </si>
  <si>
    <t>D  1,862</t>
  </si>
  <si>
    <t>0560-TCN13</t>
  </si>
  <si>
    <t>D  1,863</t>
  </si>
  <si>
    <t>P3229</t>
  </si>
  <si>
    <t>TRASLADO MTY VIN DW003324</t>
  </si>
  <si>
    <t>D  1,865</t>
  </si>
  <si>
    <t>P3231</t>
  </si>
  <si>
    <t>TRASLADO INV 0471-TCN13</t>
  </si>
  <si>
    <t>D  1,867</t>
  </si>
  <si>
    <t>P3233</t>
  </si>
  <si>
    <t>OPERADORA OMX SA DE CV</t>
  </si>
  <si>
    <t>D  1,868</t>
  </si>
  <si>
    <t>P3234</t>
  </si>
  <si>
    <t>D  1,869</t>
  </si>
  <si>
    <t>P3235</t>
  </si>
  <si>
    <t>D  1,870</t>
  </si>
  <si>
    <t>P3238</t>
  </si>
  <si>
    <t>D  1,871</t>
  </si>
  <si>
    <t>P3237</t>
  </si>
  <si>
    <t>PT CARLOS ARMANDO SOTO ANGELES</t>
  </si>
  <si>
    <t>D  1,872</t>
  </si>
  <si>
    <t>D  1,874</t>
  </si>
  <si>
    <t>P3240</t>
  </si>
  <si>
    <t>MA DEL RAYO FIGUEROA CORNEJO</t>
  </si>
  <si>
    <t>D  1,875</t>
  </si>
  <si>
    <t>P3241</t>
  </si>
  <si>
    <t>D  1,876</t>
  </si>
  <si>
    <t>P3242</t>
  </si>
  <si>
    <t>PREMIUM RESTAURANT BRANDS S</t>
  </si>
  <si>
    <t>D  1,877</t>
  </si>
  <si>
    <t>P3248</t>
  </si>
  <si>
    <t>COMPLEMENTO INV 0468-TCN 13</t>
  </si>
  <si>
    <t>P3250</t>
  </si>
  <si>
    <t>TRASLADO INV 0475-TCN13</t>
  </si>
  <si>
    <t>P3252</t>
  </si>
  <si>
    <t>TRASLADO INV 0485-TCN13</t>
  </si>
  <si>
    <t>D  1,883</t>
  </si>
  <si>
    <t>P3254</t>
  </si>
  <si>
    <t>INTERCAMBIO INV 0456-TCN13</t>
  </si>
  <si>
    <t>P3256</t>
  </si>
  <si>
    <t>TRASLADO INV 0441-TCN13</t>
  </si>
  <si>
    <t>D  1,887</t>
  </si>
  <si>
    <t>P3258</t>
  </si>
  <si>
    <t>CASETA DE QRO INV 0441-TCN13</t>
  </si>
  <si>
    <t>D  1,889</t>
  </si>
  <si>
    <t>P3260</t>
  </si>
  <si>
    <t>TRASLADO INV 0434-TCN13</t>
  </si>
  <si>
    <t>D  1,893</t>
  </si>
  <si>
    <t>P3264</t>
  </si>
  <si>
    <t>COMPLEMENTO INV 0487-TCN13</t>
  </si>
  <si>
    <t>D  1,896</t>
  </si>
  <si>
    <t>P3268</t>
  </si>
  <si>
    <t>SILICON PARA USO DE REFACCIONE</t>
  </si>
  <si>
    <t>D  1,897</t>
  </si>
  <si>
    <t>P3269</t>
  </si>
  <si>
    <t>CONSUMO DE RABELLO Y PERSONAL</t>
  </si>
  <si>
    <t>P3270</t>
  </si>
  <si>
    <t>MIGUEL ANGEL SUAREZ GONZALEZ</t>
  </si>
  <si>
    <t>D  1,899</t>
  </si>
  <si>
    <t>P3271</t>
  </si>
  <si>
    <t>D  1,900</t>
  </si>
  <si>
    <t>P3272</t>
  </si>
  <si>
    <t>SALVADOR ALEJHANDRO RODRIGUEZ</t>
  </si>
  <si>
    <t>D  1,901</t>
  </si>
  <si>
    <t>P3273</t>
  </si>
  <si>
    <t>D  1,902</t>
  </si>
  <si>
    <t>P3274</t>
  </si>
  <si>
    <t>D  1,903</t>
  </si>
  <si>
    <t>P3275</t>
  </si>
  <si>
    <t>D  1,904</t>
  </si>
  <si>
    <t>P3276</t>
  </si>
  <si>
    <t>D  1,905</t>
  </si>
  <si>
    <t>P3277</t>
  </si>
  <si>
    <t>D  1,906</t>
  </si>
  <si>
    <t>P3278</t>
  </si>
  <si>
    <t>D  1,907</t>
  </si>
  <si>
    <t>P3279</t>
  </si>
  <si>
    <t>OPERADORA DE ALIMENTOS CVS SA</t>
  </si>
  <si>
    <t>D  1,908</t>
  </si>
  <si>
    <t>P3280</t>
  </si>
  <si>
    <t>DEA  GARCIA</t>
  </si>
  <si>
    <t>D  1,909</t>
  </si>
  <si>
    <t>P3290</t>
  </si>
  <si>
    <t>D  1,910</t>
  </si>
  <si>
    <t>P3291</t>
  </si>
  <si>
    <t>MA CARMEN ALONSO DERRAMADERO</t>
  </si>
  <si>
    <t>P3296</t>
  </si>
  <si>
    <t>D  1,920</t>
  </si>
  <si>
    <t>P3401</t>
  </si>
  <si>
    <t>TRASLADO DE MEXICO DE RAV 4</t>
  </si>
  <si>
    <t>P3403</t>
  </si>
  <si>
    <t>TRASLADO INV 0447-TCN13</t>
  </si>
  <si>
    <t>P3405</t>
  </si>
  <si>
    <t>TRASLADO INV 0518-TCN13</t>
  </si>
  <si>
    <t>P3408</t>
  </si>
  <si>
    <t>P3409</t>
  </si>
  <si>
    <t>TRASLADO PTO VALLARTA 0503-TCN</t>
  </si>
  <si>
    <t>P3411</t>
  </si>
  <si>
    <t>TRASLADO INV 0525-TCN13</t>
  </si>
  <si>
    <t>D  1,932</t>
  </si>
  <si>
    <t>P3418</t>
  </si>
  <si>
    <t>TRASLADO DE INV 0523-TCN13</t>
  </si>
  <si>
    <t>D  1,934</t>
  </si>
  <si>
    <t>P3420</t>
  </si>
  <si>
    <t>TRASLADO INV 0489-TCN13</t>
  </si>
  <si>
    <t>D  1,936</t>
  </si>
  <si>
    <t>P3422</t>
  </si>
  <si>
    <t>TRASLADO INV 0481-TCN13</t>
  </si>
  <si>
    <t>P3424</t>
  </si>
  <si>
    <t>TRASLASO INV 0506-TCN13</t>
  </si>
  <si>
    <t>P3426</t>
  </si>
  <si>
    <t>INTERCAMBIO DE CELAYA A TEPIC</t>
  </si>
  <si>
    <t>P3427</t>
  </si>
  <si>
    <t>TRASLADO INV 0519-TCN13</t>
  </si>
  <si>
    <t>D  1,943</t>
  </si>
  <si>
    <t>P3429</t>
  </si>
  <si>
    <t>OFFICE DEPOT DE MEXICO SA</t>
  </si>
  <si>
    <t>P3430</t>
  </si>
  <si>
    <t>KARINA DE LA CRUZ ORTIZ</t>
  </si>
  <si>
    <t>D  1,945</t>
  </si>
  <si>
    <t>P3431</t>
  </si>
  <si>
    <t>SERVICIO VULCANIZADO DE LLANTA</t>
  </si>
  <si>
    <t>P3432</t>
  </si>
  <si>
    <t>SALVADOR ALEJANDRO RODRIGUEZ M</t>
  </si>
  <si>
    <t>P3433</t>
  </si>
  <si>
    <t>P3434</t>
  </si>
  <si>
    <t>P3435</t>
  </si>
  <si>
    <t>LJIMENEZ:TRANSPORTE DE CARGA TRESGU</t>
  </si>
  <si>
    <t>P3439</t>
  </si>
  <si>
    <t>P3441</t>
  </si>
  <si>
    <t>P3447</t>
  </si>
  <si>
    <t>P3451</t>
  </si>
  <si>
    <t>D  1,966</t>
  </si>
  <si>
    <t>P3454</t>
  </si>
  <si>
    <t>AUDATEX LTN S DE RL DE CV</t>
  </si>
  <si>
    <t>P3455</t>
  </si>
  <si>
    <t>AUDATEX LTN S DE RL</t>
  </si>
  <si>
    <t>P3456</t>
  </si>
  <si>
    <t>P3457</t>
  </si>
  <si>
    <t>P3458</t>
  </si>
  <si>
    <t>P3459</t>
  </si>
  <si>
    <t>P3461</t>
  </si>
  <si>
    <t>MAURO LOPEZ MUÑOZ</t>
  </si>
  <si>
    <t>P3463</t>
  </si>
  <si>
    <t>P3464</t>
  </si>
  <si>
    <t>D  1,980</t>
  </si>
  <si>
    <t>P3468</t>
  </si>
  <si>
    <t>PRIME TACOS PAMPAS SA DE CV</t>
  </si>
  <si>
    <t>D  1,981</t>
  </si>
  <si>
    <t>P3469</t>
  </si>
  <si>
    <t>OFFICE DEPOT MEXICO SA DE CV</t>
  </si>
  <si>
    <t>P3470</t>
  </si>
  <si>
    <t>CASETAS DE GERENCIA MARZO 2013</t>
  </si>
  <si>
    <t>D  1,983</t>
  </si>
  <si>
    <t>R0580</t>
  </si>
  <si>
    <t>QUEZADA BRISEÑO RAFAEL</t>
  </si>
  <si>
    <t>D  1,984</t>
  </si>
  <si>
    <t>R0584</t>
  </si>
  <si>
    <t>R0586</t>
  </si>
  <si>
    <t>D  1,986</t>
  </si>
  <si>
    <t>R0587</t>
  </si>
  <si>
    <t>CENTRO DE DISTRIBUCION DE ORIE</t>
  </si>
  <si>
    <t>R0610</t>
  </si>
  <si>
    <t>CORTAZAR CASTAÑON GUILLERMO</t>
  </si>
  <si>
    <t>R0602</t>
  </si>
  <si>
    <t>LUBRICANTES DEL BAJIO SA</t>
  </si>
  <si>
    <t>D  1,989</t>
  </si>
  <si>
    <t>S0466</t>
  </si>
  <si>
    <t>ORTEGA PALACIOS DOLORES GRACIE</t>
  </si>
  <si>
    <t>R0607</t>
  </si>
  <si>
    <t>LJIMENEZ:VIATICOS CURSO 11/03/13 15</t>
  </si>
  <si>
    <t>LJIMENEZ:VIATICOS 12 AL 15 DE MARZO</t>
  </si>
  <si>
    <t>LJIMENEZ:VIATICOS DEL 04 AL 8 DE MA</t>
  </si>
  <si>
    <t>VIATICOS SLP 10 AL 13 MARZO 20</t>
  </si>
  <si>
    <t>VIATICOS CURSO SLP 11 AL 13 MA</t>
  </si>
  <si>
    <t>D  1,996</t>
  </si>
  <si>
    <t>VIATICOS DEL 19 AL 22 DE MARZO</t>
  </si>
  <si>
    <t>CH-12252</t>
  </si>
  <si>
    <t>PAGO DE UNIDADES EDO CTA</t>
  </si>
  <si>
    <t>AO-0000330</t>
  </si>
  <si>
    <t>CH-12201</t>
  </si>
  <si>
    <t>E      4</t>
  </si>
  <si>
    <t>CH-12202</t>
  </si>
  <si>
    <t>E      5</t>
  </si>
  <si>
    <t>CH-12203</t>
  </si>
  <si>
    <t>CH-12204</t>
  </si>
  <si>
    <t>COLOR TRASH S DE RL DE CV</t>
  </si>
  <si>
    <t>E      9</t>
  </si>
  <si>
    <t>CH-12206</t>
  </si>
  <si>
    <t>CH-12213</t>
  </si>
  <si>
    <t>E     21</t>
  </si>
  <si>
    <t>CH-12214</t>
  </si>
  <si>
    <t>E     22</t>
  </si>
  <si>
    <t>CH-12215</t>
  </si>
  <si>
    <t>E     23</t>
  </si>
  <si>
    <t>CH-12216</t>
  </si>
  <si>
    <t>REDPACK, S.A. DE C.V.</t>
  </si>
  <si>
    <t>CH-12218</t>
  </si>
  <si>
    <t>CH-12219</t>
  </si>
  <si>
    <t>CH-12220</t>
  </si>
  <si>
    <t>E     28</t>
  </si>
  <si>
    <t>CH-12221</t>
  </si>
  <si>
    <t>CH-12225</t>
  </si>
  <si>
    <t>CH-12229</t>
  </si>
  <si>
    <t>CH-12230</t>
  </si>
  <si>
    <t>E     42</t>
  </si>
  <si>
    <t>CH-12231</t>
  </si>
  <si>
    <t>CH-12245</t>
  </si>
  <si>
    <t>T-465</t>
  </si>
  <si>
    <t>T-261</t>
  </si>
  <si>
    <t>T-466</t>
  </si>
  <si>
    <t>MHMG ABOGADOS SC</t>
  </si>
  <si>
    <t>T-467</t>
  </si>
  <si>
    <t>T-468</t>
  </si>
  <si>
    <t>T-470</t>
  </si>
  <si>
    <t>T-471</t>
  </si>
  <si>
    <t>T-472</t>
  </si>
  <si>
    <t>E     72</t>
  </si>
  <si>
    <t>T-473</t>
  </si>
  <si>
    <t>E     74</t>
  </si>
  <si>
    <t>T-475</t>
  </si>
  <si>
    <t>E     75</t>
  </si>
  <si>
    <t>T-476</t>
  </si>
  <si>
    <t>E     76</t>
  </si>
  <si>
    <t>T-477</t>
  </si>
  <si>
    <t>T-478</t>
  </si>
  <si>
    <t>T-262</t>
  </si>
  <si>
    <t>T-479</t>
  </si>
  <si>
    <t>T-480</t>
  </si>
  <si>
    <t>T-481</t>
  </si>
  <si>
    <t>CH-12255</t>
  </si>
  <si>
    <t>CH-12259</t>
  </si>
  <si>
    <t>CH-12265</t>
  </si>
  <si>
    <t>LJIMENEZ:GUZMAN LACUNZA GABRIELA TE</t>
  </si>
  <si>
    <t>E    105</t>
  </si>
  <si>
    <t>CH-12266</t>
  </si>
  <si>
    <t>BAJA: MARTINEZ SUAREZ SANTOS</t>
  </si>
  <si>
    <t>CH-12270</t>
  </si>
  <si>
    <t>CH-313</t>
  </si>
  <si>
    <t>CH-314</t>
  </si>
  <si>
    <t>CH-12271</t>
  </si>
  <si>
    <t>CH-12274</t>
  </si>
  <si>
    <t>CH-12275</t>
  </si>
  <si>
    <t>CH-12280</t>
  </si>
  <si>
    <t>E    134</t>
  </si>
  <si>
    <t>T-484</t>
  </si>
  <si>
    <t>E    145</t>
  </si>
  <si>
    <t>CH-12284</t>
  </si>
  <si>
    <t>E    146</t>
  </si>
  <si>
    <t>CH-12285</t>
  </si>
  <si>
    <t>E    154</t>
  </si>
  <si>
    <t>CH-12291</t>
  </si>
  <si>
    <t>E    157</t>
  </si>
  <si>
    <t>CH-12294</t>
  </si>
  <si>
    <t>CH-12296</t>
  </si>
  <si>
    <t>RAMIREZ PATIÑO ALFREDO</t>
  </si>
  <si>
    <t>E    160</t>
  </si>
  <si>
    <t>CH-12297</t>
  </si>
  <si>
    <t>E    161</t>
  </si>
  <si>
    <t>CH-12298</t>
  </si>
  <si>
    <t>CH-12299</t>
  </si>
  <si>
    <t>E    163</t>
  </si>
  <si>
    <t>CH-12300</t>
  </si>
  <si>
    <t>E    164</t>
  </si>
  <si>
    <t>CH-12301</t>
  </si>
  <si>
    <t>E    165</t>
  </si>
  <si>
    <t>CH-12302</t>
  </si>
  <si>
    <t>E    170</t>
  </si>
  <si>
    <t>CH-12306</t>
  </si>
  <si>
    <t>CH-12308</t>
  </si>
  <si>
    <t>CH-12309</t>
  </si>
  <si>
    <t>E    174</t>
  </si>
  <si>
    <t>CH-12347</t>
  </si>
  <si>
    <t>E    175</t>
  </si>
  <si>
    <t>CH-12348</t>
  </si>
  <si>
    <t>T-263</t>
  </si>
  <si>
    <t>T-485</t>
  </si>
  <si>
    <t>T-486</t>
  </si>
  <si>
    <t>T-487</t>
  </si>
  <si>
    <t>T-488</t>
  </si>
  <si>
    <t>T-264</t>
  </si>
  <si>
    <t>T-489</t>
  </si>
  <si>
    <t>T-490</t>
  </si>
  <si>
    <t>T-491</t>
  </si>
  <si>
    <t>T-492</t>
  </si>
  <si>
    <t>E    188</t>
  </si>
  <si>
    <t>T-493</t>
  </si>
  <si>
    <t>T-494</t>
  </si>
  <si>
    <t>T-495</t>
  </si>
  <si>
    <t>T-265</t>
  </si>
  <si>
    <t>LJIMENEZ:IONDUSTRIA DISEÑADORA DE A</t>
  </si>
  <si>
    <t>T-496</t>
  </si>
  <si>
    <t>CH-12334</t>
  </si>
  <si>
    <t>CH-12337</t>
  </si>
  <si>
    <t>CH-12335</t>
  </si>
  <si>
    <t>CH-12333</t>
  </si>
  <si>
    <t>E    211</t>
  </si>
  <si>
    <t>T-497</t>
  </si>
  <si>
    <t>T-498</t>
  </si>
  <si>
    <t>T-499</t>
  </si>
  <si>
    <t>GRUPO ECOLOGICA SA DE CV</t>
  </si>
  <si>
    <t>T-500</t>
  </si>
  <si>
    <t>T-501</t>
  </si>
  <si>
    <t>IMPREFIN DEL CENTRO, SA DE CV</t>
  </si>
  <si>
    <t>T-266</t>
  </si>
  <si>
    <t>T-502</t>
  </si>
  <si>
    <t>T-503</t>
  </si>
  <si>
    <t>T-267</t>
  </si>
  <si>
    <t>E    221</t>
  </si>
  <si>
    <t>T-268</t>
  </si>
  <si>
    <t>E    222</t>
  </si>
  <si>
    <t>T-504</t>
  </si>
  <si>
    <t>CH-12235</t>
  </si>
  <si>
    <t>SNAP-ON SUN DE MEXICO SA DE CV</t>
  </si>
  <si>
    <t>T-274</t>
  </si>
  <si>
    <t>CH 12205</t>
  </si>
  <si>
    <t>LJIMENEZ:COLOR TRASCH S DE RL DE CV</t>
  </si>
  <si>
    <t>CH-12253</t>
  </si>
  <si>
    <t>E    233</t>
  </si>
  <si>
    <t>CH-12332</t>
  </si>
  <si>
    <t>PAGO REFACCIONES FEBRERO 2013</t>
  </si>
  <si>
    <t>ASA020131VB9</t>
  </si>
  <si>
    <t xml:space="preserve">ALEJANDRO LOPEZ NEGRETE </t>
  </si>
  <si>
    <t>ALT030210LV9</t>
  </si>
  <si>
    <t xml:space="preserve">BAJA </t>
  </si>
  <si>
    <t>BAJA</t>
  </si>
  <si>
    <t>BANBAJIO SA</t>
  </si>
  <si>
    <t>PFC070702T45</t>
  </si>
  <si>
    <t xml:space="preserve">POLLO FELIZ DEL CENTRO SA DE CV </t>
  </si>
  <si>
    <t>MARIA DEL ROSARIO CONDE SALINAS</t>
  </si>
  <si>
    <t xml:space="preserve">ESTACIONES DE SERVICIO SA DE CV </t>
  </si>
  <si>
    <t>GQL941129CY5</t>
  </si>
  <si>
    <t xml:space="preserve">GRUPO QL SA DE CV </t>
  </si>
  <si>
    <t>PBA0511077F9</t>
  </si>
  <si>
    <t>PAPELSA BAJIO SA DE CV</t>
  </si>
  <si>
    <t>RSS030218A6A</t>
  </si>
  <si>
    <t xml:space="preserve">RESTAURANTE SUNTORY SANTA FE </t>
  </si>
  <si>
    <t>PNA1011036G2</t>
  </si>
  <si>
    <t xml:space="preserve">PROCESADOS NAPOLES S DE RL DE CV </t>
  </si>
  <si>
    <t>GPM080609PV6</t>
  </si>
  <si>
    <t>MAYDE GUADALUPE DE LIRA ORNELAS</t>
  </si>
  <si>
    <t>OPR950131151</t>
  </si>
  <si>
    <t xml:space="preserve">OURO PRETO SA DE CV </t>
  </si>
  <si>
    <t xml:space="preserve">JUNTA MUNICIPAL DE AGUA POTABLE Y ALCANTARILLADO </t>
  </si>
  <si>
    <t>CUOK8307059V2</t>
  </si>
  <si>
    <t xml:space="preserve">KARINA DE LA CRUZ ORTIZ </t>
  </si>
  <si>
    <t>COL0906014V0</t>
  </si>
  <si>
    <t>GULG640324QS</t>
  </si>
  <si>
    <t>ACT6808066SA</t>
  </si>
  <si>
    <t>TRANSPORTE DE CARGA TRES GUERRAS SA DE CV</t>
  </si>
  <si>
    <t>ODO910311U70</t>
  </si>
  <si>
    <t xml:space="preserve">ORGANIZACIÓN DOT SA DE CV </t>
  </si>
  <si>
    <t xml:space="preserve">UNION F Y M SA DE CV </t>
  </si>
  <si>
    <t>LBA880808D36</t>
  </si>
  <si>
    <t>LUBRICANTES DEL BAJIO SA DE CV</t>
  </si>
  <si>
    <t>AODC5608069F9</t>
  </si>
  <si>
    <t>FICR750321LL4</t>
  </si>
  <si>
    <t>LOMM631121C79</t>
  </si>
  <si>
    <t>MNI040607T43</t>
  </si>
  <si>
    <t>MAB070816NS7</t>
  </si>
  <si>
    <t>SUGM7107073V5</t>
  </si>
  <si>
    <t xml:space="preserve">OFFICE DEPOT DE MEXICO SA DE CV </t>
  </si>
  <si>
    <t>OOM960429832</t>
  </si>
  <si>
    <t xml:space="preserve">OPERADORA OMX SA DE CV </t>
  </si>
  <si>
    <t>OEPD810402991</t>
  </si>
  <si>
    <t>PTP110816P15</t>
  </si>
  <si>
    <t>QUBR610825FX9</t>
  </si>
  <si>
    <t>RAPA8110163Z0</t>
  </si>
  <si>
    <t>ROMS530216186</t>
  </si>
  <si>
    <t xml:space="preserve">BALEROS Y RETENES SUAREZ SA DE CV </t>
  </si>
  <si>
    <t>SOS970108CW1</t>
  </si>
  <si>
    <t>VMO030707273</t>
  </si>
  <si>
    <t>VAOJ830225NT8</t>
  </si>
  <si>
    <t xml:space="preserve">JUAN FRANCISCO VAZQUEZ OCEJO </t>
  </si>
  <si>
    <t>DAT110318S98</t>
  </si>
  <si>
    <t xml:space="preserve">DISTRIBUIDORA DE ALIMENTOS TH SA DE CV </t>
  </si>
  <si>
    <t>SSL000704968</t>
  </si>
  <si>
    <t xml:space="preserve">STAR SAN LUIS SA DE CV </t>
  </si>
  <si>
    <t>ESL9811129X8</t>
  </si>
  <si>
    <t>EUROGAS SAN LUIS SA DE CV</t>
  </si>
  <si>
    <t>OFC001010JD5</t>
  </si>
  <si>
    <t xml:space="preserve">OPERADORA Y FRANQUICIAS DEL CENTRO SA DE CV </t>
  </si>
  <si>
    <t>OPERDAORA Y FRANQUICIAS DEL CENTRO</t>
  </si>
  <si>
    <t>ITE041005I82</t>
  </si>
  <si>
    <t xml:space="preserve">INMOBILIARIA TURISTICA SA DE CV </t>
  </si>
  <si>
    <t>OGA0404222R6</t>
  </si>
  <si>
    <t xml:space="preserve">OPERADORA GASTRONOMICA ABDI ,SA DE CV </t>
  </si>
  <si>
    <t>SCA850730KW8</t>
  </si>
  <si>
    <t xml:space="preserve">SUPER CHALITA SA DE CV </t>
  </si>
  <si>
    <t>ALIMENTARIA C</t>
  </si>
  <si>
    <t>GTO051103HL8</t>
  </si>
  <si>
    <t xml:space="preserve">GASOLINERA TOCUILA SA DE CV </t>
  </si>
  <si>
    <t>D  1,928</t>
  </si>
  <si>
    <t>SGG931011MF4</t>
  </si>
  <si>
    <t xml:space="preserve">SUPER GASOLINERA GUERRERO SA DE CV </t>
  </si>
  <si>
    <t>SSA601206S84</t>
  </si>
  <si>
    <t xml:space="preserve">SERVICIO SAN ANGEL SA DE CV </t>
  </si>
  <si>
    <t>SUL601206R87</t>
  </si>
  <si>
    <t xml:space="preserve">SERVICIO ULTRAMODERNO SA DE CV </t>
  </si>
  <si>
    <t>MIAJ571230CN4</t>
  </si>
  <si>
    <t xml:space="preserve">JUAN MANUEL MIRAMONTES  ARTEAGA </t>
  </si>
  <si>
    <t>LOMG671030QG1</t>
  </si>
  <si>
    <t>LOPEZ MONTES GUADALUPE</t>
  </si>
  <si>
    <t>MEGC5108071A0</t>
  </si>
  <si>
    <t>JOSE CELESTINO REINALDO MENDOZA GONZALEZ</t>
  </si>
  <si>
    <t>ESTACIONES DE SERVICIO SA DE CV</t>
  </si>
  <si>
    <t>GAS010424IDA</t>
  </si>
  <si>
    <t xml:space="preserve">GASOLUB SA DE CV </t>
  </si>
  <si>
    <t>GFE9707075U3</t>
  </si>
  <si>
    <t xml:space="preserve">GRUPO FERCHE SA DE CV </t>
  </si>
  <si>
    <t>SGS020508BT8</t>
  </si>
  <si>
    <t xml:space="preserve">SERVICIOS GASOLINEROS SAN CARLOS SA DE CV </t>
  </si>
  <si>
    <t>RATL7404121R6</t>
  </si>
  <si>
    <t>LAURA LIDIA RANGEL TORRES</t>
  </si>
  <si>
    <t>RORE680610G27</t>
  </si>
  <si>
    <t>ELIZABETH ROJAS RICO</t>
  </si>
  <si>
    <t>D     40</t>
  </si>
  <si>
    <t>D     44</t>
  </si>
  <si>
    <t>0552-TCN13</t>
  </si>
  <si>
    <t>D     46</t>
  </si>
  <si>
    <t>0553-TCN13</t>
  </si>
  <si>
    <t>D     47</t>
  </si>
  <si>
    <t>0554-TCN13</t>
  </si>
  <si>
    <t>D     48</t>
  </si>
  <si>
    <t>0555-TCN13</t>
  </si>
  <si>
    <t>D     49</t>
  </si>
  <si>
    <t>0556-TCN13</t>
  </si>
  <si>
    <t>D     50</t>
  </si>
  <si>
    <t>0557-TCN13</t>
  </si>
  <si>
    <t>D     51</t>
  </si>
  <si>
    <t>0558-TCN13</t>
  </si>
  <si>
    <t>D     52</t>
  </si>
  <si>
    <t>0561-TCN13</t>
  </si>
  <si>
    <t>D     54</t>
  </si>
  <si>
    <t>0562-TCN13</t>
  </si>
  <si>
    <t>D     65</t>
  </si>
  <si>
    <t>0330-TCN13</t>
  </si>
  <si>
    <t>D     66</t>
  </si>
  <si>
    <t>0236-TCN13</t>
  </si>
  <si>
    <t>D     69</t>
  </si>
  <si>
    <t>0956-TCN12</t>
  </si>
  <si>
    <t>D    112</t>
  </si>
  <si>
    <t>COROLLAABR</t>
  </si>
  <si>
    <t>LJIMENEZ:MENSUALIDAD COROLLA ABRIL</t>
  </si>
  <si>
    <t>0565-TCN13</t>
  </si>
  <si>
    <t>DALTON AUTOMOTORES  S DE RL DE CV</t>
  </si>
  <si>
    <t>D    505</t>
  </si>
  <si>
    <t>0957-TCN12</t>
  </si>
  <si>
    <t>PROMOTORA AUTOMOTRIZ  DE SANTA FE</t>
  </si>
  <si>
    <t>BAJA:TOYOTA FINANCIAL SERVICES</t>
  </si>
  <si>
    <t>D    560</t>
  </si>
  <si>
    <t>D    725</t>
  </si>
  <si>
    <t>0959-TCN12</t>
  </si>
  <si>
    <t>PROMOTORA  AUTOMOTRIZ DE  SANTA FE</t>
  </si>
  <si>
    <t>D    768</t>
  </si>
  <si>
    <t>0566-TCN13</t>
  </si>
  <si>
    <t>D    847</t>
  </si>
  <si>
    <t>VIATICOS 31/03/13 AL 03/04/13</t>
  </si>
  <si>
    <t>D    848</t>
  </si>
  <si>
    <t>VIATICOS SLP 31/03/13 03/04/13</t>
  </si>
  <si>
    <t>0567-TCN13</t>
  </si>
  <si>
    <t>D    914</t>
  </si>
  <si>
    <t>MENSUACAMR</t>
  </si>
  <si>
    <t>LJIMENEZ:MENSUALIDAD CAMRY 15/24</t>
  </si>
  <si>
    <t>D    922</t>
  </si>
  <si>
    <t>0568-TCN13</t>
  </si>
  <si>
    <t>D    926</t>
  </si>
  <si>
    <t>0569-TCN13</t>
  </si>
  <si>
    <t>D    933</t>
  </si>
  <si>
    <t>0574-TCN13</t>
  </si>
  <si>
    <t>D    936</t>
  </si>
  <si>
    <t>0961-TCN12</t>
  </si>
  <si>
    <t>TOYOMOTORS DE POLANCO  S DE RL DE C</t>
  </si>
  <si>
    <t>D    940</t>
  </si>
  <si>
    <t>0570-TCN13</t>
  </si>
  <si>
    <t>0572-TCN13</t>
  </si>
  <si>
    <t>D    958</t>
  </si>
  <si>
    <t>0571-TCN13</t>
  </si>
  <si>
    <t>D  1,036</t>
  </si>
  <si>
    <t>0575-TCN13</t>
  </si>
  <si>
    <t>0576-TCN13</t>
  </si>
  <si>
    <t>D  1,043</t>
  </si>
  <si>
    <t>0577-TCN13</t>
  </si>
  <si>
    <t>D  1,044</t>
  </si>
  <si>
    <t>0578-TCN13</t>
  </si>
  <si>
    <t>D  1,045</t>
  </si>
  <si>
    <t>0579-TCN13</t>
  </si>
  <si>
    <t>D  1,046</t>
  </si>
  <si>
    <t>0580-TCN13</t>
  </si>
  <si>
    <t>D  1,048</t>
  </si>
  <si>
    <t>0581-TCN13</t>
  </si>
  <si>
    <t>D  1,049</t>
  </si>
  <si>
    <t>0582-TCN13</t>
  </si>
  <si>
    <t>D  1,050</t>
  </si>
  <si>
    <t>0583-TCN13</t>
  </si>
  <si>
    <t>D  1,051</t>
  </si>
  <si>
    <t>0584-TCN13</t>
  </si>
  <si>
    <t>D  1,074</t>
  </si>
  <si>
    <t>D  1,143</t>
  </si>
  <si>
    <t>0585-TCN13</t>
  </si>
  <si>
    <t>CEVER LOMAS VERDES S DE RL DE  CV</t>
  </si>
  <si>
    <t>D  1,193</t>
  </si>
  <si>
    <t>0586-TCN13</t>
  </si>
  <si>
    <t>D  1,209</t>
  </si>
  <si>
    <t>0587-TCN13</t>
  </si>
  <si>
    <t>DURANGO AUTOMOTORES S DE RL DE CV</t>
  </si>
  <si>
    <t>D  1,217</t>
  </si>
  <si>
    <t>0588-TCN13</t>
  </si>
  <si>
    <t>D  1,218</t>
  </si>
  <si>
    <t>0589-TCN13</t>
  </si>
  <si>
    <t>D  1,301</t>
  </si>
  <si>
    <t>0590-TCN13</t>
  </si>
  <si>
    <t>ALECSA  PACHUCA  S DE RL DE  CV</t>
  </si>
  <si>
    <t>D  1,335</t>
  </si>
  <si>
    <t>AR00008316</t>
  </si>
  <si>
    <t>0591-TCN13</t>
  </si>
  <si>
    <t>0592-TCN13</t>
  </si>
  <si>
    <t>D  1,631</t>
  </si>
  <si>
    <t>CCD. AUTOSALES  PUERTO VALLARTA</t>
  </si>
  <si>
    <t>D  1,687</t>
  </si>
  <si>
    <t>AM00000673</t>
  </si>
  <si>
    <t>D  1,689</t>
  </si>
  <si>
    <t>AM00000677</t>
  </si>
  <si>
    <t>D  1,691</t>
  </si>
  <si>
    <t>AM00000682</t>
  </si>
  <si>
    <t>D  1,702</t>
  </si>
  <si>
    <t>0593-TCN13</t>
  </si>
  <si>
    <t>D  1,708</t>
  </si>
  <si>
    <t>0594-TCN13</t>
  </si>
  <si>
    <t>D  1,713</t>
  </si>
  <si>
    <t>0595-TCN13</t>
  </si>
  <si>
    <t>D  1,717</t>
  </si>
  <si>
    <t>0596-TCN13</t>
  </si>
  <si>
    <t>D  1,719</t>
  </si>
  <si>
    <t>0597-TCN13</t>
  </si>
  <si>
    <t>D  1,720</t>
  </si>
  <si>
    <t>0598-TCN13</t>
  </si>
  <si>
    <t>D  1,721</t>
  </si>
  <si>
    <t>0599-TCN13</t>
  </si>
  <si>
    <t>D  1,728</t>
  </si>
  <si>
    <t>0600-TCN13</t>
  </si>
  <si>
    <t>D  1,731</t>
  </si>
  <si>
    <t>0601-TCN13</t>
  </si>
  <si>
    <t>D  1,734</t>
  </si>
  <si>
    <t>0602-TCN13</t>
  </si>
  <si>
    <t>D  1,767</t>
  </si>
  <si>
    <t>0603-TCN13</t>
  </si>
  <si>
    <t>D  1,824</t>
  </si>
  <si>
    <t>0604-TCN13</t>
  </si>
  <si>
    <t>D  1,835</t>
  </si>
  <si>
    <t>0605-TCN13</t>
  </si>
  <si>
    <t>UNITED AUTO DE AGUASCALIENTES DE RL</t>
  </si>
  <si>
    <t>D  1,846</t>
  </si>
  <si>
    <t>0606-TCN13</t>
  </si>
  <si>
    <t>ALECSA PACHUCA S DE RL DE CV</t>
  </si>
  <si>
    <t>0607-TCN13</t>
  </si>
  <si>
    <t>0608-TCN13</t>
  </si>
  <si>
    <t>0609-TCN13</t>
  </si>
  <si>
    <t>DALTON AUTOMOTRIZ S  DE RL DE CV</t>
  </si>
  <si>
    <t>0610-TCN13</t>
  </si>
  <si>
    <t>D  1,912</t>
  </si>
  <si>
    <t>0611-TCN13</t>
  </si>
  <si>
    <t>D  1,918</t>
  </si>
  <si>
    <t>0612-TCN13</t>
  </si>
  <si>
    <t>AR*53</t>
  </si>
  <si>
    <t>ABRIL02013</t>
  </si>
  <si>
    <t>CH-12473</t>
  </si>
  <si>
    <t>PAGO DE RECACCIONES MARZO 2013</t>
  </si>
  <si>
    <t>COMISIONES HSBC ABRIL 2013</t>
  </si>
  <si>
    <t>COMISIONES BANBAJIO ABRIL</t>
  </si>
  <si>
    <t>COMISIONES BANORTE MES ABRIL</t>
  </si>
  <si>
    <t>COMISIONES ABRIL SANTANDER</t>
  </si>
  <si>
    <t>COMISIONES BANAMEX ABRIL</t>
  </si>
  <si>
    <t>LJIMENEZ:COMISIONES BANCOMER ABRIL</t>
  </si>
  <si>
    <t>EMBARQ 123</t>
  </si>
  <si>
    <t>EMBARQUE NUM 123 0127U/12</t>
  </si>
  <si>
    <t>EMBAR 113</t>
  </si>
  <si>
    <t>EMBARQUE 113</t>
  </si>
  <si>
    <t>COMISIONES AMEX ABRIL 2013</t>
  </si>
  <si>
    <t>D  2,024</t>
  </si>
  <si>
    <t>VIATICOS SLP 15 AL 17 ABRIL 20</t>
  </si>
  <si>
    <t>D  2,025</t>
  </si>
  <si>
    <t>VIATICOS CURSO 7 AL 13 ABRIL 2</t>
  </si>
  <si>
    <t>D  2,026</t>
  </si>
  <si>
    <t>VIATICOS DESARROLLO GEREN 9 Y</t>
  </si>
  <si>
    <t>D12255</t>
  </si>
  <si>
    <t>LICENCIA DE INF MARZO 2013</t>
  </si>
  <si>
    <t>P3486</t>
  </si>
  <si>
    <t>P3487</t>
  </si>
  <si>
    <t>P3488</t>
  </si>
  <si>
    <t>J. JUAN FELIPE ARVIZU MANCERA</t>
  </si>
  <si>
    <t>P3489</t>
  </si>
  <si>
    <t>D  2,064</t>
  </si>
  <si>
    <t>P3492</t>
  </si>
  <si>
    <t>P3494</t>
  </si>
  <si>
    <t>P3495</t>
  </si>
  <si>
    <t>P3497</t>
  </si>
  <si>
    <t>P3500</t>
  </si>
  <si>
    <t>TRASLADO INV 0543-TCN13</t>
  </si>
  <si>
    <t>P3602</t>
  </si>
  <si>
    <t>TRASLADO IRAPUATO INV 0223-TCN</t>
  </si>
  <si>
    <t>P3603</t>
  </si>
  <si>
    <t>LJIMENEZ:TRASLADO MEX INV 0545-TCN1</t>
  </si>
  <si>
    <t>P3605</t>
  </si>
  <si>
    <t>TRASLADO INV 0507-TCN13</t>
  </si>
  <si>
    <t>D  2,077</t>
  </si>
  <si>
    <t>P3607</t>
  </si>
  <si>
    <t>TRASLADO OAXACA INV 0954-TCN12</t>
  </si>
  <si>
    <t>P3609</t>
  </si>
  <si>
    <t>TRASLADO INV 0542-TCN13</t>
  </si>
  <si>
    <t>P3611</t>
  </si>
  <si>
    <t>TRASLADO INV 0526-TCN13</t>
  </si>
  <si>
    <t>P3621</t>
  </si>
  <si>
    <t>D  2,084</t>
  </si>
  <si>
    <t>P3630</t>
  </si>
  <si>
    <t>TRASLADO INV 0565-TCN13</t>
  </si>
  <si>
    <t>D  2,086</t>
  </si>
  <si>
    <t>P3632</t>
  </si>
  <si>
    <t>TRASLADO INV 0567-TCN13</t>
  </si>
  <si>
    <t>D  2,088</t>
  </si>
  <si>
    <t>P3634</t>
  </si>
  <si>
    <t>D  2,089</t>
  </si>
  <si>
    <t>P3635</t>
  </si>
  <si>
    <t>D  2,090</t>
  </si>
  <si>
    <t>P3636</t>
  </si>
  <si>
    <t>HOME DEPOT MEXICO S DE RL DE C</t>
  </si>
  <si>
    <t>D  2,091</t>
  </si>
  <si>
    <t>P3637</t>
  </si>
  <si>
    <t>Z DISTRIBUIDORA DE CELAYA SA</t>
  </si>
  <si>
    <t>D  2,092</t>
  </si>
  <si>
    <t>P3638</t>
  </si>
  <si>
    <t>D  2,093</t>
  </si>
  <si>
    <t>P3644</t>
  </si>
  <si>
    <t>NUEVA WAL MART S DE RL DE CV</t>
  </si>
  <si>
    <t>D  2,094</t>
  </si>
  <si>
    <t>P3645</t>
  </si>
  <si>
    <t>D  2,095</t>
  </si>
  <si>
    <t>P3648</t>
  </si>
  <si>
    <t>D  2,096</t>
  </si>
  <si>
    <t>P3647</t>
  </si>
  <si>
    <t>D  2,097</t>
  </si>
  <si>
    <t>MARIA HERMINA MORALES GARCIA</t>
  </si>
  <si>
    <t>D  2,098</t>
  </si>
  <si>
    <t>P3649</t>
  </si>
  <si>
    <t>SEVIBA SA DE CV</t>
  </si>
  <si>
    <t>D  2,099</t>
  </si>
  <si>
    <t>P3650</t>
  </si>
  <si>
    <t>D  2,100</t>
  </si>
  <si>
    <t>P3651</t>
  </si>
  <si>
    <t>COMERCIALIZADORA ALIMENTICIA Q</t>
  </si>
  <si>
    <t>D  2,101</t>
  </si>
  <si>
    <t>P3652</t>
  </si>
  <si>
    <t>D  2,102</t>
  </si>
  <si>
    <t>P3653</t>
  </si>
  <si>
    <t>PINTURAS DE CELAYA SA DE CV</t>
  </si>
  <si>
    <t>D  2,103</t>
  </si>
  <si>
    <t>P3654</t>
  </si>
  <si>
    <t>D  2,104</t>
  </si>
  <si>
    <t>P3655</t>
  </si>
  <si>
    <t>D  2,105</t>
  </si>
  <si>
    <t>P3658</t>
  </si>
  <si>
    <t>AUDATEX LTN S D RL DE CV</t>
  </si>
  <si>
    <t>D  2,106</t>
  </si>
  <si>
    <t>P3657</t>
  </si>
  <si>
    <t>RUBEN RODRIGUEZ RODRIGUEZ</t>
  </si>
  <si>
    <t>D  2,107</t>
  </si>
  <si>
    <t>MARIA DEL ROSARIO MARTINEZ MEN</t>
  </si>
  <si>
    <t>D  2,108</t>
  </si>
  <si>
    <t>P3659</t>
  </si>
  <si>
    <t>D  2,110</t>
  </si>
  <si>
    <t>P3661</t>
  </si>
  <si>
    <t>D  2,112</t>
  </si>
  <si>
    <t>P3663</t>
  </si>
  <si>
    <t>D  2,113</t>
  </si>
  <si>
    <t>P3664</t>
  </si>
  <si>
    <t>D  2,114</t>
  </si>
  <si>
    <t>P3665</t>
  </si>
  <si>
    <t>ESTACIONAMIENTO</t>
  </si>
  <si>
    <t>D  2,115</t>
  </si>
  <si>
    <t>P3668</t>
  </si>
  <si>
    <t>NUEVA WAL MART DE MEXICO</t>
  </si>
  <si>
    <t>D  2,116</t>
  </si>
  <si>
    <t>P3667</t>
  </si>
  <si>
    <t>D  2,117</t>
  </si>
  <si>
    <t>D  2,121</t>
  </si>
  <si>
    <t>P3672</t>
  </si>
  <si>
    <t>D  2,127</t>
  </si>
  <si>
    <t>P3678</t>
  </si>
  <si>
    <t>P3684</t>
  </si>
  <si>
    <t>P3687</t>
  </si>
  <si>
    <t>P3690</t>
  </si>
  <si>
    <t>MA BEATRIZ ESPAÑA VILLAFAÑA</t>
  </si>
  <si>
    <t>P3693</t>
  </si>
  <si>
    <t>VIATICOS DE GERENCIA</t>
  </si>
  <si>
    <t>P3700</t>
  </si>
  <si>
    <t>P3702</t>
  </si>
  <si>
    <t>VIATICOS DE GERENCIA POR JUNTA</t>
  </si>
  <si>
    <t>D  2,150</t>
  </si>
  <si>
    <t>P3703</t>
  </si>
  <si>
    <t>TRASLADO DE RAV 4 BLANCA DE ME</t>
  </si>
  <si>
    <t>D  2,152</t>
  </si>
  <si>
    <t>P3705</t>
  </si>
  <si>
    <t>TRASLADO INV 0590-TCN13</t>
  </si>
  <si>
    <t>P3706</t>
  </si>
  <si>
    <t>TRASLADO INV 0585-TCN13</t>
  </si>
  <si>
    <t>D  2,154</t>
  </si>
  <si>
    <t>P3707</t>
  </si>
  <si>
    <t>TRASLADO MEX RAV 4 INV 0959-TC</t>
  </si>
  <si>
    <t>D  2,156</t>
  </si>
  <si>
    <t>P3709</t>
  </si>
  <si>
    <t>TRASLADO HILUX PLATA GDL 0546T</t>
  </si>
  <si>
    <t>P3711</t>
  </si>
  <si>
    <t>TRASLADO HILUX 0548-TCN13</t>
  </si>
  <si>
    <t>P3713</t>
  </si>
  <si>
    <t>HILUX INV 0547-TCN13</t>
  </si>
  <si>
    <t>P3715</t>
  </si>
  <si>
    <t>INTERCAMBIO FJ CRUISIER IRAPUA</t>
  </si>
  <si>
    <t>P3716</t>
  </si>
  <si>
    <t>TRASLADO DE YARIS A CUERNAVACA</t>
  </si>
  <si>
    <t>P3720</t>
  </si>
  <si>
    <t>TRASLADO PTO VALLARTA INV 0550</t>
  </si>
  <si>
    <t>P3722</t>
  </si>
  <si>
    <t>TRASLADO HILUX DE PUERTO VALLA</t>
  </si>
  <si>
    <t>P3724</t>
  </si>
  <si>
    <t>COMPLEMENTO INV 0458-TCN13</t>
  </si>
  <si>
    <t>D  2,170</t>
  </si>
  <si>
    <t>P3725</t>
  </si>
  <si>
    <t>TRASLADO INV 0400-TCN13</t>
  </si>
  <si>
    <t>P3727</t>
  </si>
  <si>
    <t>D  2,173</t>
  </si>
  <si>
    <t>P3729</t>
  </si>
  <si>
    <t>TRASLADO INV 0592-TCN13</t>
  </si>
  <si>
    <t>D  2,177</t>
  </si>
  <si>
    <t>P3733</t>
  </si>
  <si>
    <t>TRASLADO INV 0574-TCN13</t>
  </si>
  <si>
    <t>P3735</t>
  </si>
  <si>
    <t>TRASLADO INV 0587-TCN13</t>
  </si>
  <si>
    <t>P3737</t>
  </si>
  <si>
    <t>COMPLEMENTO CASETAS GERENCIA</t>
  </si>
  <si>
    <t>D  2,183</t>
  </si>
  <si>
    <t>R0655</t>
  </si>
  <si>
    <t>RAFAEL QUEZADA BRISEÑO</t>
  </si>
  <si>
    <t>S0476</t>
  </si>
  <si>
    <t>S0485</t>
  </si>
  <si>
    <t>S0491</t>
  </si>
  <si>
    <t>S0502</t>
  </si>
  <si>
    <t>MARTHA PATIÑO RAMIREZ</t>
  </si>
  <si>
    <t>VIATICOS DEL 8 AL 11 ABRIL 201</t>
  </si>
  <si>
    <t>D  2,191</t>
  </si>
  <si>
    <t>AM-0000658</t>
  </si>
  <si>
    <t>D  2,192</t>
  </si>
  <si>
    <t>AR-0008378</t>
  </si>
  <si>
    <t>NASCAR PHOENIX ARIZONA</t>
  </si>
  <si>
    <t>CH-12361</t>
  </si>
  <si>
    <t>E     14</t>
  </si>
  <si>
    <t>CH-12369</t>
  </si>
  <si>
    <t>CH-12370</t>
  </si>
  <si>
    <t>CH-12374</t>
  </si>
  <si>
    <t>CH-12339</t>
  </si>
  <si>
    <t>CH-12338</t>
  </si>
  <si>
    <t>CH-12340</t>
  </si>
  <si>
    <t>T-505</t>
  </si>
  <si>
    <t>E     37</t>
  </si>
  <si>
    <t>T-506</t>
  </si>
  <si>
    <t>E     38</t>
  </si>
  <si>
    <t>T-507</t>
  </si>
  <si>
    <t>E     39</t>
  </si>
  <si>
    <t>T-508</t>
  </si>
  <si>
    <t>T-509</t>
  </si>
  <si>
    <t>T-269</t>
  </si>
  <si>
    <t>T-510</t>
  </si>
  <si>
    <t>T-270</t>
  </si>
  <si>
    <t>T-511</t>
  </si>
  <si>
    <t>T-512</t>
  </si>
  <si>
    <t>T-513</t>
  </si>
  <si>
    <t>T-514</t>
  </si>
  <si>
    <t>T-271</t>
  </si>
  <si>
    <t>T-515</t>
  </si>
  <si>
    <t>IPSOS BIMSA SA DE CV</t>
  </si>
  <si>
    <t>T-272</t>
  </si>
  <si>
    <t>T-273</t>
  </si>
  <si>
    <t>T-516</t>
  </si>
  <si>
    <t>E     56</t>
  </si>
  <si>
    <t>CH-12351</t>
  </si>
  <si>
    <t>CH-12381</t>
  </si>
  <si>
    <t>INNES HUERTA JORGE RICARDO</t>
  </si>
  <si>
    <t>CH-12382</t>
  </si>
  <si>
    <t>CH-12384</t>
  </si>
  <si>
    <t>CH-12389</t>
  </si>
  <si>
    <t>CH-12344</t>
  </si>
  <si>
    <t>CH-12391</t>
  </si>
  <si>
    <t>CH-12395</t>
  </si>
  <si>
    <t>E     82</t>
  </si>
  <si>
    <t>CH-12396</t>
  </si>
  <si>
    <t>E     83</t>
  </si>
  <si>
    <t>CH-12397</t>
  </si>
  <si>
    <t>E     84</t>
  </si>
  <si>
    <t>CH-12398</t>
  </si>
  <si>
    <t>CH-12399</t>
  </si>
  <si>
    <t>SANDOVAL ACHIRICA SARA</t>
  </si>
  <si>
    <t>CH-12402</t>
  </si>
  <si>
    <t>CH-12403</t>
  </si>
  <si>
    <t>CH-12404</t>
  </si>
  <si>
    <t>T-517</t>
  </si>
  <si>
    <t>PAZ GONZALEZ OCTAVIO</t>
  </si>
  <si>
    <t>T-518</t>
  </si>
  <si>
    <t>T-519</t>
  </si>
  <si>
    <t>T-520</t>
  </si>
  <si>
    <t>E    104</t>
  </si>
  <si>
    <t>T-522</t>
  </si>
  <si>
    <t>T-523</t>
  </si>
  <si>
    <t>T-524</t>
  </si>
  <si>
    <t>T-525</t>
  </si>
  <si>
    <t>T-275</t>
  </si>
  <si>
    <t>T-276</t>
  </si>
  <si>
    <t>CH-12414</t>
  </si>
  <si>
    <t>CH-12418</t>
  </si>
  <si>
    <t>CH-12419</t>
  </si>
  <si>
    <t>CH-12420</t>
  </si>
  <si>
    <t>CH-12421</t>
  </si>
  <si>
    <t>E    136</t>
  </si>
  <si>
    <t>CH-12423</t>
  </si>
  <si>
    <t>E    137</t>
  </si>
  <si>
    <t>CH-12424</t>
  </si>
  <si>
    <t>E    139</t>
  </si>
  <si>
    <t>CH-12425</t>
  </si>
  <si>
    <t>E    141</t>
  </si>
  <si>
    <t>CH-12427</t>
  </si>
  <si>
    <t>E    143</t>
  </si>
  <si>
    <t>T-277</t>
  </si>
  <si>
    <t>T-278</t>
  </si>
  <si>
    <t>T-527</t>
  </si>
  <si>
    <t>T-529</t>
  </si>
  <si>
    <t>E    148</t>
  </si>
  <si>
    <t>T-530</t>
  </si>
  <si>
    <t>T-531</t>
  </si>
  <si>
    <t>T-532</t>
  </si>
  <si>
    <t>T-279</t>
  </si>
  <si>
    <t>T-533</t>
  </si>
  <si>
    <t>T-280</t>
  </si>
  <si>
    <t>T-534</t>
  </si>
  <si>
    <t>E    155</t>
  </si>
  <si>
    <t>T-535</t>
  </si>
  <si>
    <t>E    156</t>
  </si>
  <si>
    <t>T-536</t>
  </si>
  <si>
    <t>CH-12429</t>
  </si>
  <si>
    <t>CH-12433</t>
  </si>
  <si>
    <t>CH-12435</t>
  </si>
  <si>
    <t>CH-12436</t>
  </si>
  <si>
    <t>CH-12437</t>
  </si>
  <si>
    <t>CH-12438</t>
  </si>
  <si>
    <t>E    169</t>
  </si>
  <si>
    <t>CH-12441</t>
  </si>
  <si>
    <t>CH-12442</t>
  </si>
  <si>
    <t>CH-12446</t>
  </si>
  <si>
    <t>RYSE DE IRAPUATO S.A. DE C.V.</t>
  </si>
  <si>
    <t>CH-12447</t>
  </si>
  <si>
    <t>CH-12448</t>
  </si>
  <si>
    <t>E    199</t>
  </si>
  <si>
    <t>CH-12455</t>
  </si>
  <si>
    <t>T-537</t>
  </si>
  <si>
    <t>E    206</t>
  </si>
  <si>
    <t>T-538</t>
  </si>
  <si>
    <t>E    208</t>
  </si>
  <si>
    <t>T-539</t>
  </si>
  <si>
    <t>E    209</t>
  </si>
  <si>
    <t>T-281</t>
  </si>
  <si>
    <t>T-282</t>
  </si>
  <si>
    <t>T-283</t>
  </si>
  <si>
    <t>T-541</t>
  </si>
  <si>
    <t>T-542</t>
  </si>
  <si>
    <t>T-543</t>
  </si>
  <si>
    <t>T-544</t>
  </si>
  <si>
    <t>T-284</t>
  </si>
  <si>
    <t>T-545</t>
  </si>
  <si>
    <t>T-285</t>
  </si>
  <si>
    <t>CH-12466</t>
  </si>
  <si>
    <t>CH-12467</t>
  </si>
  <si>
    <t>CH-12475</t>
  </si>
  <si>
    <t>CH-12474</t>
  </si>
  <si>
    <t>CH-12430</t>
  </si>
  <si>
    <t>LEON GUERRERO SILVIA</t>
  </si>
  <si>
    <t>CH-12454</t>
  </si>
  <si>
    <t>CH-12453</t>
  </si>
  <si>
    <t>MAPFRE TEPEYAC SA</t>
  </si>
  <si>
    <t>E    234</t>
  </si>
  <si>
    <t>CH-12431</t>
  </si>
  <si>
    <t>CH-12388</t>
  </si>
  <si>
    <t>AUDATEX LTN, S. DE R.L. DE C.V.</t>
  </si>
  <si>
    <t>E    238</t>
  </si>
  <si>
    <t>T-552</t>
  </si>
  <si>
    <t>T-553</t>
  </si>
  <si>
    <t>T-288</t>
  </si>
  <si>
    <t>T-554</t>
  </si>
  <si>
    <t>T-555</t>
  </si>
  <si>
    <t>T-556</t>
  </si>
  <si>
    <t>E    244</t>
  </si>
  <si>
    <t>T-557</t>
  </si>
  <si>
    <t>T-289</t>
  </si>
  <si>
    <t>ABRIL</t>
  </si>
  <si>
    <t>ADI090924QN7</t>
  </si>
  <si>
    <t>CAQ940420CX9</t>
  </si>
  <si>
    <t xml:space="preserve">COMERCIALIZADORA ALIMENTICIA QUERETANA SA DE CV </t>
  </si>
  <si>
    <t>DBM11011043A</t>
  </si>
  <si>
    <t xml:space="preserve">SIN  FACTURA </t>
  </si>
  <si>
    <t>GPA020506HP0</t>
  </si>
  <si>
    <t xml:space="preserve">GARMAN PACHUCA SA DE CV </t>
  </si>
  <si>
    <t>HDM001017AS1</t>
  </si>
  <si>
    <t>IEHJ580905PR4</t>
  </si>
  <si>
    <t>BIM850201QI0</t>
  </si>
  <si>
    <t>LEGS690518396</t>
  </si>
  <si>
    <t>EAVB580416BP1</t>
  </si>
  <si>
    <t>MTE440316E54</t>
  </si>
  <si>
    <t>MOGH540608NF1</t>
  </si>
  <si>
    <t>PARM600515NL4</t>
  </si>
  <si>
    <t>PAGO760918TE6</t>
  </si>
  <si>
    <t>PCE890410B99</t>
  </si>
  <si>
    <t>RORR520814497</t>
  </si>
  <si>
    <t>RIR810420H38</t>
  </si>
  <si>
    <t>CEL010427SV0</t>
  </si>
  <si>
    <t xml:space="preserve">CELTAS S DE RL DE CV </t>
  </si>
  <si>
    <t>POT070427FT4</t>
  </si>
  <si>
    <t>PROMOTORA OTESLO SA DE CV</t>
  </si>
  <si>
    <t xml:space="preserve">GASOLINERA SERVICIO EL TREBOL SA DE CV </t>
  </si>
  <si>
    <t xml:space="preserve">NUEVA WAL MART S DE RL DE CV </t>
  </si>
  <si>
    <t>RURB610529EP0</t>
  </si>
  <si>
    <t xml:space="preserve">BEBERLIN RUIZ RUIZ </t>
  </si>
  <si>
    <t>OHE011012I25</t>
  </si>
  <si>
    <t xml:space="preserve">OPERADORA LA HERRADURA SA DE CV </t>
  </si>
  <si>
    <t xml:space="preserve">NUEVA WAL MART DE MEXICO S DE RL </t>
  </si>
  <si>
    <t>SSL040309B32</t>
  </si>
  <si>
    <t xml:space="preserve">SUPER SERVICIO LAJA BAJIO SA DE CV </t>
  </si>
  <si>
    <t>CAPN820703SY9</t>
  </si>
  <si>
    <t xml:space="preserve">NADYA YAZMIN CHAVEZ PEREZ </t>
  </si>
  <si>
    <t>SCA981117398</t>
  </si>
  <si>
    <t xml:space="preserve">SERVICIO LOS CAFETOS SA DE CV </t>
  </si>
  <si>
    <t>OSI0301158T0</t>
  </si>
  <si>
    <t xml:space="preserve">OPERADORA SAN ISIDRO SA DE CV </t>
  </si>
  <si>
    <t>SUT901218PD5</t>
  </si>
  <si>
    <t xml:space="preserve">SERVICIOS UNIDOS TINAJAS </t>
  </si>
  <si>
    <t>SUS000505BP0</t>
  </si>
  <si>
    <t xml:space="preserve">SERVICIOS USUMACINTA SA DE CV </t>
  </si>
  <si>
    <t>MOLE750127KM2</t>
  </si>
  <si>
    <t xml:space="preserve">ELIZABETH MONTERO LOPEZ </t>
  </si>
  <si>
    <t>SDI011023GL8</t>
  </si>
  <si>
    <t xml:space="preserve">SERVICIO DIAMANTE SA DE CV </t>
  </si>
  <si>
    <t xml:space="preserve">ULTRASERVICIO LOMAS SA DE CV </t>
  </si>
  <si>
    <t xml:space="preserve">SERVICIO  LAS JUNTAS SA DE CV </t>
  </si>
  <si>
    <t>GATF491004TL7</t>
  </si>
  <si>
    <t xml:space="preserve">FRANCISCA GARCIA TORRES </t>
  </si>
  <si>
    <t>GCI7602217U5</t>
  </si>
  <si>
    <t>GASOLINERA CIUDAD INDUSTRIAL DE DURANGO SA</t>
  </si>
  <si>
    <t>GOM040622MRA</t>
  </si>
  <si>
    <t>SCA9301296S4</t>
  </si>
  <si>
    <t xml:space="preserve">SERVICIOS CASTELLANOS SA DE CV </t>
  </si>
  <si>
    <t>GESG611221RC9</t>
  </si>
  <si>
    <t xml:space="preserve">GILBERTO GNER SANCHEZ </t>
  </si>
  <si>
    <t>OGS9410276D3</t>
  </si>
  <si>
    <t xml:space="preserve">OPERADORA DE GASOLINERAS DEL SURESTE SA DE CV </t>
  </si>
  <si>
    <t>CSF971215LQ5</t>
  </si>
  <si>
    <t xml:space="preserve">CAFÉ SANTA FE SA DE CV </t>
  </si>
  <si>
    <t>ESGES  SA DE CV</t>
  </si>
  <si>
    <t>NDG071019LH4</t>
  </si>
  <si>
    <t xml:space="preserve">LAS NUEVAS DELICIAS GASTRONOMICAS S DE RL </t>
  </si>
  <si>
    <t>RPP760101966</t>
  </si>
  <si>
    <t xml:space="preserve">RESTAURANTE LA PARROQUIA POTOSINA SA </t>
  </si>
  <si>
    <t>GAS910208GP3</t>
  </si>
  <si>
    <t xml:space="preserve">GASTROSUR SA DE CV </t>
  </si>
  <si>
    <t xml:space="preserve">GRUPO GASTRONOMICO GLOTONERI SA DE CV </t>
  </si>
  <si>
    <t>PROMOTORA DE ESTANCIAS TURISTICAS</t>
  </si>
  <si>
    <t>PLA980416SD6</t>
  </si>
  <si>
    <t xml:space="preserve">POSADAS DE LATINOAMERICA SA DE CV </t>
  </si>
  <si>
    <t>RGA040623P12</t>
  </si>
  <si>
    <t xml:space="preserve">RELACIONES GASTRONOMICAS SA DE CV </t>
  </si>
  <si>
    <t>CEX9809213U5</t>
  </si>
  <si>
    <t xml:space="preserve">COMBU EXPRESS SA DE CV </t>
  </si>
  <si>
    <t>IPO640805KU9</t>
  </si>
  <si>
    <t xml:space="preserve">INVERSIONES POTOSINAS SA DE CV </t>
  </si>
  <si>
    <t>MVI890109558</t>
  </si>
  <si>
    <t xml:space="preserve">MESON DEL VIRREY S DE RL DE CV </t>
  </si>
  <si>
    <t xml:space="preserve">NUEVAS DELICIAS GASTRONOMICAS S DE RL DE CV </t>
  </si>
  <si>
    <t>TRE070131SJ1</t>
  </si>
  <si>
    <t xml:space="preserve">TRESMADERO SA DE CV </t>
  </si>
  <si>
    <t>D    310</t>
  </si>
  <si>
    <t>EMBARQ 130</t>
  </si>
  <si>
    <t>LJIMENEZ:EMBARQUE 130</t>
  </si>
  <si>
    <t>D    404</t>
  </si>
  <si>
    <t>0613-TCN13</t>
  </si>
  <si>
    <t>D    443</t>
  </si>
  <si>
    <t>0031-TCU13</t>
  </si>
  <si>
    <t>D    445</t>
  </si>
  <si>
    <t>0614-TCN13</t>
  </si>
  <si>
    <t>OTRAS AGENCIAS</t>
  </si>
  <si>
    <t>D    447</t>
  </si>
  <si>
    <t>0615-TCN13</t>
  </si>
  <si>
    <t>CCD. AUTOSALES  PUERTO   VALLARTA</t>
  </si>
  <si>
    <t>D    461</t>
  </si>
  <si>
    <t>0617-TCN13</t>
  </si>
  <si>
    <t>CCD, AUTOSALES PUERTO VALLARTA</t>
  </si>
  <si>
    <t>D    462</t>
  </si>
  <si>
    <t>0616-TCN13</t>
  </si>
  <si>
    <t>OZ  AUTOMOTRIZ S DE RL DE CV</t>
  </si>
  <si>
    <t>0618-TCN13</t>
  </si>
  <si>
    <t>LIDERAZGO AUTOMOTRIZ DE  PUEBLA</t>
  </si>
  <si>
    <t>LIDERAZGO AUTOMOTRIZ S DE RL DE CV</t>
  </si>
  <si>
    <t>D    525</t>
  </si>
  <si>
    <t>0963-TCN12</t>
  </si>
  <si>
    <t>D    528</t>
  </si>
  <si>
    <t>0964-TCN12</t>
  </si>
  <si>
    <t>OZ  AUTOMOTRIZ S DE  RL DE CV</t>
  </si>
  <si>
    <t>D    565</t>
  </si>
  <si>
    <t>0622-TCN13</t>
  </si>
  <si>
    <t>D    570</t>
  </si>
  <si>
    <t>0621-TCN13</t>
  </si>
  <si>
    <t>D    578</t>
  </si>
  <si>
    <t>AM00000265</t>
  </si>
  <si>
    <t>LJIMENEZ:AUTOS CHAMPS SA DE CV</t>
  </si>
  <si>
    <t>D    591</t>
  </si>
  <si>
    <t>0623-TCN13</t>
  </si>
  <si>
    <t>D    592</t>
  </si>
  <si>
    <t>D    616</t>
  </si>
  <si>
    <t>0624-TCN13</t>
  </si>
  <si>
    <t>D    624</t>
  </si>
  <si>
    <t>0625-TCN13</t>
  </si>
  <si>
    <t>D    625</t>
  </si>
  <si>
    <t>0626-TCN13</t>
  </si>
  <si>
    <t>FAME  PERISUR  S DE  RL DE CV</t>
  </si>
  <si>
    <t>0627-TCN13</t>
  </si>
  <si>
    <t>D    738</t>
  </si>
  <si>
    <t>D    752</t>
  </si>
  <si>
    <t>0628-TCN13</t>
  </si>
  <si>
    <t>TOY MORELOS S D ERL DE CV</t>
  </si>
  <si>
    <t>D    860</t>
  </si>
  <si>
    <t>D    891</t>
  </si>
  <si>
    <t>0630-TCN13</t>
  </si>
  <si>
    <t>DALTON AUTOMOTRIZ S DE RL DE CV</t>
  </si>
  <si>
    <t>0631-TCN13</t>
  </si>
  <si>
    <t>D    895</t>
  </si>
  <si>
    <t>D    935</t>
  </si>
  <si>
    <t>0633-TCN13</t>
  </si>
  <si>
    <t>0634-TCN13</t>
  </si>
  <si>
    <t>D    937</t>
  </si>
  <si>
    <t>0635-TCN13</t>
  </si>
  <si>
    <t>D    938</t>
  </si>
  <si>
    <t>0636-TCN13</t>
  </si>
  <si>
    <t>0637-TCN13</t>
  </si>
  <si>
    <t>D    941</t>
  </si>
  <si>
    <t>0638-TCN13</t>
  </si>
  <si>
    <t>0639-TCN13</t>
  </si>
  <si>
    <t>D    995</t>
  </si>
  <si>
    <t>0640-TCN13</t>
  </si>
  <si>
    <t>CCD. AUTOSALES  PUERTO  VALLARTA</t>
  </si>
  <si>
    <t>D  1,010</t>
  </si>
  <si>
    <t>EMBARQUE 142 INV 0031U/13</t>
  </si>
  <si>
    <t>D  1,031</t>
  </si>
  <si>
    <t>0641-TCN13</t>
  </si>
  <si>
    <t>0642-TCN13</t>
  </si>
  <si>
    <t>AM00000704</t>
  </si>
  <si>
    <t>AM00000716</t>
  </si>
  <si>
    <t>AM00000721</t>
  </si>
  <si>
    <t>D  1,108</t>
  </si>
  <si>
    <t>A000008779</t>
  </si>
  <si>
    <t>D  1,109</t>
  </si>
  <si>
    <t>A000261659</t>
  </si>
  <si>
    <t>D  1,117</t>
  </si>
  <si>
    <t>0643-TCN13</t>
  </si>
  <si>
    <t>DALTON  AUTOMOTRIZ  S DE RL DE CV</t>
  </si>
  <si>
    <t>0644-TCN13</t>
  </si>
  <si>
    <t>0645-TCN13</t>
  </si>
  <si>
    <t>D  1,220</t>
  </si>
  <si>
    <t>0646-TCN13</t>
  </si>
  <si>
    <t>CCD. AUTOSALES PUERTO  VALLARTA DE</t>
  </si>
  <si>
    <t>D  1,221</t>
  </si>
  <si>
    <t>0647-TCN13</t>
  </si>
  <si>
    <t>CCD.AUTOSALES  PUERTO VALLARTA  S D</t>
  </si>
  <si>
    <t>D  1,269</t>
  </si>
  <si>
    <t>EMBAR 149</t>
  </si>
  <si>
    <t>LJIMENEZ:EMBARQUE 149</t>
  </si>
  <si>
    <t>D  1,286</t>
  </si>
  <si>
    <t>0648-TCN13</t>
  </si>
  <si>
    <t>D  1,287</t>
  </si>
  <si>
    <t>0649-TCN13</t>
  </si>
  <si>
    <t>D  1,288</t>
  </si>
  <si>
    <t>0650-TCN13</t>
  </si>
  <si>
    <t>D  1,289</t>
  </si>
  <si>
    <t>0651-TCN13</t>
  </si>
  <si>
    <t>D  1,290</t>
  </si>
  <si>
    <t>0652-TCN13</t>
  </si>
  <si>
    <t>D  1,296</t>
  </si>
  <si>
    <t>0653-TCN13</t>
  </si>
  <si>
    <t>D  1,310</t>
  </si>
  <si>
    <t>0654-TCN13</t>
  </si>
  <si>
    <t>VALOR MOTRIZ S DE  RL DE CV</t>
  </si>
  <si>
    <t>D  1,357</t>
  </si>
  <si>
    <t>0655-TCN13</t>
  </si>
  <si>
    <t>GRUPO  PENNINSULA MOTORS S  DE RL D</t>
  </si>
  <si>
    <t>D  1,402</t>
  </si>
  <si>
    <t>0656-TCN13</t>
  </si>
  <si>
    <t>AUTOMOVILES DINAMICOS S D E RL  DE</t>
  </si>
  <si>
    <t>D  1,445</t>
  </si>
  <si>
    <t>A000263517</t>
  </si>
  <si>
    <t>D  1,552</t>
  </si>
  <si>
    <t>VIATICOS DEL 19 AL 20 MAY 2013</t>
  </si>
  <si>
    <t>RA*72</t>
  </si>
  <si>
    <t>D  1,634</t>
  </si>
  <si>
    <t>MAYO020132</t>
  </si>
  <si>
    <t>0657-TCN13</t>
  </si>
  <si>
    <t>ALECSA PACHUCA  S DE RL DE CV</t>
  </si>
  <si>
    <t>D  1,676</t>
  </si>
  <si>
    <t>0658-TCN13</t>
  </si>
  <si>
    <t>TOY AUTOMOTRIZ S DE RL DE  CV</t>
  </si>
  <si>
    <t>D  1,716</t>
  </si>
  <si>
    <t>0659-TCN13</t>
  </si>
  <si>
    <t>D  1,722</t>
  </si>
  <si>
    <t>0660-TCN13</t>
  </si>
  <si>
    <t>D  1,800</t>
  </si>
  <si>
    <t>AM-0000729</t>
  </si>
  <si>
    <t>0661-TCN13</t>
  </si>
  <si>
    <t>CEVER   TOLUCA  S  DE RL DE  CV</t>
  </si>
  <si>
    <t>0662-TCN13</t>
  </si>
  <si>
    <t>CEVER  TOLUCA  S  DE RL DE CV</t>
  </si>
  <si>
    <t>0663-TCN13</t>
  </si>
  <si>
    <t>PROMOTORA   AUTOMOTRIZ  DE  SANTA</t>
  </si>
  <si>
    <t>D  1,848</t>
  </si>
  <si>
    <t>0664-TCN13</t>
  </si>
  <si>
    <t>0665-TCN13</t>
  </si>
  <si>
    <t>LIDERAZGO AUTOMOTRIZ DE PUEBLA  S D</t>
  </si>
  <si>
    <t>COMISIONES BANBAJIO MAY 2013</t>
  </si>
  <si>
    <t>COMISIONES HSBC MAY 2013</t>
  </si>
  <si>
    <t>D  1,884</t>
  </si>
  <si>
    <t>COMISIONES SANTANDER MAYO 2013</t>
  </si>
  <si>
    <t>COMISIONES BANCOMER MAYO 2013</t>
  </si>
  <si>
    <t>D  1,886</t>
  </si>
  <si>
    <t>LJIMENEZ:COMISIONES BANAMEX MAYO</t>
  </si>
  <si>
    <t>COMISIONES BANORTE MES MAYO 20</t>
  </si>
  <si>
    <t>D  1,894</t>
  </si>
  <si>
    <t>COMISIONES BANCARIAS MAYO 2013</t>
  </si>
  <si>
    <t>D  1,933</t>
  </si>
  <si>
    <t>S0512</t>
  </si>
  <si>
    <t>S0513</t>
  </si>
  <si>
    <t>D  1,935</t>
  </si>
  <si>
    <t>S0519</t>
  </si>
  <si>
    <t>FERNANDO CRUZ LUZ</t>
  </si>
  <si>
    <t>S0529</t>
  </si>
  <si>
    <t>ALFREDO RAMIREZ PATIÑO</t>
  </si>
  <si>
    <t>D  1,937</t>
  </si>
  <si>
    <t>R0682</t>
  </si>
  <si>
    <t>R0689</t>
  </si>
  <si>
    <t>D  1,939</t>
  </si>
  <si>
    <t>R0694</t>
  </si>
  <si>
    <t>AUTOS COMPACTOS DE QUERETARO</t>
  </si>
  <si>
    <t>P3758</t>
  </si>
  <si>
    <t>TRASLADO INV 0588-TCN13</t>
  </si>
  <si>
    <t>TRASLADO INV 0609-TCN13</t>
  </si>
  <si>
    <t>P3760</t>
  </si>
  <si>
    <t>TRASLADO INV 0607-TCN13</t>
  </si>
  <si>
    <t>P3762</t>
  </si>
  <si>
    <t>COMPLEMENTO INV 0277-TCN13</t>
  </si>
  <si>
    <t>P3764</t>
  </si>
  <si>
    <t>TRASLADO INV 0604-TCN13</t>
  </si>
  <si>
    <t>D  1,950</t>
  </si>
  <si>
    <t>P3766</t>
  </si>
  <si>
    <t>COMPLEMENTO INV 0603-TCN13</t>
  </si>
  <si>
    <t>P3771</t>
  </si>
  <si>
    <t>COMPLEMENTO INV 0616-TCN13</t>
  </si>
  <si>
    <t>D  1,954</t>
  </si>
  <si>
    <t>P3772</t>
  </si>
  <si>
    <t>TRASLADO GDL INV 0964-TCN13</t>
  </si>
  <si>
    <t>D  1,956</t>
  </si>
  <si>
    <t>P3774</t>
  </si>
  <si>
    <t>TRASLADO INV 0617-TCN13</t>
  </si>
  <si>
    <t>D  1,958</t>
  </si>
  <si>
    <t>P3778</t>
  </si>
  <si>
    <t>TRASLADO INV 0618-TCN13</t>
  </si>
  <si>
    <t>D  1,960</t>
  </si>
  <si>
    <t>TRASLADO INV 0628-TCN13</t>
  </si>
  <si>
    <t>D  1,962</t>
  </si>
  <si>
    <t>P3780</t>
  </si>
  <si>
    <t>TRASLADO INV 0640-TCN13</t>
  </si>
  <si>
    <t>P3782</t>
  </si>
  <si>
    <t>TRASLADO INV 0615-TCN13</t>
  </si>
  <si>
    <t>P3784</t>
  </si>
  <si>
    <t>TRASLADO INV 0624-TCN13</t>
  </si>
  <si>
    <t>P3786</t>
  </si>
  <si>
    <t>TRASLADO DE AGSC INV 0605-TCN1</t>
  </si>
  <si>
    <t>P3794</t>
  </si>
  <si>
    <t>TRASLADO INV 0630-TCN13</t>
  </si>
  <si>
    <t>P3798</t>
  </si>
  <si>
    <t>TRASLADO GDL INV 0643-TCN13</t>
  </si>
  <si>
    <t>P3800</t>
  </si>
  <si>
    <t>COMPLEMENTO INV 0626-TCN13</t>
  </si>
  <si>
    <t>P3802</t>
  </si>
  <si>
    <t>TRASLADO SIENNA INV 0614-TCN13</t>
  </si>
  <si>
    <t>D  1,978</t>
  </si>
  <si>
    <t>P3804</t>
  </si>
  <si>
    <t>TRASLASDO INV 0607-TCN13</t>
  </si>
  <si>
    <t>P3808</t>
  </si>
  <si>
    <t>PAGO FACTURA NEXTEL SA</t>
  </si>
  <si>
    <t>P3809</t>
  </si>
  <si>
    <t>JUNTA MUNICIPAL DE AGUA</t>
  </si>
  <si>
    <t>P3812</t>
  </si>
  <si>
    <t>P3814</t>
  </si>
  <si>
    <t>ALEJANDRO DIEGO RODRIGUEZ</t>
  </si>
  <si>
    <t>P3815</t>
  </si>
  <si>
    <t>P3816</t>
  </si>
  <si>
    <t>ROBERTO LOZANO RODRIGUEZ</t>
  </si>
  <si>
    <t>P3817</t>
  </si>
  <si>
    <t>P3818</t>
  </si>
  <si>
    <t>P3819</t>
  </si>
  <si>
    <t>P3820</t>
  </si>
  <si>
    <t>P3822</t>
  </si>
  <si>
    <t>P3825</t>
  </si>
  <si>
    <t>RENOVACION MEMBRESIA COSTCO</t>
  </si>
  <si>
    <t>D  1,998</t>
  </si>
  <si>
    <t>p3827</t>
  </si>
  <si>
    <t>P3828</t>
  </si>
  <si>
    <t>COSTCO  DE MEXICO SA DE CV</t>
  </si>
  <si>
    <t>P3830</t>
  </si>
  <si>
    <t>D  2,002</t>
  </si>
  <si>
    <t>P3831</t>
  </si>
  <si>
    <t>D  2,003</t>
  </si>
  <si>
    <t>P3832</t>
  </si>
  <si>
    <t>D  2,004</t>
  </si>
  <si>
    <t>P3833</t>
  </si>
  <si>
    <t>P3834</t>
  </si>
  <si>
    <t>RYSE DE IRAPUATO SA DE CV</t>
  </si>
  <si>
    <t>D  2,007</t>
  </si>
  <si>
    <t>P3836</t>
  </si>
  <si>
    <t>D  2,008</t>
  </si>
  <si>
    <t>P3837</t>
  </si>
  <si>
    <t>D  2,010</t>
  </si>
  <si>
    <t>P3839</t>
  </si>
  <si>
    <t>D  2,012</t>
  </si>
  <si>
    <t>P3841</t>
  </si>
  <si>
    <t>OFFICE DEPOT DE MEXICO</t>
  </si>
  <si>
    <t>P3842</t>
  </si>
  <si>
    <t>P3843</t>
  </si>
  <si>
    <t>P3845</t>
  </si>
  <si>
    <t>P3846</t>
  </si>
  <si>
    <t>D  2,021</t>
  </si>
  <si>
    <t>P3850</t>
  </si>
  <si>
    <t>D  2,023</t>
  </si>
  <si>
    <t>P3852</t>
  </si>
  <si>
    <t>P3853</t>
  </si>
  <si>
    <t>GLORIA VALLE DAMIAN</t>
  </si>
  <si>
    <t>P3854</t>
  </si>
  <si>
    <t>BETA PROCESOS SA DE CV</t>
  </si>
  <si>
    <t>P3855</t>
  </si>
  <si>
    <t>P3857</t>
  </si>
  <si>
    <t>P3860</t>
  </si>
  <si>
    <t>LUCIA SILVA LEON</t>
  </si>
  <si>
    <t>D  2,032</t>
  </si>
  <si>
    <t>P3861</t>
  </si>
  <si>
    <t>P3862</t>
  </si>
  <si>
    <t>P3863</t>
  </si>
  <si>
    <t>OXXO EXPRESS SA DE CV</t>
  </si>
  <si>
    <t>P3869</t>
  </si>
  <si>
    <t>P3871</t>
  </si>
  <si>
    <t>AUTOMOTRIZ ELECTRICA AL MAYORE</t>
  </si>
  <si>
    <t>P3873</t>
  </si>
  <si>
    <t>APOLINAR GARMIÑO JIMENEZ</t>
  </si>
  <si>
    <t>P3880</t>
  </si>
  <si>
    <t>P3883</t>
  </si>
  <si>
    <t>DISTRIBUCION ORIENTE SA DE CV</t>
  </si>
  <si>
    <t>MARIA DEL RAYO FIGUEROA</t>
  </si>
  <si>
    <t>D49CF</t>
  </si>
  <si>
    <t>LJIMENEZ:TRANSPORTACION PLAYA DEL C</t>
  </si>
  <si>
    <t>CH-12477</t>
  </si>
  <si>
    <t>CH-12480</t>
  </si>
  <si>
    <t>CH-12485</t>
  </si>
  <si>
    <t>CH-12489</t>
  </si>
  <si>
    <t>CH-12490</t>
  </si>
  <si>
    <t>CH-12491</t>
  </si>
  <si>
    <t>CH-12492</t>
  </si>
  <si>
    <t>CH-12493</t>
  </si>
  <si>
    <t>E     29</t>
  </si>
  <si>
    <t>CH-12494</t>
  </si>
  <si>
    <t>E     33</t>
  </si>
  <si>
    <t>CH-12499</t>
  </si>
  <si>
    <t>CH-12503</t>
  </si>
  <si>
    <t>CH-12508</t>
  </si>
  <si>
    <t>T-560</t>
  </si>
  <si>
    <t>T-561</t>
  </si>
  <si>
    <t>T-562</t>
  </si>
  <si>
    <t>T-563</t>
  </si>
  <si>
    <t>T-564</t>
  </si>
  <si>
    <t>T-290</t>
  </si>
  <si>
    <t>T-291</t>
  </si>
  <si>
    <t>CH-12521</t>
  </si>
  <si>
    <t>CH-12522</t>
  </si>
  <si>
    <t>T-566</t>
  </si>
  <si>
    <t>CH-12463</t>
  </si>
  <si>
    <t>CH-12524</t>
  </si>
  <si>
    <t>CH-12512</t>
  </si>
  <si>
    <t>CH-12537</t>
  </si>
  <si>
    <t>CH-12538</t>
  </si>
  <si>
    <t>CH-12545</t>
  </si>
  <si>
    <t>CH-12547</t>
  </si>
  <si>
    <t>CH-12548</t>
  </si>
  <si>
    <t>CH-12549</t>
  </si>
  <si>
    <t>T-292</t>
  </si>
  <si>
    <t>T-567</t>
  </si>
  <si>
    <t>T-293</t>
  </si>
  <si>
    <t>T-568</t>
  </si>
  <si>
    <t>E    117</t>
  </si>
  <si>
    <t>T-569</t>
  </si>
  <si>
    <t>T-570</t>
  </si>
  <si>
    <t>T-571</t>
  </si>
  <si>
    <t>T-572</t>
  </si>
  <si>
    <t>E    121</t>
  </si>
  <si>
    <t>T-573</t>
  </si>
  <si>
    <t>CH-12550</t>
  </si>
  <si>
    <t>CH-12488</t>
  </si>
  <si>
    <t>CH-12557</t>
  </si>
  <si>
    <t>CH-12558</t>
  </si>
  <si>
    <t>CH-12559</t>
  </si>
  <si>
    <t>CH-12560</t>
  </si>
  <si>
    <t>T-574</t>
  </si>
  <si>
    <t>E    158</t>
  </si>
  <si>
    <t>T-575</t>
  </si>
  <si>
    <t>T-576</t>
  </si>
  <si>
    <t>T-577</t>
  </si>
  <si>
    <t>T-578</t>
  </si>
  <si>
    <t>T-579</t>
  </si>
  <si>
    <t>T-294</t>
  </si>
  <si>
    <t>T-580</t>
  </si>
  <si>
    <t>T-295</t>
  </si>
  <si>
    <t>T-581</t>
  </si>
  <si>
    <t>LJIMENEZ:3</t>
  </si>
  <si>
    <t>T-582</t>
  </si>
  <si>
    <t>CH-12576</t>
  </si>
  <si>
    <t>CH-12577</t>
  </si>
  <si>
    <t>CH-12541</t>
  </si>
  <si>
    <t>GARCIA ESPINOLA J. HECTOR</t>
  </si>
  <si>
    <t>CH-12567</t>
  </si>
  <si>
    <t>ASOCIACION MEXICANA DE DISTRIBUIDOR</t>
  </si>
  <si>
    <t>CH-12476</t>
  </si>
  <si>
    <t>AP CLACIFICADOS, S. DE R.L. DE C.V.</t>
  </si>
  <si>
    <t>CH-12532</t>
  </si>
  <si>
    <t>CH-12555</t>
  </si>
  <si>
    <t>AUTO CENTRO DE CELAYA, S.A. DE C.V.</t>
  </si>
  <si>
    <t>CH-12582</t>
  </si>
  <si>
    <t>CH-12583</t>
  </si>
  <si>
    <t>CH-12584</t>
  </si>
  <si>
    <t>MONTES CAMPOS SERGIO</t>
  </si>
  <si>
    <t>CH-12585</t>
  </si>
  <si>
    <t>E    194</t>
  </si>
  <si>
    <t>CH-12587</t>
  </si>
  <si>
    <t>E    195</t>
  </si>
  <si>
    <t>CH-12588</t>
  </si>
  <si>
    <t>E    196</t>
  </si>
  <si>
    <t>CH-12589</t>
  </si>
  <si>
    <t>E    197</t>
  </si>
  <si>
    <t>CH-12590</t>
  </si>
  <si>
    <t>E    198</t>
  </si>
  <si>
    <t>CH-12592</t>
  </si>
  <si>
    <t>CH-12593</t>
  </si>
  <si>
    <t>E    207</t>
  </si>
  <si>
    <t>CH-12598</t>
  </si>
  <si>
    <t>T-583</t>
  </si>
  <si>
    <t>T-296</t>
  </si>
  <si>
    <t>T-297</t>
  </si>
  <si>
    <t>T-584</t>
  </si>
  <si>
    <t>T-585</t>
  </si>
  <si>
    <t>T-586</t>
  </si>
  <si>
    <t>T-587</t>
  </si>
  <si>
    <t>DAGESA EXTINTORES SA DE CV</t>
  </si>
  <si>
    <t>T-298</t>
  </si>
  <si>
    <t>T-299</t>
  </si>
  <si>
    <t>T-588</t>
  </si>
  <si>
    <t>T-590</t>
  </si>
  <si>
    <t>E    223</t>
  </si>
  <si>
    <t>T-300</t>
  </si>
  <si>
    <t>T-591</t>
  </si>
  <si>
    <t>T-592</t>
  </si>
  <si>
    <t>T-593</t>
  </si>
  <si>
    <t>T-594</t>
  </si>
  <si>
    <t>BERNAL VALLE TERESA LIZBETH</t>
  </si>
  <si>
    <t>T-595</t>
  </si>
  <si>
    <t>CH-12599</t>
  </si>
  <si>
    <t>CH-12612</t>
  </si>
  <si>
    <t>CH-12543</t>
  </si>
  <si>
    <t>CH-12486</t>
  </si>
  <si>
    <t>LJIMENEZ:DRIDCO MEXICO SA DE CV</t>
  </si>
  <si>
    <t>E    246</t>
  </si>
  <si>
    <t>CH-12514</t>
  </si>
  <si>
    <t>LJIMENEZ:ASOCIACION DE DISTRIBUIDOR</t>
  </si>
  <si>
    <t>CH-12605</t>
  </si>
  <si>
    <t>CH-12580</t>
  </si>
  <si>
    <t>CH-12579</t>
  </si>
  <si>
    <t>E    252</t>
  </si>
  <si>
    <t>CH-12509</t>
  </si>
  <si>
    <t>LJIMENEZ:VIAJES MUNDOMEX, SA DE CV</t>
  </si>
  <si>
    <t>I    659</t>
  </si>
  <si>
    <t>EMBARQ 158</t>
  </si>
  <si>
    <t>EMBARQUE NUM 158</t>
  </si>
  <si>
    <t>MAYO</t>
  </si>
  <si>
    <t>ROAA840915TS5</t>
  </si>
  <si>
    <t>ALEJANDRO DIEGO RODRIGUEZ ARELLANO</t>
  </si>
  <si>
    <t xml:space="preserve">ALEJANDRO LOPÉZ NEGRETE </t>
  </si>
  <si>
    <t>ACL110829S38</t>
  </si>
  <si>
    <t>GAJA530403QE7</t>
  </si>
  <si>
    <t>AMD891005M19</t>
  </si>
  <si>
    <t>ACC851025FJ4</t>
  </si>
  <si>
    <t>RUCA631216U36</t>
  </si>
  <si>
    <t>BEVT8309183A9</t>
  </si>
  <si>
    <t>BPR860613QI5</t>
  </si>
  <si>
    <t>SCU080512296</t>
  </si>
  <si>
    <t xml:space="preserve">SERVICIO LOS CUES SA DE CV </t>
  </si>
  <si>
    <t>CSA921218592</t>
  </si>
  <si>
    <t xml:space="preserve">CENTRO DE SERVICIO AUTOMOVILISTICO SA DE CV </t>
  </si>
  <si>
    <t>HERM600320K32</t>
  </si>
  <si>
    <t xml:space="preserve">MARIBEL HERNANDEZ ROMERO </t>
  </si>
  <si>
    <t>AUTOSERVICIO GASHR SA DE CV</t>
  </si>
  <si>
    <t xml:space="preserve">OLIVIA PATLAN REA </t>
  </si>
  <si>
    <t>LMO010815U41</t>
  </si>
  <si>
    <t>DEX0908037C1</t>
  </si>
  <si>
    <t>CULF821223G46</t>
  </si>
  <si>
    <t>GAEJ640402M53</t>
  </si>
  <si>
    <t>GJO840215UW9</t>
  </si>
  <si>
    <t xml:space="preserve">GASTRONOMICA JOSECHO SA DE CV </t>
  </si>
  <si>
    <t>VADG570615HU8</t>
  </si>
  <si>
    <t>ACA980713EMA</t>
  </si>
  <si>
    <t>AUTOS CHAMPS SA DE CV</t>
  </si>
  <si>
    <t xml:space="preserve">IMPULSORA DE TRANSPORTES MEXICANOS SA DE CV </t>
  </si>
  <si>
    <t>SERVCIO AUDITORIO</t>
  </si>
  <si>
    <t>SILL6912047W5</t>
  </si>
  <si>
    <t>MOCS610331GL2</t>
  </si>
  <si>
    <t>OEX950605MJ6</t>
  </si>
  <si>
    <t>LORR680902J26</t>
  </si>
  <si>
    <t>TAU021029P94</t>
  </si>
  <si>
    <t>FEM950814619</t>
  </si>
  <si>
    <t>FEMAL SA DE CV</t>
  </si>
  <si>
    <t>JIPJ661011PD5</t>
  </si>
  <si>
    <t xml:space="preserve">JORGE JIMENEZ PEREZ </t>
  </si>
  <si>
    <t>NADYA YAZMIN CHAVEZ PEREZ</t>
  </si>
  <si>
    <t>GPE000530DG6</t>
  </si>
  <si>
    <t xml:space="preserve">GASOLINERA PEREDA SA DE CV </t>
  </si>
  <si>
    <t>RORF6102186I0</t>
  </si>
  <si>
    <t>JOSE FERNANDO DE LA ROCHA REMBAO</t>
  </si>
  <si>
    <t>GILBERTO GNERK SANCHEZ</t>
  </si>
  <si>
    <t>ALIMENTARIA COMPANY S DE RL DE CV</t>
  </si>
  <si>
    <t xml:space="preserve">SERVICIO  TEPEACA SA DE CV </t>
  </si>
  <si>
    <t>CCO8605231N4</t>
  </si>
  <si>
    <t>CADENA COMERCIAL OXXO SA DE CV</t>
  </si>
  <si>
    <t>DARM600702E13</t>
  </si>
  <si>
    <t xml:space="preserve">MARTHA DAVILA RODRIGUEZ </t>
  </si>
  <si>
    <t>CUJM730405HZA</t>
  </si>
  <si>
    <t xml:space="preserve">MARIBEL CUELLAR JAUREGUI </t>
  </si>
  <si>
    <t>CAL980826GA3</t>
  </si>
  <si>
    <t>COMNERCIALIZADORA ALEXA SA DE CV</t>
  </si>
  <si>
    <t>SAMUEL RICO RAMIREZ</t>
  </si>
  <si>
    <t>SCU010206HU2</t>
  </si>
  <si>
    <t xml:space="preserve">SERVICIO CUPULA SA DE CV </t>
  </si>
  <si>
    <t>D      7</t>
  </si>
  <si>
    <t>0666-TCN13</t>
  </si>
  <si>
    <t>VALOR MOTRIZ  S DE RL DE CV</t>
  </si>
  <si>
    <t>D     61</t>
  </si>
  <si>
    <t>0668-TCN13</t>
  </si>
  <si>
    <t>D     63</t>
  </si>
  <si>
    <t>0669-TCN13</t>
  </si>
  <si>
    <t>D     64</t>
  </si>
  <si>
    <t>0670-TCN13</t>
  </si>
  <si>
    <t>D     77</t>
  </si>
  <si>
    <t>D    185</t>
  </si>
  <si>
    <t>D    260</t>
  </si>
  <si>
    <t>0671-TCN13</t>
  </si>
  <si>
    <t>SAMURAI MOTORS  S DE RL  DE  CV</t>
  </si>
  <si>
    <t>D    265</t>
  </si>
  <si>
    <t>0672-TCN13</t>
  </si>
  <si>
    <t>DALTON AUTOMOTRIZ  S DE RL DE CV</t>
  </si>
  <si>
    <t>D    266</t>
  </si>
  <si>
    <t>0673-TCN13</t>
  </si>
  <si>
    <t>UNITED  DE MONTERREY S DE  RL DE  C</t>
  </si>
  <si>
    <t>D    294</t>
  </si>
  <si>
    <t>D    296</t>
  </si>
  <si>
    <t>D    304</t>
  </si>
  <si>
    <t>0674-TCN13</t>
  </si>
  <si>
    <t>0675-TCN13</t>
  </si>
  <si>
    <t>D    440</t>
  </si>
  <si>
    <t>0676-TCN13</t>
  </si>
  <si>
    <t>D    444</t>
  </si>
  <si>
    <t>D    501</t>
  </si>
  <si>
    <t>0677-TCN13</t>
  </si>
  <si>
    <t>D    514</t>
  </si>
  <si>
    <t>RENTAJUNIO</t>
  </si>
  <si>
    <t>D    529</t>
  </si>
  <si>
    <t>0678-TCN13</t>
  </si>
  <si>
    <t>0679-TCN13</t>
  </si>
  <si>
    <t>D    583</t>
  </si>
  <si>
    <t>0680-TCN13</t>
  </si>
  <si>
    <t>D    584</t>
  </si>
  <si>
    <t>0681-TCN13</t>
  </si>
  <si>
    <t>D    589</t>
  </si>
  <si>
    <t>0682-TCN13</t>
  </si>
  <si>
    <t>D    602</t>
  </si>
  <si>
    <t>0683-TCN13</t>
  </si>
  <si>
    <t>D    603</t>
  </si>
  <si>
    <t>0684-TCN13</t>
  </si>
  <si>
    <t>D    604</t>
  </si>
  <si>
    <t>0685-TCN13</t>
  </si>
  <si>
    <t>D    605</t>
  </si>
  <si>
    <t>0686-TCN13</t>
  </si>
  <si>
    <t>D    608</t>
  </si>
  <si>
    <t>0687-TCN13</t>
  </si>
  <si>
    <t>D    637</t>
  </si>
  <si>
    <t>0688-TCN13</t>
  </si>
  <si>
    <t>D    661</t>
  </si>
  <si>
    <t>AM-0000741</t>
  </si>
  <si>
    <t>D    880</t>
  </si>
  <si>
    <t>0689-TCN13</t>
  </si>
  <si>
    <t>PROMOTORA  AUTOMOTRIZ SANTA  FE SA</t>
  </si>
  <si>
    <t>D    881</t>
  </si>
  <si>
    <t>0690-TCN13</t>
  </si>
  <si>
    <t>DURANGO AUTOMOTORES S  DE RL DE CV</t>
  </si>
  <si>
    <t>AM-0000755</t>
  </si>
  <si>
    <t>AM-0000760</t>
  </si>
  <si>
    <t>D  1,002</t>
  </si>
  <si>
    <t>0691-TCN13</t>
  </si>
  <si>
    <t>0692-TCN13</t>
  </si>
  <si>
    <t>D  1,006</t>
  </si>
  <si>
    <t>0693-TCN13</t>
  </si>
  <si>
    <t>D  1,014</t>
  </si>
  <si>
    <t>0694-TCN13</t>
  </si>
  <si>
    <t>OZ  AUTOMOTRIZ S  DE  RL DE  CV</t>
  </si>
  <si>
    <t>D  1,052</t>
  </si>
  <si>
    <t>0695-TCN13</t>
  </si>
  <si>
    <t>D  1,149</t>
  </si>
  <si>
    <t>0696-TCN13</t>
  </si>
  <si>
    <t>ALECSA  PACHUCA S  DE  RL DE  CV</t>
  </si>
  <si>
    <t>0698-TCN13</t>
  </si>
  <si>
    <t>D  1,210</t>
  </si>
  <si>
    <t>0697-TCN13</t>
  </si>
  <si>
    <t>D  1,211</t>
  </si>
  <si>
    <t>0699-TCN13</t>
  </si>
  <si>
    <t>D  1,214</t>
  </si>
  <si>
    <t>0700-TCN13</t>
  </si>
  <si>
    <t>0701-TCN13</t>
  </si>
  <si>
    <t>0702-TCN13</t>
  </si>
  <si>
    <t>0703-TCN13</t>
  </si>
  <si>
    <t>D  1,277</t>
  </si>
  <si>
    <t>0704-TCN13</t>
  </si>
  <si>
    <t>OZ AUTOMOTRIZ  S DE  RL DE CV</t>
  </si>
  <si>
    <t>D  1,309</t>
  </si>
  <si>
    <t>AM-0000768</t>
  </si>
  <si>
    <t>D  1,324</t>
  </si>
  <si>
    <t>0707-TCN13</t>
  </si>
  <si>
    <t>D  1,387</t>
  </si>
  <si>
    <t>0965-TCN12</t>
  </si>
  <si>
    <t>ALDEN QUERETARO S  DE RL DE CV</t>
  </si>
  <si>
    <t>D  1,390</t>
  </si>
  <si>
    <t>0708-TCN13</t>
  </si>
  <si>
    <t>CCD,AUTOSALES PUERTO VALLARTA S DE</t>
  </si>
  <si>
    <t>0709-TCN13</t>
  </si>
  <si>
    <t>D  1,714</t>
  </si>
  <si>
    <t>0710-TCN13</t>
  </si>
  <si>
    <t>CEVER LOMAS  VERDES  S DE  RL DE  C</t>
  </si>
  <si>
    <t>0711-TCN13</t>
  </si>
  <si>
    <t>EMBAR 196</t>
  </si>
  <si>
    <t>EMBARQUE NUM 196</t>
  </si>
  <si>
    <t>D  1,840</t>
  </si>
  <si>
    <t>VIATICOS SLP DIANA CLAUDIA</t>
  </si>
  <si>
    <t>D  1,841</t>
  </si>
  <si>
    <t>VIATICOS SLP</t>
  </si>
  <si>
    <t>D  1,842</t>
  </si>
  <si>
    <t>VIATICOS SLP 26 AL 28 JUN 2013</t>
  </si>
  <si>
    <t>D  1,843</t>
  </si>
  <si>
    <t>LJIMENEZ:COMISIONES BANCOMER JUN 20</t>
  </si>
  <si>
    <t>COMISIONES AMEX JUN 2013</t>
  </si>
  <si>
    <t>VIATICOS CURSO SLP REFACCIONES</t>
  </si>
  <si>
    <t>D  1,849</t>
  </si>
  <si>
    <t>COMISIONES BANBAJIO JUN 2013</t>
  </si>
  <si>
    <t>D  1,850</t>
  </si>
  <si>
    <t>COMISIONES BANAMEX JUNIO 2013</t>
  </si>
  <si>
    <t>D  1,852</t>
  </si>
  <si>
    <t>COMISIONES SANTANDER JUNIO 201</t>
  </si>
  <si>
    <t>D  1,854</t>
  </si>
  <si>
    <t>COMISIONES BANORTE JUNIO 2013</t>
  </si>
  <si>
    <t>D  1,857</t>
  </si>
  <si>
    <t>COMISIONES HSBC JUNIO 2013</t>
  </si>
  <si>
    <t>0719-TCN13</t>
  </si>
  <si>
    <t>LIDERAZGO AUTOMOTRIZ S DE RL</t>
  </si>
  <si>
    <t>0705-TCN13</t>
  </si>
  <si>
    <t>TOYOTA FINANCIAL SERVICES DE M</t>
  </si>
  <si>
    <t>P4007</t>
  </si>
  <si>
    <t>TRASLA MTY INV 0673-TCN13</t>
  </si>
  <si>
    <t>P4009</t>
  </si>
  <si>
    <t>TRASLADO INV 0658-TCN13</t>
  </si>
  <si>
    <t>P4011</t>
  </si>
  <si>
    <t>TRASLADO INV 0647-TCN13</t>
  </si>
  <si>
    <t>P4013</t>
  </si>
  <si>
    <t>TRASLADO INV 0655-TCN13</t>
  </si>
  <si>
    <t>D  1,873</t>
  </si>
  <si>
    <t>P4015</t>
  </si>
  <si>
    <t>TRASLADO HILUX INV 0644-TCN13</t>
  </si>
  <si>
    <t>P4017</t>
  </si>
  <si>
    <t>TRASLADO INV 0677-TCN13</t>
  </si>
  <si>
    <t>P4018</t>
  </si>
  <si>
    <t>TRASLADO INV 0963-TCN12</t>
  </si>
  <si>
    <t>P4020</t>
  </si>
  <si>
    <t>INTERCAMBIO INV 0670-TCN13</t>
  </si>
  <si>
    <t>P4021</t>
  </si>
  <si>
    <t>TRASLADO INV 0662-TCN13</t>
  </si>
  <si>
    <t>P4023</t>
  </si>
  <si>
    <t>TRASLADO INV 0672-TCN13</t>
  </si>
  <si>
    <t>P4025</t>
  </si>
  <si>
    <t>TRASLADO INV 0665-TCN13</t>
  </si>
  <si>
    <t>P4027</t>
  </si>
  <si>
    <t>TRASLADO INV 0666-TCN13</t>
  </si>
  <si>
    <t>P4029</t>
  </si>
  <si>
    <t>COMPLEMENTO INV 0631-TCN13</t>
  </si>
  <si>
    <t>D  1,888</t>
  </si>
  <si>
    <t>P4030</t>
  </si>
  <si>
    <t>TRASLADO INV 0623-TCN13</t>
  </si>
  <si>
    <t>D  1,890</t>
  </si>
  <si>
    <t>P4032</t>
  </si>
  <si>
    <t>TRASLADO INV 0656-TCN13</t>
  </si>
  <si>
    <t>D  1,892</t>
  </si>
  <si>
    <t>P4034</t>
  </si>
  <si>
    <t>COMPLEMENTO INV 0657-TCN13</t>
  </si>
  <si>
    <t>P4036</t>
  </si>
  <si>
    <t>TRASLADO INV 0661-TCN13</t>
  </si>
  <si>
    <t>P4038</t>
  </si>
  <si>
    <t>TRASLADO REYNOSA INV 0654-TCN1</t>
  </si>
  <si>
    <t>P4050</t>
  </si>
  <si>
    <t>TRASLADO INV 0689-TCN13</t>
  </si>
  <si>
    <t>P4051</t>
  </si>
  <si>
    <t>COMPLEMENT INV 0689-TCN13</t>
  </si>
  <si>
    <t>P4052</t>
  </si>
  <si>
    <t>INTERCAMBIO INV 0569-TCN13</t>
  </si>
  <si>
    <t>P4061</t>
  </si>
  <si>
    <t>SERVICIO DE FUMIGACION</t>
  </si>
  <si>
    <t>P4062</t>
  </si>
  <si>
    <t>ARTICULOS DE LIMPIEZA</t>
  </si>
  <si>
    <t>P4064</t>
  </si>
  <si>
    <t>PAGO DE SERVICIO AUDATEX</t>
  </si>
  <si>
    <t>P4065</t>
  </si>
  <si>
    <t>VASOS Y TAPAS PARA MAQU CAFE</t>
  </si>
  <si>
    <t>P4067</t>
  </si>
  <si>
    <t>P4068</t>
  </si>
  <si>
    <t>P4069</t>
  </si>
  <si>
    <t>ESTACIONES DE SERVICIO SA</t>
  </si>
  <si>
    <t>P4072</t>
  </si>
  <si>
    <t>P4074</t>
  </si>
  <si>
    <t>D  1,916</t>
  </si>
  <si>
    <t>P4076</t>
  </si>
  <si>
    <t>GOLDEN BUFFET CHINA SA DE CV</t>
  </si>
  <si>
    <t>D  1,919</t>
  </si>
  <si>
    <t>P4079</t>
  </si>
  <si>
    <t>P4080</t>
  </si>
  <si>
    <t>P4082</t>
  </si>
  <si>
    <t>EDGAR GEOVANI BARRIOS HERNANDE</t>
  </si>
  <si>
    <t>D  1,923</t>
  </si>
  <si>
    <t>P4083</t>
  </si>
  <si>
    <t>PARABRISAS ARAMBURO SA DE CV</t>
  </si>
  <si>
    <t>P4086</t>
  </si>
  <si>
    <t>P4089</t>
  </si>
  <si>
    <t>P4092</t>
  </si>
  <si>
    <t>P4097</t>
  </si>
  <si>
    <t>P4099</t>
  </si>
  <si>
    <t>APOLINAR GAMIÑO JIMENEZ</t>
  </si>
  <si>
    <t>P4100</t>
  </si>
  <si>
    <t>P4102</t>
  </si>
  <si>
    <t>OXXO EXPRES SA DE CV</t>
  </si>
  <si>
    <t>P4103</t>
  </si>
  <si>
    <t>P4104</t>
  </si>
  <si>
    <t>GRUPO PROALIMEX SA DE CV</t>
  </si>
  <si>
    <t>P4107</t>
  </si>
  <si>
    <t>P4109</t>
  </si>
  <si>
    <t>P4110</t>
  </si>
  <si>
    <t>ROSARIO HERNANDEZ VAZQUEZ</t>
  </si>
  <si>
    <t>P4111</t>
  </si>
  <si>
    <t>P4112</t>
  </si>
  <si>
    <t>P4114</t>
  </si>
  <si>
    <t>D  1,952</t>
  </si>
  <si>
    <t>P4116</t>
  </si>
  <si>
    <t>P4119</t>
  </si>
  <si>
    <t>P4120</t>
  </si>
  <si>
    <t>ROCIO FERNANDEZ CORONA</t>
  </si>
  <si>
    <t>P4122</t>
  </si>
  <si>
    <t>P4123</t>
  </si>
  <si>
    <t>P4127</t>
  </si>
  <si>
    <t>TRASLADO TEPIC INV 0646-TCN13</t>
  </si>
  <si>
    <t>P4129</t>
  </si>
  <si>
    <t>TRASLADO CAMRY INV 0696-TCN13</t>
  </si>
  <si>
    <t>P4133</t>
  </si>
  <si>
    <t>TRASLADO INV 0671-TCN13</t>
  </si>
  <si>
    <t>P4135</t>
  </si>
  <si>
    <t>COMPLEMENTO INV 0287-TCN13</t>
  </si>
  <si>
    <t>R0747</t>
  </si>
  <si>
    <t>ACUARIO AUTOPARTES SA DE CV</t>
  </si>
  <si>
    <t>R0756</t>
  </si>
  <si>
    <t>S0549</t>
  </si>
  <si>
    <t>S0550</t>
  </si>
  <si>
    <t>S0551</t>
  </si>
  <si>
    <t>S 0560</t>
  </si>
  <si>
    <t>S0562</t>
  </si>
  <si>
    <t>S0570</t>
  </si>
  <si>
    <t>MARIA ROSARIO MARTINEZ</t>
  </si>
  <si>
    <t>CH-12613</t>
  </si>
  <si>
    <t>CH-12614</t>
  </si>
  <si>
    <t>E     12</t>
  </si>
  <si>
    <t>CH-12624</t>
  </si>
  <si>
    <t>T-597</t>
  </si>
  <si>
    <t>T-598</t>
  </si>
  <si>
    <t>T-599</t>
  </si>
  <si>
    <t>T-600</t>
  </si>
  <si>
    <t>T-601</t>
  </si>
  <si>
    <t>T-602</t>
  </si>
  <si>
    <t>T-301</t>
  </si>
  <si>
    <t>T-603</t>
  </si>
  <si>
    <t>T-302</t>
  </si>
  <si>
    <t>E     30</t>
  </si>
  <si>
    <t>T-303</t>
  </si>
  <si>
    <t>CH-12634</t>
  </si>
  <si>
    <t>CH-12635</t>
  </si>
  <si>
    <t>CH-12636</t>
  </si>
  <si>
    <t>CH-12637</t>
  </si>
  <si>
    <t>CH-12642</t>
  </si>
  <si>
    <t>CH-12643</t>
  </si>
  <si>
    <t>CH-12644</t>
  </si>
  <si>
    <t>CH-12650</t>
  </si>
  <si>
    <t>CH-12652</t>
  </si>
  <si>
    <t>CH-12651</t>
  </si>
  <si>
    <t>CH-12658</t>
  </si>
  <si>
    <t>CH-12660</t>
  </si>
  <si>
    <t>CH-12661</t>
  </si>
  <si>
    <t>CH-12664</t>
  </si>
  <si>
    <t>CH-12665</t>
  </si>
  <si>
    <t>CH-12666</t>
  </si>
  <si>
    <t>CH-12667</t>
  </si>
  <si>
    <t>CH-12673</t>
  </si>
  <si>
    <t>CH-12675</t>
  </si>
  <si>
    <t>CH-12676</t>
  </si>
  <si>
    <t>CH-12684</t>
  </si>
  <si>
    <t>CH-12685</t>
  </si>
  <si>
    <t>CH-12687</t>
  </si>
  <si>
    <t>LJIMENEZ:PROMOTORA AUTOMOTRIZ IRAPU</t>
  </si>
  <si>
    <t>T-604</t>
  </si>
  <si>
    <t>T-605</t>
  </si>
  <si>
    <t>T-606</t>
  </si>
  <si>
    <t>T-607</t>
  </si>
  <si>
    <t>T-608</t>
  </si>
  <si>
    <t>CH-12696</t>
  </si>
  <si>
    <t>CH-12706</t>
  </si>
  <si>
    <t>CH-12697</t>
  </si>
  <si>
    <t>CH-12698</t>
  </si>
  <si>
    <t>CH-12707</t>
  </si>
  <si>
    <t>CH-12708</t>
  </si>
  <si>
    <t>CH-12709</t>
  </si>
  <si>
    <t>CH-12710</t>
  </si>
  <si>
    <t>CH-12711</t>
  </si>
  <si>
    <t>OZ AUTOMOTRIZ S. DE R.L. DE C.V.</t>
  </si>
  <si>
    <t>CH-12712</t>
  </si>
  <si>
    <t>CH-12702</t>
  </si>
  <si>
    <t>E    142</t>
  </si>
  <si>
    <t>CH-12703</t>
  </si>
  <si>
    <t>CH-12704</t>
  </si>
  <si>
    <t>CH-12705</t>
  </si>
  <si>
    <t>CH-12741</t>
  </si>
  <si>
    <t>T-304</t>
  </si>
  <si>
    <t>T-609</t>
  </si>
  <si>
    <t>T-610</t>
  </si>
  <si>
    <t>T-612</t>
  </si>
  <si>
    <t>T-613</t>
  </si>
  <si>
    <t>T-614</t>
  </si>
  <si>
    <t>T-615</t>
  </si>
  <si>
    <t>T-616</t>
  </si>
  <si>
    <t>T-617</t>
  </si>
  <si>
    <t>CH-12671</t>
  </si>
  <si>
    <t>CH-12729</t>
  </si>
  <si>
    <t>T-305</t>
  </si>
  <si>
    <t>E    168</t>
  </si>
  <si>
    <t>T-619</t>
  </si>
  <si>
    <t>T-620</t>
  </si>
  <si>
    <t>T-621</t>
  </si>
  <si>
    <t>T-623</t>
  </si>
  <si>
    <t>T-306</t>
  </si>
  <si>
    <t>T-624</t>
  </si>
  <si>
    <t>CH-12715</t>
  </si>
  <si>
    <t>CH-12749</t>
  </si>
  <si>
    <t>CH-12733</t>
  </si>
  <si>
    <t>CH-12730</t>
  </si>
  <si>
    <t>CH-12735</t>
  </si>
  <si>
    <t>CH-12731</t>
  </si>
  <si>
    <t>REFACCIONE</t>
  </si>
  <si>
    <t>REFACCIONES TOYOTA MOTOR SALES</t>
  </si>
  <si>
    <t>I    473</t>
  </si>
  <si>
    <t>EMBARQ 180</t>
  </si>
  <si>
    <t>EMBARQUE 180</t>
  </si>
  <si>
    <t>I    474</t>
  </si>
  <si>
    <t>EMBAR 164</t>
  </si>
  <si>
    <t>EMBARQUE 164</t>
  </si>
  <si>
    <t>I    475</t>
  </si>
  <si>
    <t>EMBAR 173</t>
  </si>
  <si>
    <t>EMBARQUE 173</t>
  </si>
  <si>
    <t>I    478</t>
  </si>
  <si>
    <t>EMBARQU</t>
  </si>
  <si>
    <t>EMBARQUE 177</t>
  </si>
  <si>
    <t>I    800</t>
  </si>
  <si>
    <t>EMBARQ 194</t>
  </si>
  <si>
    <t>EMBARQUE NUM 194</t>
  </si>
  <si>
    <t>JUNIO</t>
  </si>
  <si>
    <t>AAU970120R15</t>
  </si>
  <si>
    <t>NUEVA WAL MART DE MEXICO S DE RL</t>
  </si>
  <si>
    <t>TSC070907QS5</t>
  </si>
  <si>
    <t xml:space="preserve">TIENDA SINDICAL DE CONSUMO </t>
  </si>
  <si>
    <t>BAHE830608IH5</t>
  </si>
  <si>
    <t>GTG051118PM0</t>
  </si>
  <si>
    <t xml:space="preserve">GROUP TO GO SA DE CV </t>
  </si>
  <si>
    <t>SSM071002AU9</t>
  </si>
  <si>
    <t xml:space="preserve">STREAM SAN MIGUEL S DE RL DE CV </t>
  </si>
  <si>
    <t>GCB081127PK7</t>
  </si>
  <si>
    <t>GPR0206017L6</t>
  </si>
  <si>
    <t xml:space="preserve">PROMOTORA AUTOMOTRIZ IRAPUATO S DE RL DE CV </t>
  </si>
  <si>
    <t xml:space="preserve">SERVICIO DE AUDITORIO SA DE CV </t>
  </si>
  <si>
    <t xml:space="preserve">AUDATEX LTN S DE RL DE CV </t>
  </si>
  <si>
    <t>FECR650606CL5</t>
  </si>
  <si>
    <t>HEVR551219RD0</t>
  </si>
  <si>
    <t>FUMIGACIONES ELI</t>
  </si>
  <si>
    <t>GGO030530Q64</t>
  </si>
  <si>
    <t xml:space="preserve">GASOLINERA GONZALITOS SA DE CV </t>
  </si>
  <si>
    <t>PTA910214MP0</t>
  </si>
  <si>
    <t xml:space="preserve">PARADOR TURISTICO DEL ALTIPLANO SA DE CV </t>
  </si>
  <si>
    <t>CMA000407SU9</t>
  </si>
  <si>
    <t xml:space="preserve">COMBUSTIBLES MAX SA DE CV </t>
  </si>
  <si>
    <t xml:space="preserve">ESGES SA DE CV </t>
  </si>
  <si>
    <t>MAHE560809SU8</t>
  </si>
  <si>
    <t xml:space="preserve">MARIA EUGENIA MARTINEZ HERNANDEZ </t>
  </si>
  <si>
    <t>OEPE360403D5A</t>
  </si>
  <si>
    <t xml:space="preserve">PEDRO ORTEGA </t>
  </si>
  <si>
    <t>PET040903DH1</t>
  </si>
  <si>
    <t xml:space="preserve">PETROMAX SA DE CV </t>
  </si>
  <si>
    <t>SPE9609177F7</t>
  </si>
  <si>
    <t xml:space="preserve">SERVICIO PERIVIA SA DE CV </t>
  </si>
  <si>
    <t xml:space="preserve">ALIMENTARIA COMPANY S DE RL </t>
  </si>
  <si>
    <t xml:space="preserve">AUTOSERVICIO ANGELOPOLIS SA DE CV </t>
  </si>
  <si>
    <t>DASC7712026I7</t>
  </si>
  <si>
    <t xml:space="preserve">CLAUDIA BIBIANA DAVILA SIFUENTES </t>
  </si>
  <si>
    <t>GOD9304161X2</t>
  </si>
  <si>
    <t xml:space="preserve">GRUPO OMEGA DIVISION PETROLEUM SA DE CV </t>
  </si>
  <si>
    <t>GVA9109126K3</t>
  </si>
  <si>
    <t xml:space="preserve">GUAJARDO VALDEZ ASOCIADOS SA DE CV </t>
  </si>
  <si>
    <t>LOGS560323M99</t>
  </si>
  <si>
    <t xml:space="preserve">SALVADOR ARTURO LOZANO GUTIERREZ </t>
  </si>
  <si>
    <t>SCC921112790</t>
  </si>
  <si>
    <t>SERVICIO CAMIONERO DE CHIHUAHUA</t>
  </si>
  <si>
    <t xml:space="preserve">SUPER RAPIDITOS BIP BIP SA DE CV </t>
  </si>
  <si>
    <t>CGA010307N18</t>
  </si>
  <si>
    <t xml:space="preserve">CENTRO GASOLINERO ANIMAS SA DE CV </t>
  </si>
  <si>
    <t>TCH850701RM1</t>
  </si>
  <si>
    <t xml:space="preserve">TIENDAS CHEDRAUI SA DE CV </t>
  </si>
  <si>
    <t xml:space="preserve">COMERCIAL OXXO SA DE CV </t>
  </si>
  <si>
    <t>SHI9412024L7</t>
  </si>
  <si>
    <t xml:space="preserve">SERVICIO HIGUERAS SA DE CV </t>
  </si>
  <si>
    <t>SME930607863</t>
  </si>
  <si>
    <t xml:space="preserve">SERVICIOS META SA DE CV </t>
  </si>
  <si>
    <t>HEPP550428HM7</t>
  </si>
  <si>
    <t xml:space="preserve">PABLO HERNANDEZ PIEZZI </t>
  </si>
  <si>
    <t>D     30</t>
  </si>
  <si>
    <t>0712-TCN13</t>
  </si>
  <si>
    <t>OZ  AUTOMOTRIZ S  DE  RL DE CV</t>
  </si>
  <si>
    <t>D     33</t>
  </si>
  <si>
    <t>0706-TCN13</t>
  </si>
  <si>
    <t>D     35</t>
  </si>
  <si>
    <t>0713-TCN13</t>
  </si>
  <si>
    <t>D     36</t>
  </si>
  <si>
    <t>0714-TCN13</t>
  </si>
  <si>
    <t>D     38</t>
  </si>
  <si>
    <t>0716-TCN13</t>
  </si>
  <si>
    <t>D     41</t>
  </si>
  <si>
    <t>0718-TCN13</t>
  </si>
  <si>
    <t>D    250</t>
  </si>
  <si>
    <t>0720-TCN13</t>
  </si>
  <si>
    <t>GRUPO  PENNINSULA  MOTORS  S DE RL</t>
  </si>
  <si>
    <t>D    255</t>
  </si>
  <si>
    <t>0721-TCN13</t>
  </si>
  <si>
    <t>D    328</t>
  </si>
  <si>
    <t>0722-TCN13</t>
  </si>
  <si>
    <t>TOY MORELOS S D E RL DE CV</t>
  </si>
  <si>
    <t>D    332</t>
  </si>
  <si>
    <t>0723-TCN13</t>
  </si>
  <si>
    <t>CCD. AUTOSALES  PUERTO VALLARTA  S</t>
  </si>
  <si>
    <t>D    379</t>
  </si>
  <si>
    <t>0724-TCN13</t>
  </si>
  <si>
    <t>ALDEN QUERETARO S DE RL DE  CV</t>
  </si>
  <si>
    <t>D    380</t>
  </si>
  <si>
    <t>0725-TCN13</t>
  </si>
  <si>
    <t>ALDEN QUERETARO S  DE  RL DE  CV</t>
  </si>
  <si>
    <t>D    382</t>
  </si>
  <si>
    <t>0726-TCN13</t>
  </si>
  <si>
    <t>CEVER  LOMAS  VERDES S  DE RL DE  C</t>
  </si>
  <si>
    <t>D    423</t>
  </si>
  <si>
    <t>0727-TCN13</t>
  </si>
  <si>
    <t>FAME PERISUR S DE RL  DE  CV</t>
  </si>
  <si>
    <t>D    478</t>
  </si>
  <si>
    <t>0728-TCN13</t>
  </si>
  <si>
    <t>SAMURAI MOTORS  XALAPA  S DE  RL DE</t>
  </si>
  <si>
    <t>D    545</t>
  </si>
  <si>
    <t>0729-TCN13</t>
  </si>
  <si>
    <t>D    557</t>
  </si>
  <si>
    <t>0730-TCN13</t>
  </si>
  <si>
    <t>D    558</t>
  </si>
  <si>
    <t>0731-TCN13</t>
  </si>
  <si>
    <t>CCD AUTOSALES PUERTO VALLARTA S DE</t>
  </si>
  <si>
    <t>D    712</t>
  </si>
  <si>
    <t>CCD.AUTOSALES PUERTO VALLARTA  S DE</t>
  </si>
  <si>
    <t>D    717</t>
  </si>
  <si>
    <t>0732-TCN13</t>
  </si>
  <si>
    <t>D    718</t>
  </si>
  <si>
    <t>0737-TCN13</t>
  </si>
  <si>
    <t>D    723</t>
  </si>
  <si>
    <t>0738-TCN13</t>
  </si>
  <si>
    <t>AM-0000778</t>
  </si>
  <si>
    <t>0740-TCN13</t>
  </si>
  <si>
    <t>D    753</t>
  </si>
  <si>
    <t>0739-TCN13</t>
  </si>
  <si>
    <t>DALTON AUTOMOTRIZ S DE RL  DE  CV</t>
  </si>
  <si>
    <t>D    761</t>
  </si>
  <si>
    <t>0733-TCN13</t>
  </si>
  <si>
    <t>D    762</t>
  </si>
  <si>
    <t>0734-TCN13</t>
  </si>
  <si>
    <t>0735-TCN13</t>
  </si>
  <si>
    <t>D    764</t>
  </si>
  <si>
    <t>0736-TCN13</t>
  </si>
  <si>
    <t>D    777</t>
  </si>
  <si>
    <t>D    785</t>
  </si>
  <si>
    <t>0741-TCN13</t>
  </si>
  <si>
    <t>D    786</t>
  </si>
  <si>
    <t>0742-TCN13</t>
  </si>
  <si>
    <t>D    787</t>
  </si>
  <si>
    <t>0743-TCN13</t>
  </si>
  <si>
    <t>D    788</t>
  </si>
  <si>
    <t>0744-TCN13</t>
  </si>
  <si>
    <t>D    789</t>
  </si>
  <si>
    <t>0745-TCN13</t>
  </si>
  <si>
    <t>D    831</t>
  </si>
  <si>
    <t>0746-TCN13</t>
  </si>
  <si>
    <t>OZ  AUTOMOTRIZ S DE RL C.V.</t>
  </si>
  <si>
    <t>D    912</t>
  </si>
  <si>
    <t>0747-TCN13</t>
  </si>
  <si>
    <t>0748-TCN13</t>
  </si>
  <si>
    <t>D    959</t>
  </si>
  <si>
    <t>0749-TCN13</t>
  </si>
  <si>
    <t>FAME PERISUR S  DE RL DE  CV</t>
  </si>
  <si>
    <t>0750-TCN13</t>
  </si>
  <si>
    <t>ALDEN QUERETARO S D ERLD E CV</t>
  </si>
  <si>
    <t>0751-TCN13</t>
  </si>
  <si>
    <t>GRUPO PENNINSULA MOTORS S D E RL DE</t>
  </si>
  <si>
    <t>0752-TCN13</t>
  </si>
  <si>
    <t>D  1,015</t>
  </si>
  <si>
    <t>0753-TCN13</t>
  </si>
  <si>
    <t>D  1,016</t>
  </si>
  <si>
    <t>0754-TCN13</t>
  </si>
  <si>
    <t>OZ  AUTOMOTRIZ S  DE RL DE  CV</t>
  </si>
  <si>
    <t>D  1,017</t>
  </si>
  <si>
    <t>0755-TCN13</t>
  </si>
  <si>
    <t>D  1,018</t>
  </si>
  <si>
    <t>0756-TCN13</t>
  </si>
  <si>
    <t>CEVER  TOLUCA S  DE RL DE CV</t>
  </si>
  <si>
    <t>D  1,029</t>
  </si>
  <si>
    <t>0761-TCN13</t>
  </si>
  <si>
    <t>OZ AUTOMOTRIZ  S DE RL DE CV</t>
  </si>
  <si>
    <t>D  1,030</t>
  </si>
  <si>
    <t>0757-TCN13</t>
  </si>
  <si>
    <t>0758-TCN13</t>
  </si>
  <si>
    <t>OZ  AUTOMOTRIZ S DE RL DE  CV</t>
  </si>
  <si>
    <t>D  1,032</t>
  </si>
  <si>
    <t>0759-TCN13</t>
  </si>
  <si>
    <t>OZ AUTOMOTRIZ S D E RL  DE CV</t>
  </si>
  <si>
    <t>D  1,033</t>
  </si>
  <si>
    <t>0760-TCN13</t>
  </si>
  <si>
    <t>OZ AUTMOTRIZ S DE RL  DE  CV</t>
  </si>
  <si>
    <t>D  1,034</t>
  </si>
  <si>
    <t>0762-TCN13</t>
  </si>
  <si>
    <t>AM-0000792</t>
  </si>
  <si>
    <t>D  1,058</t>
  </si>
  <si>
    <t>0765-TCN13</t>
  </si>
  <si>
    <t>DALTON AUTOMOTORES S  DE RL  DE  CV</t>
  </si>
  <si>
    <t>D  1,060</t>
  </si>
  <si>
    <t>0764-TCN13</t>
  </si>
  <si>
    <t>D  1,088</t>
  </si>
  <si>
    <t>0763-TCN13</t>
  </si>
  <si>
    <t>D  1,235</t>
  </si>
  <si>
    <t>0767-TCN13</t>
  </si>
  <si>
    <t>0766-TCN13</t>
  </si>
  <si>
    <t>0768-TCN13</t>
  </si>
  <si>
    <t>OZ  AUTMOTRIZ S DE RL DE CV</t>
  </si>
  <si>
    <t>D  1,243</t>
  </si>
  <si>
    <t>0769-TCN13</t>
  </si>
  <si>
    <t>FAME  PERISUR  S D E RL  DE  CV</t>
  </si>
  <si>
    <t>D  1,246</t>
  </si>
  <si>
    <t>0770-TCN13</t>
  </si>
  <si>
    <t>OZ  AUTOMOTRIZ S  DE RL DE CV</t>
  </si>
  <si>
    <t>AM-0000800</t>
  </si>
  <si>
    <t>D  1,252</t>
  </si>
  <si>
    <t>AM-0000805</t>
  </si>
  <si>
    <t>COMPLEIVA1</t>
  </si>
  <si>
    <t>COMPLEMENTO IVA PROTECCION 200</t>
  </si>
  <si>
    <t>D  1,430</t>
  </si>
  <si>
    <t>0771-TCN13</t>
  </si>
  <si>
    <t>D  1,489</t>
  </si>
  <si>
    <t>0772-TCN13</t>
  </si>
  <si>
    <t>D  1,495</t>
  </si>
  <si>
    <t>0773-TCN13</t>
  </si>
  <si>
    <t>D  1,496</t>
  </si>
  <si>
    <t>0774-TCN13</t>
  </si>
  <si>
    <t>D  1,499</t>
  </si>
  <si>
    <t>0775-TCN13</t>
  </si>
  <si>
    <t>D  1,500</t>
  </si>
  <si>
    <t>0776-TCN13</t>
  </si>
  <si>
    <t>D  1,501</t>
  </si>
  <si>
    <t>0777-TCN13</t>
  </si>
  <si>
    <t>D  1,502</t>
  </si>
  <si>
    <t>0778-TCN13</t>
  </si>
  <si>
    <t>D  1,512</t>
  </si>
  <si>
    <t>0779-TCN13</t>
  </si>
  <si>
    <t>D  1,514</t>
  </si>
  <si>
    <t>0780-TCN13</t>
  </si>
  <si>
    <t>D  1,529</t>
  </si>
  <si>
    <t>0781-TCN13</t>
  </si>
  <si>
    <t>D  1,531</t>
  </si>
  <si>
    <t>0782-TCN13</t>
  </si>
  <si>
    <t>D  1,533</t>
  </si>
  <si>
    <t>0783-TCN13</t>
  </si>
  <si>
    <t>D  1,557</t>
  </si>
  <si>
    <t>0784-TCN13</t>
  </si>
  <si>
    <t>CEVER  TOLUCA S DE  RL DE CV</t>
  </si>
  <si>
    <t>D  1,660</t>
  </si>
  <si>
    <t>0785-TCN13</t>
  </si>
  <si>
    <t>D  1,661</t>
  </si>
  <si>
    <t>0786-TCN13</t>
  </si>
  <si>
    <t>D  1,662</t>
  </si>
  <si>
    <t>0787-TCN13</t>
  </si>
  <si>
    <t>0788-TCN13</t>
  </si>
  <si>
    <t>0790-TCN13</t>
  </si>
  <si>
    <t>D  1,681</t>
  </si>
  <si>
    <t>0789-TCN13</t>
  </si>
  <si>
    <t>D  1,695</t>
  </si>
  <si>
    <t>0791-TCN13</t>
  </si>
  <si>
    <t>ALECSA  PACHUCA  S DE  RL DE CV</t>
  </si>
  <si>
    <t>VIATICOS SLP DIANA JUAREZ</t>
  </si>
  <si>
    <t>D  1,851</t>
  </si>
  <si>
    <t>VIATICOS JORGE ALBERTO RAMIREZ</t>
  </si>
  <si>
    <t>VIATICOS SLP 26 AL 28 JUN</t>
  </si>
  <si>
    <t>D  1,853</t>
  </si>
  <si>
    <t>VIATICOS 15 Y 16 SANTA FE</t>
  </si>
  <si>
    <t>0792-TCN13</t>
  </si>
  <si>
    <t>AM-0000815</t>
  </si>
  <si>
    <t>0793-TCN13</t>
  </si>
  <si>
    <t>0794-TCN13</t>
  </si>
  <si>
    <t>0795-TCN13</t>
  </si>
  <si>
    <t>PREMIER DE  ORIENTE S DE  RL DE CV</t>
  </si>
  <si>
    <t>0796-TCN13</t>
  </si>
  <si>
    <t>PROMOTORA AUTOMOTRIZ DE  IRAPUATO</t>
  </si>
  <si>
    <t>0797-TCN13</t>
  </si>
  <si>
    <t>OZ AUTOMOTRIZ S  DE  RL DE  CV</t>
  </si>
  <si>
    <t>0798-TCN13</t>
  </si>
  <si>
    <t>CCD,AUTOSALES  PUERTO VALLARTA</t>
  </si>
  <si>
    <t>0799-TCN13</t>
  </si>
  <si>
    <t>VALOR FARRERA AUTOMOTRIZ S DE RL DE</t>
  </si>
  <si>
    <t>D  2,199</t>
  </si>
  <si>
    <t>0800-TCN13</t>
  </si>
  <si>
    <t>PROMOTORA AUTOMOTRIZ DE  SANTA  FE</t>
  </si>
  <si>
    <t>D  2,220</t>
  </si>
  <si>
    <t>ARRENJULIO</t>
  </si>
  <si>
    <t>D  2,221</t>
  </si>
  <si>
    <t>D  2,290</t>
  </si>
  <si>
    <t>COMISIONES BANAMEX JUL 2013</t>
  </si>
  <si>
    <t>D  2,292</t>
  </si>
  <si>
    <t>COMISIONES HSBC JULIO 2013</t>
  </si>
  <si>
    <t>D  2,294</t>
  </si>
  <si>
    <t>COMISIONES SCOTIABANK JULIO 20</t>
  </si>
  <si>
    <t>D  2,296</t>
  </si>
  <si>
    <t>COMISIONES JULIO 2013 BANBAJIO</t>
  </si>
  <si>
    <t>D  2,297</t>
  </si>
  <si>
    <t>COMISIONES BANORTE JULIO 2013</t>
  </si>
  <si>
    <t>D  2,301</t>
  </si>
  <si>
    <t>COMISIONES JUL 2013 SANTANDER</t>
  </si>
  <si>
    <t>D  2,302</t>
  </si>
  <si>
    <t>LJIMENEZ:COMISIONES BANCOMER JUL 20</t>
  </si>
  <si>
    <t>D  2,305</t>
  </si>
  <si>
    <t>COMISIONES AMEX JULIO 2013</t>
  </si>
  <si>
    <t>D  2,312</t>
  </si>
  <si>
    <t>CH-12893</t>
  </si>
  <si>
    <t>TOYOTA MOTOS SALES DE MEXICO</t>
  </si>
  <si>
    <t>D  2,316</t>
  </si>
  <si>
    <t>EMBARQ 239</t>
  </si>
  <si>
    <t>LJIMENEZ:EMBARQUE 239</t>
  </si>
  <si>
    <t>D  2,332</t>
  </si>
  <si>
    <t>P004152</t>
  </si>
  <si>
    <t>D  2,334</t>
  </si>
  <si>
    <t>P004154</t>
  </si>
  <si>
    <t>D  2,335</t>
  </si>
  <si>
    <t>VEGMAR PINTURAS SA DE CV</t>
  </si>
  <si>
    <t>D  2,336</t>
  </si>
  <si>
    <t>ARTURO JAVIER RICO HDZ.F-4157</t>
  </si>
  <si>
    <t>D  2,338</t>
  </si>
  <si>
    <t>P004167</t>
  </si>
  <si>
    <t>COMERCIALIZADORA ALEXA SA DE C</t>
  </si>
  <si>
    <t>D  2,340</t>
  </si>
  <si>
    <t>P004169</t>
  </si>
  <si>
    <t>D  2,342</t>
  </si>
  <si>
    <t>P004171</t>
  </si>
  <si>
    <t>SERVICIO BASE AEREA SA DE CV</t>
  </si>
  <si>
    <t>D  2,344</t>
  </si>
  <si>
    <t>P004173</t>
  </si>
  <si>
    <t>D  2,346</t>
  </si>
  <si>
    <t>P004175</t>
  </si>
  <si>
    <t>DISTRIBUIDORA ROESMA SA DE CV</t>
  </si>
  <si>
    <t>D  2,348</t>
  </si>
  <si>
    <t>P004177</t>
  </si>
  <si>
    <t>OPERADORA KAMERUN SA DE CV</t>
  </si>
  <si>
    <t>D  2,349</t>
  </si>
  <si>
    <t>ABASTECEDORA LA MORENITA SA DE</t>
  </si>
  <si>
    <t>D  2,351</t>
  </si>
  <si>
    <t>P004180</t>
  </si>
  <si>
    <t>TRASLADO CASETAS 0739-TCN13</t>
  </si>
  <si>
    <t>D  2,353</t>
  </si>
  <si>
    <t>P004182</t>
  </si>
  <si>
    <t>D  2,355</t>
  </si>
  <si>
    <t>P004184</t>
  </si>
  <si>
    <t>SERV.LAS JUNTAS Y AUTOSERVICIO</t>
  </si>
  <si>
    <t>D  2,357</t>
  </si>
  <si>
    <t>P004186</t>
  </si>
  <si>
    <t>D  2,359</t>
  </si>
  <si>
    <t>P004188</t>
  </si>
  <si>
    <t>D  2,361</t>
  </si>
  <si>
    <t>P004190</t>
  </si>
  <si>
    <t>D  2,363</t>
  </si>
  <si>
    <t>P004192</t>
  </si>
  <si>
    <t>D  2,365</t>
  </si>
  <si>
    <t>P004194</t>
  </si>
  <si>
    <t>PETROMAX SA DE CV</t>
  </si>
  <si>
    <t>D  2,367</t>
  </si>
  <si>
    <t>ESTACIONES DE SERVICIO SA DE C</t>
  </si>
  <si>
    <t>D  2,368</t>
  </si>
  <si>
    <t>P004198</t>
  </si>
  <si>
    <t>OURO PRETO SA DE CV</t>
  </si>
  <si>
    <t>D  2,370</t>
  </si>
  <si>
    <t>P004199</t>
  </si>
  <si>
    <t>GASOLINERA DON JOSE SA DE CV</t>
  </si>
  <si>
    <t>D  2,371</t>
  </si>
  <si>
    <t>P004301</t>
  </si>
  <si>
    <t>D  2,373</t>
  </si>
  <si>
    <t>P004302</t>
  </si>
  <si>
    <t>D  2,375</t>
  </si>
  <si>
    <t>P004304</t>
  </si>
  <si>
    <t>D  2,376</t>
  </si>
  <si>
    <t>P004306</t>
  </si>
  <si>
    <t>SERVICIO JACARANDA SA DE CV</t>
  </si>
  <si>
    <t>D  2,378</t>
  </si>
  <si>
    <t>ESPONJAS F-B188</t>
  </si>
  <si>
    <t>D  2,380</t>
  </si>
  <si>
    <t>RESTAURANTES EXCLUSIVOS DEL BA</t>
  </si>
  <si>
    <t>D  2,381</t>
  </si>
  <si>
    <t>D  2,382</t>
  </si>
  <si>
    <t>SANBORN HERMANOS SA</t>
  </si>
  <si>
    <t>D  2,386</t>
  </si>
  <si>
    <t>P004322</t>
  </si>
  <si>
    <t>GRUPO OCTANO SA DE CV</t>
  </si>
  <si>
    <t>D  2,388</t>
  </si>
  <si>
    <t>P004324</t>
  </si>
  <si>
    <t>SAMUEL RICO RAMIREZINV.0965-TC</t>
  </si>
  <si>
    <t>D  2,390</t>
  </si>
  <si>
    <t>P004326</t>
  </si>
  <si>
    <t>D  2,392</t>
  </si>
  <si>
    <t>P004328</t>
  </si>
  <si>
    <t>D  2,394</t>
  </si>
  <si>
    <t>P004330</t>
  </si>
  <si>
    <t>AUTOSERVICIO ANGELOPOLIS SA DE</t>
  </si>
  <si>
    <t>D  2,396</t>
  </si>
  <si>
    <t>P004332</t>
  </si>
  <si>
    <t>D  2,398</t>
  </si>
  <si>
    <t>P004334</t>
  </si>
  <si>
    <t>SERVICIO FUGAS DE TEXCOCO SA D</t>
  </si>
  <si>
    <t>D  2,401</t>
  </si>
  <si>
    <t>GRUPO QL SA DE CV</t>
  </si>
  <si>
    <t>D  2,403</t>
  </si>
  <si>
    <t>P004338</t>
  </si>
  <si>
    <t>D  2,405</t>
  </si>
  <si>
    <t>P004340</t>
  </si>
  <si>
    <t>D  2,406</t>
  </si>
  <si>
    <t>P004342</t>
  </si>
  <si>
    <t>ULTRA SERVICIO LOMAS SA DE CV</t>
  </si>
  <si>
    <t>D  2,408</t>
  </si>
  <si>
    <t>P004343</t>
  </si>
  <si>
    <t>D  2,410</t>
  </si>
  <si>
    <t>P004345</t>
  </si>
  <si>
    <t>D  2,412</t>
  </si>
  <si>
    <t>P004347</t>
  </si>
  <si>
    <t>D  2,416</t>
  </si>
  <si>
    <t>P004350</t>
  </si>
  <si>
    <t>ESTACION PALMA GORDA SA DE CV</t>
  </si>
  <si>
    <t>D  2,418</t>
  </si>
  <si>
    <t>DEA GARCIA F-2285 FUNIGACION</t>
  </si>
  <si>
    <t>D  2,420</t>
  </si>
  <si>
    <t>D  2,423</t>
  </si>
  <si>
    <t>D  2,426</t>
  </si>
  <si>
    <t>LUIS ARMANDO MENDEZ REYNA PAPE</t>
  </si>
  <si>
    <t>D  2,427</t>
  </si>
  <si>
    <t>D  2,428</t>
  </si>
  <si>
    <t>AUDATEX LTN DE RL DE CV</t>
  </si>
  <si>
    <t>D  2,429</t>
  </si>
  <si>
    <t>D  2,431</t>
  </si>
  <si>
    <t>D  2,432</t>
  </si>
  <si>
    <t>D  2,433</t>
  </si>
  <si>
    <t>ALEJANDRO LOPEZ NEGRETE F-5777</t>
  </si>
  <si>
    <t>D  2,434</t>
  </si>
  <si>
    <t>D  2,436</t>
  </si>
  <si>
    <t>D  2,438</t>
  </si>
  <si>
    <t>D  2,439</t>
  </si>
  <si>
    <t>D  2,444</t>
  </si>
  <si>
    <t>D  2,445</t>
  </si>
  <si>
    <t>D  2,446</t>
  </si>
  <si>
    <t>TOMAS SOLORZANO BRINGAS F-1864</t>
  </si>
  <si>
    <t>D  2,447</t>
  </si>
  <si>
    <t>D  2,448</t>
  </si>
  <si>
    <t>D  2,450</t>
  </si>
  <si>
    <t>D  2,455</t>
  </si>
  <si>
    <t>JUAN CARLOS AGUILA ESTRADA F-5</t>
  </si>
  <si>
    <t>D  2,457</t>
  </si>
  <si>
    <t>D  2,458</t>
  </si>
  <si>
    <t>D  2,459</t>
  </si>
  <si>
    <t>D  2,460</t>
  </si>
  <si>
    <t>D  2,462</t>
  </si>
  <si>
    <t>P004401</t>
  </si>
  <si>
    <t>SERVICIO AGUA JUMAPA</t>
  </si>
  <si>
    <t>D  2,464</t>
  </si>
  <si>
    <t>D  2,467</t>
  </si>
  <si>
    <t>TOMAS SOLORZANO BRINGAS F18746</t>
  </si>
  <si>
    <t>D  2,468</t>
  </si>
  <si>
    <t>TOMAS SOLORZANO BRINGAS F18743</t>
  </si>
  <si>
    <t>D  2,469</t>
  </si>
  <si>
    <t>D  2,473</t>
  </si>
  <si>
    <t>D  2,474</t>
  </si>
  <si>
    <t>OXXO EXPRESS SA CV VARIOS</t>
  </si>
  <si>
    <t>D  2,477</t>
  </si>
  <si>
    <t>ARMANDO DURAN MEJIA F-797</t>
  </si>
  <si>
    <t>D  2,481</t>
  </si>
  <si>
    <t>D  2,483</t>
  </si>
  <si>
    <t>DISTRIBUIDORA DE TORNILLOS SA</t>
  </si>
  <si>
    <t>D  2,485</t>
  </si>
  <si>
    <t>D  2,488</t>
  </si>
  <si>
    <t>D  2,489</t>
  </si>
  <si>
    <t>D  2,490</t>
  </si>
  <si>
    <t>D  2,491</t>
  </si>
  <si>
    <t>D  2,492</t>
  </si>
  <si>
    <t>CASETAS GERENCIA</t>
  </si>
  <si>
    <t>D  2,494</t>
  </si>
  <si>
    <t>D  2,495</t>
  </si>
  <si>
    <t>D  2,496</t>
  </si>
  <si>
    <t>R00076</t>
  </si>
  <si>
    <t>MORA SOLANO NICOLAS F-0699</t>
  </si>
  <si>
    <t>D  2,497</t>
  </si>
  <si>
    <t>S000584</t>
  </si>
  <si>
    <t>D  2,498</t>
  </si>
  <si>
    <t>S000586</t>
  </si>
  <si>
    <t>MARTINEZ CASTILLO TANIA GABRIE</t>
  </si>
  <si>
    <t>D  2,499</t>
  </si>
  <si>
    <t>S000587</t>
  </si>
  <si>
    <t>D  2,500</t>
  </si>
  <si>
    <t>S000589</t>
  </si>
  <si>
    <t>DURAN MEJIA ARMANDO F-0798</t>
  </si>
  <si>
    <t>D  2,501</t>
  </si>
  <si>
    <t>S000595</t>
  </si>
  <si>
    <t>DURAN MEJIA ARMANDO F-0805</t>
  </si>
  <si>
    <t>D  2,502</t>
  </si>
  <si>
    <t>S000602</t>
  </si>
  <si>
    <t>DURAN MEJIA ARMANDO F-0822</t>
  </si>
  <si>
    <t>D  2,503</t>
  </si>
  <si>
    <t>S000603</t>
  </si>
  <si>
    <t>D  2,504</t>
  </si>
  <si>
    <t>S000604</t>
  </si>
  <si>
    <t>CH-12755</t>
  </si>
  <si>
    <t>CH-12756</t>
  </si>
  <si>
    <t>CH-12770</t>
  </si>
  <si>
    <t>CH-12762</t>
  </si>
  <si>
    <t>T-307</t>
  </si>
  <si>
    <t>T-308</t>
  </si>
  <si>
    <t>T-325</t>
  </si>
  <si>
    <t>T-326</t>
  </si>
  <si>
    <t>T-309</t>
  </si>
  <si>
    <t>T-627</t>
  </si>
  <si>
    <t>T-628</t>
  </si>
  <si>
    <t>T-629</t>
  </si>
  <si>
    <t>T-630</t>
  </si>
  <si>
    <t>T-310</t>
  </si>
  <si>
    <t>T-311</t>
  </si>
  <si>
    <t>T-631</t>
  </si>
  <si>
    <t>CH-12787</t>
  </si>
  <si>
    <t>CH-12788</t>
  </si>
  <si>
    <t>CH-12782</t>
  </si>
  <si>
    <t>CH-12818</t>
  </si>
  <si>
    <t>CH-12819</t>
  </si>
  <si>
    <t>CH-12808</t>
  </si>
  <si>
    <t>CH-12809</t>
  </si>
  <si>
    <t>CH-12750</t>
  </si>
  <si>
    <t>CH-12778</t>
  </si>
  <si>
    <t>T-312</t>
  </si>
  <si>
    <t>T-632</t>
  </si>
  <si>
    <t>T-633</t>
  </si>
  <si>
    <t>T-635</t>
  </si>
  <si>
    <t>T-636</t>
  </si>
  <si>
    <t>T-637</t>
  </si>
  <si>
    <t>T-638</t>
  </si>
  <si>
    <t>T-639</t>
  </si>
  <si>
    <t>T-640</t>
  </si>
  <si>
    <t>LJIMENEZ:AUTOPARTES HIDRAULICAS SA</t>
  </si>
  <si>
    <t>T-314</t>
  </si>
  <si>
    <t>CH-12822</t>
  </si>
  <si>
    <t>T-643</t>
  </si>
  <si>
    <t>T-644</t>
  </si>
  <si>
    <t>T-645</t>
  </si>
  <si>
    <t>T-646</t>
  </si>
  <si>
    <t>T-647</t>
  </si>
  <si>
    <t>T-649</t>
  </si>
  <si>
    <t>T-651</t>
  </si>
  <si>
    <t>T-315</t>
  </si>
  <si>
    <t>CH-12831</t>
  </si>
  <si>
    <t>E    138</t>
  </si>
  <si>
    <t>CH-12839</t>
  </si>
  <si>
    <t>MAGDALENO ROJAS JONATHAN</t>
  </si>
  <si>
    <t>E    140</t>
  </si>
  <si>
    <t>CH-12840</t>
  </si>
  <si>
    <t>PREMIER DE ORIENTE MAZATLAN S DE RL</t>
  </si>
  <si>
    <t>CH-12841</t>
  </si>
  <si>
    <t>CH-12842</t>
  </si>
  <si>
    <t>CH-12843</t>
  </si>
  <si>
    <t>CH-12844</t>
  </si>
  <si>
    <t>CH-12845</t>
  </si>
  <si>
    <t>CH-12847</t>
  </si>
  <si>
    <t>CH-12848</t>
  </si>
  <si>
    <t>CH-12864</t>
  </si>
  <si>
    <t>T-316</t>
  </si>
  <si>
    <t>E    176</t>
  </si>
  <si>
    <t>T-653</t>
  </si>
  <si>
    <t>T-654</t>
  </si>
  <si>
    <t>T-317</t>
  </si>
  <si>
    <t>T-318</t>
  </si>
  <si>
    <t>T-655</t>
  </si>
  <si>
    <t>TRASLADOS DINASTIAS SA DE CV</t>
  </si>
  <si>
    <t>T-656</t>
  </si>
  <si>
    <t>CARROCERIAS EL FUERTE S DE RL DE CV</t>
  </si>
  <si>
    <t>E    201</t>
  </si>
  <si>
    <t>CH-12878</t>
  </si>
  <si>
    <t>CH-12880</t>
  </si>
  <si>
    <t>CH-12881</t>
  </si>
  <si>
    <t>CH-12886</t>
  </si>
  <si>
    <t>T-319</t>
  </si>
  <si>
    <t>T-320</t>
  </si>
  <si>
    <t>T-657</t>
  </si>
  <si>
    <t>T-658</t>
  </si>
  <si>
    <t>T-321</t>
  </si>
  <si>
    <t>T-659</t>
  </si>
  <si>
    <t>T-660</t>
  </si>
  <si>
    <t>T-661</t>
  </si>
  <si>
    <t>T-663</t>
  </si>
  <si>
    <t>T-664</t>
  </si>
  <si>
    <t>T-666</t>
  </si>
  <si>
    <t>T-667</t>
  </si>
  <si>
    <t>CH-12832</t>
  </si>
  <si>
    <t>E    237</t>
  </si>
  <si>
    <t>CH-12855</t>
  </si>
  <si>
    <t>COMERCIAL DEL CENTRO LUCCA SA DE CV</t>
  </si>
  <si>
    <t>T-668</t>
  </si>
  <si>
    <t>CH-12884</t>
  </si>
  <si>
    <t>T-679</t>
  </si>
  <si>
    <t>T-680</t>
  </si>
  <si>
    <t>CH-12836</t>
  </si>
  <si>
    <t>ANUNCIOS EXITOSOS EN INTERNET, S.A.</t>
  </si>
  <si>
    <t>CH-12833</t>
  </si>
  <si>
    <t>DRIDCO MEXICO SA DE CV</t>
  </si>
  <si>
    <t>T-323</t>
  </si>
  <si>
    <t>T-681</t>
  </si>
  <si>
    <t>I    370</t>
  </si>
  <si>
    <t>EMBARQ 207</t>
  </si>
  <si>
    <t>EMBARQUE NUM 207</t>
  </si>
  <si>
    <t>I    372</t>
  </si>
  <si>
    <t>EMBAR 214</t>
  </si>
  <si>
    <t>EMBARQUE 214</t>
  </si>
  <si>
    <t>I    373</t>
  </si>
  <si>
    <t>EMBARQ 214</t>
  </si>
  <si>
    <t>I    665</t>
  </si>
  <si>
    <t>EMBARQ 229</t>
  </si>
  <si>
    <t>EMBARQUE 229</t>
  </si>
  <si>
    <t>JULIO</t>
  </si>
  <si>
    <t>AEI100407PH3</t>
  </si>
  <si>
    <t xml:space="preserve">ARMANDO DURAN MEJIA </t>
  </si>
  <si>
    <t xml:space="preserve">ARTURO JAVIER RICO </t>
  </si>
  <si>
    <t xml:space="preserve">CADENA COMERCIAL OXXO SA DE CV </t>
  </si>
  <si>
    <t>JENARO SOLORZANO ESQUEDA</t>
  </si>
  <si>
    <t>CFU101216QB5</t>
  </si>
  <si>
    <t>ULU060801541</t>
  </si>
  <si>
    <t xml:space="preserve">COMERCIALIZADORA ALEXA SA DE CV </t>
  </si>
  <si>
    <t xml:space="preserve">TIENDA SINDICAL DE CONSUMO SECCION X SAN FCO SA </t>
  </si>
  <si>
    <t xml:space="preserve">TIENDA SINDICAL DE CONSUMO SECCION X </t>
  </si>
  <si>
    <t>TIENDA SINDICAL DE CONSUMO SECCION X</t>
  </si>
  <si>
    <t xml:space="preserve">DTMAC COMERCIALIZADORA SA DE CV </t>
  </si>
  <si>
    <t>COMUNICACIONES NEXTEL DE MEXICO</t>
  </si>
  <si>
    <t>DME080825AX6</t>
  </si>
  <si>
    <t xml:space="preserve">DURAN MEJIA ARMANDO </t>
  </si>
  <si>
    <t xml:space="preserve">CARLOS ARMANDO SOTO ANGELES </t>
  </si>
  <si>
    <t>EPG020911GH9</t>
  </si>
  <si>
    <t>GDJ941017FJ1</t>
  </si>
  <si>
    <t xml:space="preserve">GASOLINERA DON JOSE SA DE CV </t>
  </si>
  <si>
    <t>AHI100108Q39</t>
  </si>
  <si>
    <t>AUTOPARTES HIDRAULICAS SA</t>
  </si>
  <si>
    <t>MARJ7712103S8</t>
  </si>
  <si>
    <t>MACT880227TE2</t>
  </si>
  <si>
    <t>OPP010927SA5</t>
  </si>
  <si>
    <t>OPERADORA Y PROCESADORA DE PRODUCTOS DE PANIFICACION SA</t>
  </si>
  <si>
    <t xml:space="preserve">SEVIBA SA DE CV </t>
  </si>
  <si>
    <t xml:space="preserve">LOPEZ MONTES GUADALUPE </t>
  </si>
  <si>
    <t>POR040121LI8</t>
  </si>
  <si>
    <t>POM060317PM9</t>
  </si>
  <si>
    <t>REB970801NK7</t>
  </si>
  <si>
    <t>SMX060828MD9</t>
  </si>
  <si>
    <t>SHE190630V37</t>
  </si>
  <si>
    <t xml:space="preserve">SERVICIO DE AEREA SA DE CV </t>
  </si>
  <si>
    <t>NAFG601215JM3</t>
  </si>
  <si>
    <t xml:space="preserve">MARIA GUADALUPE NARVAEZ FERNANDEZ </t>
  </si>
  <si>
    <t xml:space="preserve">MARIA  GUADALUPE NARVAEZ FERNANDEZ </t>
  </si>
  <si>
    <t>SFT021204LHA</t>
  </si>
  <si>
    <t xml:space="preserve">SERVICIO FUGAS DE TEXCOCO SA DE CV </t>
  </si>
  <si>
    <t>SDE090429M34</t>
  </si>
  <si>
    <t xml:space="preserve">SERVICIOS DEVA SA DE CV </t>
  </si>
  <si>
    <t>SJA940827A32</t>
  </si>
  <si>
    <t xml:space="preserve">SERVICIO JACARANDA SA DE CV </t>
  </si>
  <si>
    <t xml:space="preserve">SERVICIO DE LAS JUNTAS SA DE CV </t>
  </si>
  <si>
    <t>VPI040122DU8</t>
  </si>
  <si>
    <t>AUT040825SV4</t>
  </si>
  <si>
    <t>AIW121012SP7</t>
  </si>
  <si>
    <t>ALIMENTOS IWAGEN S DE RL DE CV</t>
  </si>
  <si>
    <t>RESTAURANTE LA PARROQUIA POTOSINA SA</t>
  </si>
  <si>
    <t>TDI070329KR8</t>
  </si>
  <si>
    <t xml:space="preserve">OPERADORA DE ESTANCIAS TURISTICAS </t>
  </si>
  <si>
    <t>OVI800131GQ6</t>
  </si>
  <si>
    <t xml:space="preserve">OPERADORA VIPS S DE RL </t>
  </si>
  <si>
    <t>PCC0801181HA</t>
  </si>
  <si>
    <t xml:space="preserve">PARADOR CUESTA CHINA SA DE CV </t>
  </si>
  <si>
    <t xml:space="preserve">INMOBILIARIA TURISTICA EXPRESS SA DE CV </t>
  </si>
  <si>
    <t xml:space="preserve">OPERADORA GASTRONOMICA ABDI SA DE CV </t>
  </si>
  <si>
    <t>SSH020520BS9</t>
  </si>
  <si>
    <t xml:space="preserve">SERVICIO SHALON SA DE CV </t>
  </si>
  <si>
    <t>D     93</t>
  </si>
  <si>
    <t>0801-TCN13</t>
  </si>
  <si>
    <t>MEGAMOTORS  NIPPON   S  DE RL CV</t>
  </si>
  <si>
    <t>D    120</t>
  </si>
  <si>
    <t>0802-TCN13</t>
  </si>
  <si>
    <t>ALDEN SATELITE S DE RL DE CV</t>
  </si>
  <si>
    <t>0803-TCN13</t>
  </si>
  <si>
    <t>CEVER  TOLUCA   S DE RL  DE CV</t>
  </si>
  <si>
    <t>0804-TCN13</t>
  </si>
  <si>
    <t>PROMOTORA  AUTOMOTRIZ  DE SANTA  FE</t>
  </si>
  <si>
    <t>D    437</t>
  </si>
  <si>
    <t>0805-TCN13</t>
  </si>
  <si>
    <t>IVAPE18310</t>
  </si>
  <si>
    <t>IVA PROTECCION 18310</t>
  </si>
  <si>
    <t>D    499</t>
  </si>
  <si>
    <t>0806-TCN13</t>
  </si>
  <si>
    <t>D    504</t>
  </si>
  <si>
    <t>0807-TCN13</t>
  </si>
  <si>
    <t>0808-TCN13</t>
  </si>
  <si>
    <t>D    539</t>
  </si>
  <si>
    <t>0809-TCN13</t>
  </si>
  <si>
    <t>D    540</t>
  </si>
  <si>
    <t>0810-TCN13</t>
  </si>
  <si>
    <t>D    555</t>
  </si>
  <si>
    <t>D    648</t>
  </si>
  <si>
    <t>AM-0000828</t>
  </si>
  <si>
    <t>0811-TCN13</t>
  </si>
  <si>
    <t>ALDEN QUERETARO S DE  RL DE CV</t>
  </si>
  <si>
    <t>P004454</t>
  </si>
  <si>
    <t>SUPER SERVICIO FERMACAR SA DE</t>
  </si>
  <si>
    <t>D    727</t>
  </si>
  <si>
    <t>P004455</t>
  </si>
  <si>
    <t>D    730</t>
  </si>
  <si>
    <t>P004457</t>
  </si>
  <si>
    <t>OPERADORA DE GASOLINERAS DEL S</t>
  </si>
  <si>
    <t>D    735</t>
  </si>
  <si>
    <t>P004459</t>
  </si>
  <si>
    <t>D    737</t>
  </si>
  <si>
    <t>P004461</t>
  </si>
  <si>
    <t>CENTRO GASOLINERO ANIMAS SA DE</t>
  </si>
  <si>
    <t>P004464</t>
  </si>
  <si>
    <t>D    743</t>
  </si>
  <si>
    <t>P004466</t>
  </si>
  <si>
    <t>AUTO SERVICIO CABALLERO SA DE</t>
  </si>
  <si>
    <t>P004470</t>
  </si>
  <si>
    <t>INT.INV.0785-TCN13</t>
  </si>
  <si>
    <t>P004472</t>
  </si>
  <si>
    <t>JUMAPA I1247201</t>
  </si>
  <si>
    <t>D    765</t>
  </si>
  <si>
    <t>FUMIGACION F-2329</t>
  </si>
  <si>
    <t>D    766</t>
  </si>
  <si>
    <t>LOPEZ NEGRETE ALEJANDRO</t>
  </si>
  <si>
    <t>MENDEZ REYNA LUIS ARMANDO</t>
  </si>
  <si>
    <t>D    772</t>
  </si>
  <si>
    <t>SEARS OPERADORA MEXICO SA DE C</t>
  </si>
  <si>
    <t>D    773</t>
  </si>
  <si>
    <t>D    775</t>
  </si>
  <si>
    <t>D    780</t>
  </si>
  <si>
    <t>D    783</t>
  </si>
  <si>
    <t>SOLORZANO BRINGAS TOMAS</t>
  </si>
  <si>
    <t>D    784</t>
  </si>
  <si>
    <t>P004488</t>
  </si>
  <si>
    <t>D    864</t>
  </si>
  <si>
    <t>AM-0000839</t>
  </si>
  <si>
    <t>D    866</t>
  </si>
  <si>
    <t>AM-0000844</t>
  </si>
  <si>
    <t>D    867</t>
  </si>
  <si>
    <t>0812-TCN13</t>
  </si>
  <si>
    <t>CCD, AUTOSALES  PUERTO VALLARTA S D</t>
  </si>
  <si>
    <t>D    874</t>
  </si>
  <si>
    <t>0813-TCN13</t>
  </si>
  <si>
    <t>AUTOMOTRIZ OAXACA  DE  ANTEQUERA  S</t>
  </si>
  <si>
    <t>D    945</t>
  </si>
  <si>
    <t>VIATICOS GASTOS 8 Y 9 AGOSTO C</t>
  </si>
  <si>
    <t>D    987</t>
  </si>
  <si>
    <t>0814-TCN13</t>
  </si>
  <si>
    <t>AUTOMOVILES DINAMICOS S D E RL DE C</t>
  </si>
  <si>
    <t>D  1,067</t>
  </si>
  <si>
    <t>0815-TCN13</t>
  </si>
  <si>
    <t>D  1,127</t>
  </si>
  <si>
    <t>0816-TCN13</t>
  </si>
  <si>
    <t>UNITED AUTO DE AGUASCALIENTES  S DE</t>
  </si>
  <si>
    <t>0817-TCN13</t>
  </si>
  <si>
    <t>D  1,134</t>
  </si>
  <si>
    <t>0818-TCN13</t>
  </si>
  <si>
    <t>D  1,330</t>
  </si>
  <si>
    <t>0819-TCN13</t>
  </si>
  <si>
    <t>D  1,340</t>
  </si>
  <si>
    <t>0820-TCN13</t>
  </si>
  <si>
    <t>SAMURAI MOTORS S DE  RL DE CV</t>
  </si>
  <si>
    <t>D  1,342</t>
  </si>
  <si>
    <t>0821-TCN13</t>
  </si>
  <si>
    <t>DURANGO  AUTOMOTORES S DE  RL DE CV</t>
  </si>
  <si>
    <t>D  1,360</t>
  </si>
  <si>
    <t>0822-TCN13</t>
  </si>
  <si>
    <t>D  1,412</t>
  </si>
  <si>
    <t>0823-TCN13</t>
  </si>
  <si>
    <t>D  1,481</t>
  </si>
  <si>
    <t>0824-TCN13</t>
  </si>
  <si>
    <t>D  1,483</t>
  </si>
  <si>
    <t>0830-TCN13</t>
  </si>
  <si>
    <t>D  1,484</t>
  </si>
  <si>
    <t>0825-TCN13</t>
  </si>
  <si>
    <t>D  1,486</t>
  </si>
  <si>
    <t>0826-TCN13</t>
  </si>
  <si>
    <t>D  1,487</t>
  </si>
  <si>
    <t>0827-TCN13</t>
  </si>
  <si>
    <t>0828-TCN13</t>
  </si>
  <si>
    <t>D  1,516</t>
  </si>
  <si>
    <t>AM-0000850</t>
  </si>
  <si>
    <t>D  1,544</t>
  </si>
  <si>
    <t>0829-TCN13</t>
  </si>
  <si>
    <t>0831-TCN13</t>
  </si>
  <si>
    <t>0832-TCN13</t>
  </si>
  <si>
    <t>ALDEN  SATELITE S DE RL DE CV</t>
  </si>
  <si>
    <t>ZM-152-153</t>
  </si>
  <si>
    <t>CANCELACION GTOS ADMVOS</t>
  </si>
  <si>
    <t>ZM-153 CANCELACION GTOS</t>
  </si>
  <si>
    <t>ZM-154 CANCELACION GTOS</t>
  </si>
  <si>
    <t>D  1,712</t>
  </si>
  <si>
    <t>0833-TCN13</t>
  </si>
  <si>
    <t>ALDEN SATELITE S DE  RL DE CV</t>
  </si>
  <si>
    <t>0834-TCN13</t>
  </si>
  <si>
    <t>BAQUI AUTOMOTRIZ S DE RL DE CV</t>
  </si>
  <si>
    <t>D  1,723</t>
  </si>
  <si>
    <t>0835-TCN13</t>
  </si>
  <si>
    <t>ALDEN  QUERETARO S DE RL   DE CV</t>
  </si>
  <si>
    <t>D  1,806</t>
  </si>
  <si>
    <t>0837-TCN13</t>
  </si>
  <si>
    <t>AUTOMOVILES  VALLEJO S DE  RL DE CV</t>
  </si>
  <si>
    <t>0838-TCN13</t>
  </si>
  <si>
    <t>TOYOCOAPA S  DE RL DE CV</t>
  </si>
  <si>
    <t>0839-TCN13</t>
  </si>
  <si>
    <t>AUTOMOTRIZ TOY DEL SURESTE S DE RL</t>
  </si>
  <si>
    <t>0840-TCN13</t>
  </si>
  <si>
    <t>0841-TCN13</t>
  </si>
  <si>
    <t>0842-TCN13</t>
  </si>
  <si>
    <t>CCD,AUTOSALES  PUERTO   VALLARTA</t>
  </si>
  <si>
    <t>0843-TCN13</t>
  </si>
  <si>
    <t>0844-TCN13</t>
  </si>
  <si>
    <t>0001-TCN14</t>
  </si>
  <si>
    <t>0845-TCN13</t>
  </si>
  <si>
    <t>RENTAGOSTO</t>
  </si>
  <si>
    <t>0847-TCN13</t>
  </si>
  <si>
    <t>0848-TCN13</t>
  </si>
  <si>
    <t>0849-TCN13</t>
  </si>
  <si>
    <t>0850-TCN13</t>
  </si>
  <si>
    <t>EMBARQ 272</t>
  </si>
  <si>
    <t>EMBARQUE NUM 272</t>
  </si>
  <si>
    <t>COMISIONES BANCARIAS AGOSTO 20</t>
  </si>
  <si>
    <t>TOYOTA MOTORS SALES CH 13003</t>
  </si>
  <si>
    <t>COMISIONES SCOTIABANK AGOSTO 2</t>
  </si>
  <si>
    <t>COMISIONES HSBC AGOSTO 2013</t>
  </si>
  <si>
    <t>COMISIONES BANBAJIO AGOSTO 201</t>
  </si>
  <si>
    <t>COMISIONES SANTANDER AGOSTO 20</t>
  </si>
  <si>
    <t>COMISIONES AMEX AGOSTO 2013</t>
  </si>
  <si>
    <t>LJIMENEZ:COMISIONES BANAMEX AGOSTO</t>
  </si>
  <si>
    <t>VIATICOS JUNTA SANTA FE 21/08/</t>
  </si>
  <si>
    <t>COMISIONES BANORTE MES AGOSTO</t>
  </si>
  <si>
    <t>D  2,148</t>
  </si>
  <si>
    <t>P004489</t>
  </si>
  <si>
    <t>P004491</t>
  </si>
  <si>
    <t>COMBU-EXPRESS SA DE CV</t>
  </si>
  <si>
    <t>P004493</t>
  </si>
  <si>
    <t>SERVICIO ULTRAMODERNO SA DE CV</t>
  </si>
  <si>
    <t>P004495</t>
  </si>
  <si>
    <t>P004497</t>
  </si>
  <si>
    <t>P004499</t>
  </si>
  <si>
    <t>P004601</t>
  </si>
  <si>
    <t>TRASLADO INV.0790-TCN13</t>
  </si>
  <si>
    <t>P004602</t>
  </si>
  <si>
    <t>P004604</t>
  </si>
  <si>
    <t>SERVICIO LOMAS DE VISTA HERMOS</t>
  </si>
  <si>
    <t>BOLICHE EXPRES SA DE CV</t>
  </si>
  <si>
    <t>SERVICIOS CARRETEROS DE ESPERA</t>
  </si>
  <si>
    <t>MIGUEL ZAZUETA BELTRAN</t>
  </si>
  <si>
    <t>LEOPOLDO MARTINEZ MENDOZA F/16</t>
  </si>
  <si>
    <t>KARINA DE LA CRUZ ORTIZ F/1452</t>
  </si>
  <si>
    <t>D  2,190</t>
  </si>
  <si>
    <t>NUEVA WALMART DE MEXICO S DE R</t>
  </si>
  <si>
    <t>D  2,202</t>
  </si>
  <si>
    <t>D  2,208</t>
  </si>
  <si>
    <t>GRUPO PARISINA SA DE CV</t>
  </si>
  <si>
    <t>D  2,210</t>
  </si>
  <si>
    <t>D  2,211</t>
  </si>
  <si>
    <t>COEL SA DE CV</t>
  </si>
  <si>
    <t>D  2,212</t>
  </si>
  <si>
    <t>D  2,213</t>
  </si>
  <si>
    <t>GRAINGER SA DE CV</t>
  </si>
  <si>
    <t>DISTRIBUIDORA REGIONAL SA DE C</t>
  </si>
  <si>
    <t>D  2,218</t>
  </si>
  <si>
    <t>D  2,222</t>
  </si>
  <si>
    <t>D  2,225</t>
  </si>
  <si>
    <t>C000018710</t>
  </si>
  <si>
    <t>D  2,237</t>
  </si>
  <si>
    <t>C000018831</t>
  </si>
  <si>
    <t>D  2,239</t>
  </si>
  <si>
    <t>OLGA ANGELICA ZEA PEREZ</t>
  </si>
  <si>
    <t>HECTOR GAMEZ CALZONZIN</t>
  </si>
  <si>
    <t>D  2,248</t>
  </si>
  <si>
    <t>F-BAAAT2206 MATERIAL P/LAVADO</t>
  </si>
  <si>
    <t>D  2,253</t>
  </si>
  <si>
    <t>D  2,255</t>
  </si>
  <si>
    <t>D  2,257</t>
  </si>
  <si>
    <t>P004705</t>
  </si>
  <si>
    <t>TRASLADO INV.0822-TCN13</t>
  </si>
  <si>
    <t>P004707</t>
  </si>
  <si>
    <t>D  2,262</t>
  </si>
  <si>
    <t>P004710</t>
  </si>
  <si>
    <t>D  2,265</t>
  </si>
  <si>
    <t>S000607</t>
  </si>
  <si>
    <t>D  2,266</t>
  </si>
  <si>
    <t>S000608</t>
  </si>
  <si>
    <t>S000624</t>
  </si>
  <si>
    <t>D  2,268</t>
  </si>
  <si>
    <t>S000628</t>
  </si>
  <si>
    <t>REFACCIONES DE VW F-15916</t>
  </si>
  <si>
    <t>D  2,269</t>
  </si>
  <si>
    <t>S000629</t>
  </si>
  <si>
    <t>D  2,276</t>
  </si>
  <si>
    <t>DEVOLUCION</t>
  </si>
  <si>
    <t>DEV DE FACTURA DUPLICADA</t>
  </si>
  <si>
    <t>D  2,291</t>
  </si>
  <si>
    <t>VIATICOS 12 Y 13 AGOSTO 2013</t>
  </si>
  <si>
    <t>D  2,293</t>
  </si>
  <si>
    <t>AM-278</t>
  </si>
  <si>
    <t>LJIMENEZ:RENOVACION SERVICIO AGT 13</t>
  </si>
  <si>
    <t>AR-0009709</t>
  </si>
  <si>
    <t>CH-12897</t>
  </si>
  <si>
    <t>CH-12898</t>
  </si>
  <si>
    <t>E     11</t>
  </si>
  <si>
    <t>CH-12900</t>
  </si>
  <si>
    <t>E     31</t>
  </si>
  <si>
    <t>CH-12902</t>
  </si>
  <si>
    <t>CH-12924</t>
  </si>
  <si>
    <t>CH-12919</t>
  </si>
  <si>
    <t>CH-12914</t>
  </si>
  <si>
    <t>CH-12929</t>
  </si>
  <si>
    <t>CH- 12932</t>
  </si>
  <si>
    <t>T- 669</t>
  </si>
  <si>
    <t>T- 670</t>
  </si>
  <si>
    <t>T- 671</t>
  </si>
  <si>
    <t>T- 672</t>
  </si>
  <si>
    <t>CH- 12939</t>
  </si>
  <si>
    <t>CH-12940</t>
  </si>
  <si>
    <t>CH-12945</t>
  </si>
  <si>
    <t>CH-12951</t>
  </si>
  <si>
    <t>CH-7783799</t>
  </si>
  <si>
    <t>AFIANZADORA SOFIMEX, S.A.</t>
  </si>
  <si>
    <t>CH-12953</t>
  </si>
  <si>
    <t>T- 673</t>
  </si>
  <si>
    <t>T- 674</t>
  </si>
  <si>
    <t>T- 675</t>
  </si>
  <si>
    <t>T- 676</t>
  </si>
  <si>
    <t>T- 677</t>
  </si>
  <si>
    <t>T- 678</t>
  </si>
  <si>
    <t>T- 322</t>
  </si>
  <si>
    <t>CH-322</t>
  </si>
  <si>
    <t>T-682</t>
  </si>
  <si>
    <t>CH-12965</t>
  </si>
  <si>
    <t>CH-12970</t>
  </si>
  <si>
    <t>CH-12971</t>
  </si>
  <si>
    <t>CH-12972</t>
  </si>
  <si>
    <t>CH-12974</t>
  </si>
  <si>
    <t>CH-12979</t>
  </si>
  <si>
    <t>CH-12980</t>
  </si>
  <si>
    <t>CH-12982</t>
  </si>
  <si>
    <t>CH-12983</t>
  </si>
  <si>
    <t>E    135</t>
  </si>
  <si>
    <t>CH-12986</t>
  </si>
  <si>
    <t>CH-12988</t>
  </si>
  <si>
    <t>CH-12989</t>
  </si>
  <si>
    <t>CH-12990</t>
  </si>
  <si>
    <t>CH-12991</t>
  </si>
  <si>
    <t>CH-12994</t>
  </si>
  <si>
    <t>CH-12995</t>
  </si>
  <si>
    <t>CH-12998</t>
  </si>
  <si>
    <t>CH-13005</t>
  </si>
  <si>
    <t>CH-13006</t>
  </si>
  <si>
    <t>T-683</t>
  </si>
  <si>
    <t>T-324</t>
  </si>
  <si>
    <t>T-684</t>
  </si>
  <si>
    <t>T-685</t>
  </si>
  <si>
    <t>T-686</t>
  </si>
  <si>
    <t>T-687</t>
  </si>
  <si>
    <t>T-689</t>
  </si>
  <si>
    <t>T-691</t>
  </si>
  <si>
    <t>T-692</t>
  </si>
  <si>
    <t>T-693</t>
  </si>
  <si>
    <t>T-694</t>
  </si>
  <si>
    <t>T-695</t>
  </si>
  <si>
    <t>T-696</t>
  </si>
  <si>
    <t>T-697</t>
  </si>
  <si>
    <t>T-698</t>
  </si>
  <si>
    <t>T-699</t>
  </si>
  <si>
    <t>T-327</t>
  </si>
  <si>
    <t>T-700</t>
  </si>
  <si>
    <t>CH-323</t>
  </si>
  <si>
    <t>LJIMENEZ:DTMAC COMERCIALIZADORA SA</t>
  </si>
  <si>
    <t>CH-12948</t>
  </si>
  <si>
    <t>CH-12947</t>
  </si>
  <si>
    <t>T-328</t>
  </si>
  <si>
    <t>I    350</t>
  </si>
  <si>
    <t>EMBAR 253</t>
  </si>
  <si>
    <t>DEPOSITO FINANC INV 0052-TCU13</t>
  </si>
  <si>
    <t>AGOSTO</t>
  </si>
  <si>
    <t>ASG950531ID1</t>
  </si>
  <si>
    <t>SSA930817FS3</t>
  </si>
  <si>
    <t xml:space="preserve">SERVICIO SAYULA SA DE CV </t>
  </si>
  <si>
    <t>ASC8408274L3</t>
  </si>
  <si>
    <t xml:space="preserve">AUTO SERVICIO CABALLERO SA DE CV </t>
  </si>
  <si>
    <t>ATS020806JZ3</t>
  </si>
  <si>
    <t>AVA040106CP7</t>
  </si>
  <si>
    <t xml:space="preserve">JOSE FERNANDO DE L ROCHA REMBAO </t>
  </si>
  <si>
    <t>BAU080306FS1</t>
  </si>
  <si>
    <t>BEX100519LN2</t>
  </si>
  <si>
    <t xml:space="preserve">BOLICHE EXPRESS SA DE CV </t>
  </si>
  <si>
    <t xml:space="preserve">OURO PETRO SA DE CV </t>
  </si>
  <si>
    <t>ROHI870811MY1</t>
  </si>
  <si>
    <t xml:space="preserve">ISRAEL ROMERO HERNANDEZ </t>
  </si>
  <si>
    <t>D  2,168</t>
  </si>
  <si>
    <t>COE9510055R6</t>
  </si>
  <si>
    <t>FOMM880316MH3</t>
  </si>
  <si>
    <t xml:space="preserve">MARIANA FLORES MENDOZA </t>
  </si>
  <si>
    <t>BBA830831LJ2</t>
  </si>
  <si>
    <t>DRE810328U10</t>
  </si>
  <si>
    <t>RUOL860203816</t>
  </si>
  <si>
    <t xml:space="preserve">LUCINA RUIZ ORTIZ </t>
  </si>
  <si>
    <t>D  2,260</t>
  </si>
  <si>
    <t xml:space="preserve">ESTACION PALMA GORDA SA DE CV </t>
  </si>
  <si>
    <t xml:space="preserve">ESTACIONES DE SERVICIO SA DE CV  </t>
  </si>
  <si>
    <t xml:space="preserve">TIENDAS EXTRA SA </t>
  </si>
  <si>
    <t>LOAP640223MN2</t>
  </si>
  <si>
    <t xml:space="preserve">PERLA DEL ROSARIO LOPEZ ALCALA </t>
  </si>
  <si>
    <t>GRA940826CI5</t>
  </si>
  <si>
    <t>GPA930101QI7</t>
  </si>
  <si>
    <t>GACH830410DV0</t>
  </si>
  <si>
    <t>OES010209154</t>
  </si>
  <si>
    <t>OPERADORA DE ESTACIONES DE SERVICIO VIDA SA DE CV</t>
  </si>
  <si>
    <t>ASA021115EA8</t>
  </si>
  <si>
    <t xml:space="preserve">AUTO SERVICIO AUTOPISTA QUECHOLAC SA </t>
  </si>
  <si>
    <t>COAR760619QX5</t>
  </si>
  <si>
    <t>ROSA LINDA CORONA ANDRADE</t>
  </si>
  <si>
    <t>HMA0705037F1</t>
  </si>
  <si>
    <t xml:space="preserve">HIDROCARBUROS LA MARQUESILLA SA DE CV </t>
  </si>
  <si>
    <t>MCA091008AZ9</t>
  </si>
  <si>
    <t>MULTISERVICIOS DE CALAKMUL SA DE CV</t>
  </si>
  <si>
    <t>MAML391215UH5</t>
  </si>
  <si>
    <t>DTMAC COMERCIALIZADORA SA</t>
  </si>
  <si>
    <t>OPERADORA ALAMEDA PARK, S.</t>
  </si>
  <si>
    <t>MNI040807T43</t>
  </si>
  <si>
    <t>ZABM661106SZ5</t>
  </si>
  <si>
    <t xml:space="preserve">MIGUEL ZAZUETA BELTRAN </t>
  </si>
  <si>
    <t>ZEPO610721HZ6</t>
  </si>
  <si>
    <t>D    731</t>
  </si>
  <si>
    <t>LEME770221DB5</t>
  </si>
  <si>
    <t xml:space="preserve">EVELIN DAMARIS LEON MELCHOR </t>
  </si>
  <si>
    <t xml:space="preserve">REFACCIONES DE VW </t>
  </si>
  <si>
    <t>SOM101125UEA</t>
  </si>
  <si>
    <t xml:space="preserve">SERVICIO LOMAS DE VISTA HERMOSA </t>
  </si>
  <si>
    <t>RORM470106PA7</t>
  </si>
  <si>
    <t xml:space="preserve">MARIO DE LA ROSA RIVERA </t>
  </si>
  <si>
    <t>SCE010830455</t>
  </si>
  <si>
    <t xml:space="preserve">SERVICIOS CARRETEROS DE ESPERANZA  SA </t>
  </si>
  <si>
    <t>CZA0908242T9</t>
  </si>
  <si>
    <t xml:space="preserve">COMBUSTIBLES DEE ZAPOTLANEJO SA DE CV </t>
  </si>
  <si>
    <t>IGS900528QJ6</t>
  </si>
  <si>
    <t xml:space="preserve">INDUSTRIA GASTRONOMICA SANTA TERESITA SA DE CV </t>
  </si>
  <si>
    <t>RCO0708136F7</t>
  </si>
  <si>
    <t xml:space="preserve">RED DE CARRETERAS DE OCCIDENTE SAB DE CV </t>
  </si>
  <si>
    <t>SCA971013EU5</t>
  </si>
  <si>
    <t xml:space="preserve">SERVICIO CAMARENA SA DE CV </t>
  </si>
  <si>
    <t>ORD000301QY5</t>
  </si>
  <si>
    <t xml:space="preserve">OPERADORA DE RESTAURANTES DURAZNOS SA </t>
  </si>
  <si>
    <t>OEM920612B67</t>
  </si>
  <si>
    <t xml:space="preserve">ARCOS BOSQUES </t>
  </si>
  <si>
    <t xml:space="preserve">SANBORN HERMANOS SA </t>
  </si>
  <si>
    <t>DSA020906IG9</t>
  </si>
  <si>
    <t xml:space="preserve">DINESA SANDWICHES SA DE CV </t>
  </si>
  <si>
    <t>FFS0704166HA</t>
  </si>
  <si>
    <t xml:space="preserve">CITYEXPRESS HOTELES </t>
  </si>
  <si>
    <t>MADH610228N33</t>
  </si>
  <si>
    <t xml:space="preserve">JOSE HILARIO MARQUEZ DIAZ </t>
  </si>
  <si>
    <t>PEGE420603DE1</t>
  </si>
  <si>
    <t xml:space="preserve">EZEQUIEL PERALTA GOMEZ </t>
  </si>
  <si>
    <t>SIS020305KG0</t>
  </si>
  <si>
    <t xml:space="preserve">SERV INTE DEL STE DE VERACRUZ SA DE CV </t>
  </si>
  <si>
    <t>SMO000529CC6</t>
  </si>
  <si>
    <t xml:space="preserve">SERVICIO MONTEROS SA DE CV </t>
  </si>
  <si>
    <t>D     10</t>
  </si>
  <si>
    <t>0851-TCN13</t>
  </si>
  <si>
    <t>VALOR  FARRERA  AUTOMOTRIZ S DE RL</t>
  </si>
  <si>
    <t>D     22</t>
  </si>
  <si>
    <t>0853-TCN13</t>
  </si>
  <si>
    <t>PROMOTORA AUTOMOTRIZ DE SANTA  FE S</t>
  </si>
  <si>
    <t>D     55</t>
  </si>
  <si>
    <t>D     60</t>
  </si>
  <si>
    <t>0854-TCN13</t>
  </si>
  <si>
    <t>D     97</t>
  </si>
  <si>
    <t>0855-TCN13</t>
  </si>
  <si>
    <t>GRUPO  PENNINSULA MOTORS  S DE  RL</t>
  </si>
  <si>
    <t>D    276</t>
  </si>
  <si>
    <t>0856-TCN13</t>
  </si>
  <si>
    <t>D    277</t>
  </si>
  <si>
    <t>0857-TCN13</t>
  </si>
  <si>
    <t>D    280</t>
  </si>
  <si>
    <t>0858-TCN13</t>
  </si>
  <si>
    <t>D    281</t>
  </si>
  <si>
    <t>0859-TCN13</t>
  </si>
  <si>
    <t>D    311</t>
  </si>
  <si>
    <t>0003-TCN14</t>
  </si>
  <si>
    <t>UNITED DE  MONTERREY  S DE RL DE CV</t>
  </si>
  <si>
    <t>0860-TCN13</t>
  </si>
  <si>
    <t>LIDERAZGO  AUTOMOTRIZ DE  PUEBLA SA</t>
  </si>
  <si>
    <t>D    470</t>
  </si>
  <si>
    <t>D    471</t>
  </si>
  <si>
    <t>D    473</t>
  </si>
  <si>
    <t>D    593</t>
  </si>
  <si>
    <t>D    595</t>
  </si>
  <si>
    <t>0004-TCN14</t>
  </si>
  <si>
    <t>0861-TCN13</t>
  </si>
  <si>
    <t>0862-TCN13</t>
  </si>
  <si>
    <t>D    803</t>
  </si>
  <si>
    <t>0863-TCN13</t>
  </si>
  <si>
    <t>FAME  PERISUR S  DE RLD E CV</t>
  </si>
  <si>
    <t>0008-TCN14</t>
  </si>
  <si>
    <t>D    834</t>
  </si>
  <si>
    <t>0865-TCN13</t>
  </si>
  <si>
    <t>D    878</t>
  </si>
  <si>
    <t>0011-TCN14</t>
  </si>
  <si>
    <t>0012-TCN14</t>
  </si>
  <si>
    <t>0013-TCN14</t>
  </si>
  <si>
    <t>AM-0000865</t>
  </si>
  <si>
    <t>0016-TCN14</t>
  </si>
  <si>
    <t>0017-TCN14</t>
  </si>
  <si>
    <t>0018-TCN14</t>
  </si>
  <si>
    <t>0019-TCN14</t>
  </si>
  <si>
    <t>D    975</t>
  </si>
  <si>
    <t>0020-TCN14</t>
  </si>
  <si>
    <t>OZ AUTOMOTRIZ S DE  RL DE CV</t>
  </si>
  <si>
    <t>D  1,008</t>
  </si>
  <si>
    <t>0866-TCN13</t>
  </si>
  <si>
    <t>D  1,022</t>
  </si>
  <si>
    <t>D  1,053</t>
  </si>
  <si>
    <t>0021-TCN14</t>
  </si>
  <si>
    <t>D  1,054</t>
  </si>
  <si>
    <t>0022-TCN14</t>
  </si>
  <si>
    <t>D  1,081</t>
  </si>
  <si>
    <t>0867-TCN13</t>
  </si>
  <si>
    <t>D  1,085</t>
  </si>
  <si>
    <t>0868-TCN13</t>
  </si>
  <si>
    <t>OZ AUTOMOTRIZ  S  DE RL DE  CV</t>
  </si>
  <si>
    <t>D  1,204</t>
  </si>
  <si>
    <t>0869-TCN13</t>
  </si>
  <si>
    <t>D  1,205</t>
  </si>
  <si>
    <t>0870-TCN13</t>
  </si>
  <si>
    <t>DECADA COATZACOALCOS S DE RL DE CV</t>
  </si>
  <si>
    <t>D  1,258</t>
  </si>
  <si>
    <t>AM-0000875</t>
  </si>
  <si>
    <t>D  1,272</t>
  </si>
  <si>
    <t>0871-TCN13</t>
  </si>
  <si>
    <t>D  1,274</t>
  </si>
  <si>
    <t>0872-TCN13</t>
  </si>
  <si>
    <t>D  1,275</t>
  </si>
  <si>
    <t>0873-TCN13</t>
  </si>
  <si>
    <t>D  1,281</t>
  </si>
  <si>
    <t>0023-TCN14</t>
  </si>
  <si>
    <t>D  1,282</t>
  </si>
  <si>
    <t>0874-TCN13</t>
  </si>
  <si>
    <t>0875-TCN13</t>
  </si>
  <si>
    <t>D  1,291</t>
  </si>
  <si>
    <t>0876-TCN13</t>
  </si>
  <si>
    <t>0877-TCN13</t>
  </si>
  <si>
    <t>D  1,293</t>
  </si>
  <si>
    <t>0878-TCN13</t>
  </si>
  <si>
    <t>D  1,295</t>
  </si>
  <si>
    <t>0879-TCN13</t>
  </si>
  <si>
    <t>D  1,396</t>
  </si>
  <si>
    <t>0880-TCN13</t>
  </si>
  <si>
    <t>D  1,398</t>
  </si>
  <si>
    <t>0024-TCN14</t>
  </si>
  <si>
    <t>CCD, AUTOSALES  TOYOTA  PUERTO VALL</t>
  </si>
  <si>
    <t>0881-TCN13</t>
  </si>
  <si>
    <t>CEVER TOLUCA   S DE  RL DE CV</t>
  </si>
  <si>
    <t>0025-TCN14</t>
  </si>
  <si>
    <t>0882-TCN13</t>
  </si>
  <si>
    <t>TOY  MORELOS  S  DE RL DE  CV</t>
  </si>
  <si>
    <t>D  1,585</t>
  </si>
  <si>
    <t>0026-TCN14</t>
  </si>
  <si>
    <t>AUTOMOTRIZ TOY S.A. DE C.V</t>
  </si>
  <si>
    <t>D  1,586</t>
  </si>
  <si>
    <t>0027-TCN14</t>
  </si>
  <si>
    <t>AUTOMOVILES  DINAMICOS S DE RL DE C</t>
  </si>
  <si>
    <t>0028-TCN14</t>
  </si>
  <si>
    <t>ALDEN SATELITE   S DE  RL DE  CV</t>
  </si>
  <si>
    <t>0029-TCN14</t>
  </si>
  <si>
    <t>D  1,656</t>
  </si>
  <si>
    <t>ARRENSEPTI</t>
  </si>
  <si>
    <t>D  1,658</t>
  </si>
  <si>
    <t>ARRENDASEP</t>
  </si>
  <si>
    <t>D  1,701</t>
  </si>
  <si>
    <t>TOMAS SOLORZANO BRINGAS F-1927</t>
  </si>
  <si>
    <t>D  1,707</t>
  </si>
  <si>
    <t>RICO HERNANDEZ ARTURO JAVIER</t>
  </si>
  <si>
    <t>OPERADORA ALAMEDA PARK SA DE C</t>
  </si>
  <si>
    <t>D  1,715</t>
  </si>
  <si>
    <t>FERRETERIA LA FRAGUA SA DE CV</t>
  </si>
  <si>
    <t>D  1,725</t>
  </si>
  <si>
    <t>BAJIO ROLL SA DE CV</t>
  </si>
  <si>
    <t>D  1,726</t>
  </si>
  <si>
    <t>D  1,727</t>
  </si>
  <si>
    <t>MA.CONSUELO ESTHER FLORES GUTI</t>
  </si>
  <si>
    <t>D  1,732</t>
  </si>
  <si>
    <t>P004744</t>
  </si>
  <si>
    <t>JUMAPA I 893969</t>
  </si>
  <si>
    <t>D  1,735</t>
  </si>
  <si>
    <t>P004750</t>
  </si>
  <si>
    <t>VICTOR MANUEL LOPEZ STOUPIGNAN</t>
  </si>
  <si>
    <t>P004752</t>
  </si>
  <si>
    <t>TRASLADO INV.0851-TCN13</t>
  </si>
  <si>
    <t>TRASLADO INV.0851-TCN13 11%</t>
  </si>
  <si>
    <t>P004754</t>
  </si>
  <si>
    <t>TRASLADO INV.0853-TCN13</t>
  </si>
  <si>
    <t>D  1,753</t>
  </si>
  <si>
    <t>P004760</t>
  </si>
  <si>
    <t>TRASLADO INV.0841-TCN13</t>
  </si>
  <si>
    <t>TRASLADO INV.0841-TCN13 11%</t>
  </si>
  <si>
    <t>D  1,757</t>
  </si>
  <si>
    <t>P004762</t>
  </si>
  <si>
    <t>TRASLADO INV.0855-TCN13</t>
  </si>
  <si>
    <t>D  1,760</t>
  </si>
  <si>
    <t>P004764</t>
  </si>
  <si>
    <t>TRASLADO INV.003-TCN14</t>
  </si>
  <si>
    <t>D  1,773</t>
  </si>
  <si>
    <t>P004766</t>
  </si>
  <si>
    <t>TRASLADO INV.0814-TCN</t>
  </si>
  <si>
    <t>D  1,776</t>
  </si>
  <si>
    <t>P004768</t>
  </si>
  <si>
    <t>TRASLADO INV.0816-TCN13</t>
  </si>
  <si>
    <t>D  1,780</t>
  </si>
  <si>
    <t>P004770</t>
  </si>
  <si>
    <t>TRASLADO INV.0832-TCN13</t>
  </si>
  <si>
    <t>0883-TCN13</t>
  </si>
  <si>
    <t>0031-TCN14</t>
  </si>
  <si>
    <t>0033-TCN14</t>
  </si>
  <si>
    <t>0034-TCN14</t>
  </si>
  <si>
    <t>C-VIATICOS</t>
  </si>
  <si>
    <t>VIATICOS CURSO SLP 23,24/09/13</t>
  </si>
  <si>
    <t>0035-TCN14</t>
  </si>
  <si>
    <t>0884-TCN13</t>
  </si>
  <si>
    <t>CDD, AUTOSALES  PUERTO VALLARTA  S</t>
  </si>
  <si>
    <t>0885-TCN13</t>
  </si>
  <si>
    <t>AM-0000883</t>
  </si>
  <si>
    <t>AM-0000888</t>
  </si>
  <si>
    <t>COMISIONES SEP/2013</t>
  </si>
  <si>
    <t>D  2,078</t>
  </si>
  <si>
    <t>COMISIONES BANORTE SEP/2013</t>
  </si>
  <si>
    <t>COMISIONES BAJIO SEP/2013</t>
  </si>
  <si>
    <t>D  2,080</t>
  </si>
  <si>
    <t>COMISIONES HSBC SEP/2013</t>
  </si>
  <si>
    <t>COMISION SANTANDER SEP/2013</t>
  </si>
  <si>
    <t>LJIMENEZ:COMISIONES BMX SEP/2013</t>
  </si>
  <si>
    <t>VIATIVOS</t>
  </si>
  <si>
    <t>VIATICOS CURSO DEALER DAILY</t>
  </si>
  <si>
    <t>P0009032</t>
  </si>
  <si>
    <t>COMUNICACIONES NEXTEL SA DE CV</t>
  </si>
  <si>
    <t>D  2,109</t>
  </si>
  <si>
    <t>p004798</t>
  </si>
  <si>
    <t>TRASLADO S.CRUZ A CYA</t>
  </si>
  <si>
    <t>D  2,111</t>
  </si>
  <si>
    <t>P004800</t>
  </si>
  <si>
    <t>TRASLADO INV.0866-TCN13</t>
  </si>
  <si>
    <t>P004903</t>
  </si>
  <si>
    <t>TRASLADO INV.0837-TCN13</t>
  </si>
  <si>
    <t>P004905</t>
  </si>
  <si>
    <t>TRASLADO INV.0823-TCN13</t>
  </si>
  <si>
    <t>P004906</t>
  </si>
  <si>
    <t>TRASLADO INV.0865-TCN13</t>
  </si>
  <si>
    <t>D  2,119</t>
  </si>
  <si>
    <t>P004908</t>
  </si>
  <si>
    <t>TRASLÑADO INV.0863-TCN13</t>
  </si>
  <si>
    <t>P004910</t>
  </si>
  <si>
    <t>TRASLADO INV.0842-TCN13</t>
  </si>
  <si>
    <t>D  2,123</t>
  </si>
  <si>
    <t>P004912</t>
  </si>
  <si>
    <t>TRASLADO INV.0804-TCN13</t>
  </si>
  <si>
    <t>D  2,124</t>
  </si>
  <si>
    <t>D  2,129</t>
  </si>
  <si>
    <t>SERVICIOS HOTELEROS DE SLP</t>
  </si>
  <si>
    <t>D  2,130</t>
  </si>
  <si>
    <t>SUPER SERVICIO DEL POTOSI SA D</t>
  </si>
  <si>
    <t>D  2,131</t>
  </si>
  <si>
    <t>STAR SAN LUIS POTOSI SA DE CV</t>
  </si>
  <si>
    <t>SERVICIOS HOTELEROS DE SLP SA</t>
  </si>
  <si>
    <t>SUPER SERVICIO DEL POTOSI SA C</t>
  </si>
  <si>
    <t>SOTERO ARANDA FERRO</t>
  </si>
  <si>
    <t>D  2,140</t>
  </si>
  <si>
    <t>D  2,143</t>
  </si>
  <si>
    <t>D  2,145</t>
  </si>
  <si>
    <t>SEGURIDAD INDUSTRIAL AMIGO SA</t>
  </si>
  <si>
    <t>JORHUS HUGO SOLIS VALLE</t>
  </si>
  <si>
    <t>COMPROB GTOS STA.FE MEXICO</t>
  </si>
  <si>
    <t>JAVIER DELGADO HERNANDEZ</t>
  </si>
  <si>
    <t>FERRETERA PLAZA SA DE CV</t>
  </si>
  <si>
    <t>ALEJANDRO DIEGO RODRIGUEZ AREL</t>
  </si>
  <si>
    <t>CASETA GERENCIA</t>
  </si>
  <si>
    <t>P004976</t>
  </si>
  <si>
    <t>TRASLADO INV.0881-TCN13</t>
  </si>
  <si>
    <t>P004980</t>
  </si>
  <si>
    <t>TRASLADO INV.0870-TCN13</t>
  </si>
  <si>
    <t>P004982</t>
  </si>
  <si>
    <t>TRASLADO INV.0868-TCN13</t>
  </si>
  <si>
    <t>D  2,198</t>
  </si>
  <si>
    <t>P004984</t>
  </si>
  <si>
    <t>TRASLADO INV.0869-TCN13</t>
  </si>
  <si>
    <t>P004986</t>
  </si>
  <si>
    <t>TRASLADO INV.0024-TCN14</t>
  </si>
  <si>
    <t>P004988</t>
  </si>
  <si>
    <t>INTERCAM.MERIDA INV.0835-TCN13</t>
  </si>
  <si>
    <t>D  2,205</t>
  </si>
  <si>
    <t>P004991</t>
  </si>
  <si>
    <t>TRASLADO INV.0839-TCN13</t>
  </si>
  <si>
    <t>P004993</t>
  </si>
  <si>
    <t>INTERCAMB INV.0658-TCN13</t>
  </si>
  <si>
    <t>P004995</t>
  </si>
  <si>
    <t>INTERCAMBIO INV.0835-TCN13</t>
  </si>
  <si>
    <t>P004997</t>
  </si>
  <si>
    <t>TRASLADO INV.0860-TCN13</t>
  </si>
  <si>
    <t>D  2,216</t>
  </si>
  <si>
    <t>P004999</t>
  </si>
  <si>
    <t>TRASLADO INV.0020-TCN14</t>
  </si>
  <si>
    <t>S0651</t>
  </si>
  <si>
    <t>S0652</t>
  </si>
  <si>
    <t>D  2,219</t>
  </si>
  <si>
    <t>S0637</t>
  </si>
  <si>
    <t>REFACCIONES DE VW</t>
  </si>
  <si>
    <t>R0905</t>
  </si>
  <si>
    <t>S0633</t>
  </si>
  <si>
    <t>S0654</t>
  </si>
  <si>
    <t>S0640</t>
  </si>
  <si>
    <t>MEMBRECIA</t>
  </si>
  <si>
    <t>MEMBRESIA SERVICIOS S/LIMITE</t>
  </si>
  <si>
    <t>AMEXSEP/13</t>
  </si>
  <si>
    <t>COMISIONES AMEX SEP/2013</t>
  </si>
  <si>
    <t>COMISION</t>
  </si>
  <si>
    <t>COMISION BAJIO SEP/2013</t>
  </si>
  <si>
    <t>COMISION BMX SEP/2013</t>
  </si>
  <si>
    <t>LJIMENEZ:VIATICOS CURSO M7 SLP</t>
  </si>
  <si>
    <t>AO-0000359</t>
  </si>
  <si>
    <t>LJIMENEZ:1ER ANTICIPO SISTEMA WK32</t>
  </si>
  <si>
    <t>D  2,281</t>
  </si>
  <si>
    <t>DEUTSCHE BANK MEXICO, SA DE CV</t>
  </si>
  <si>
    <t>CH-13007</t>
  </si>
  <si>
    <t>CH-13012</t>
  </si>
  <si>
    <t>CH-13016</t>
  </si>
  <si>
    <t>CH-13019</t>
  </si>
  <si>
    <t>CH-13020</t>
  </si>
  <si>
    <t>CH-13022</t>
  </si>
  <si>
    <t>BAJA: DEUTSCHE BANK MEXICO, S.A. IN</t>
  </si>
  <si>
    <t>CH-13026</t>
  </si>
  <si>
    <t>BAJA: AUTOS COMPACTOS DE QUERETARO</t>
  </si>
  <si>
    <t>CH-13034</t>
  </si>
  <si>
    <t>CH-13033</t>
  </si>
  <si>
    <t>CH-13038</t>
  </si>
  <si>
    <t>CH-13047</t>
  </si>
  <si>
    <t>CH-13048</t>
  </si>
  <si>
    <t>CH-13049</t>
  </si>
  <si>
    <t>CH-13050</t>
  </si>
  <si>
    <t>T-702</t>
  </si>
  <si>
    <t>CH-13057</t>
  </si>
  <si>
    <t>AUTOMOTRIZ TOY S.A DE C.V.</t>
  </si>
  <si>
    <t>T-703</t>
  </si>
  <si>
    <t>T-329</t>
  </si>
  <si>
    <t>T-704</t>
  </si>
  <si>
    <t>T-705</t>
  </si>
  <si>
    <t>T-706</t>
  </si>
  <si>
    <t>T-707</t>
  </si>
  <si>
    <t>T-708</t>
  </si>
  <si>
    <t>T-709</t>
  </si>
  <si>
    <t>T-710</t>
  </si>
  <si>
    <t>T-711</t>
  </si>
  <si>
    <t>TRASLADOS CONTRERAS SA DE CV</t>
  </si>
  <si>
    <t>T-330</t>
  </si>
  <si>
    <t>T-713</t>
  </si>
  <si>
    <t>CH-771</t>
  </si>
  <si>
    <t>CH-13046</t>
  </si>
  <si>
    <t>T-714</t>
  </si>
  <si>
    <t>T-715</t>
  </si>
  <si>
    <t>GARCIA MEDINA CLAUDIA EDITH</t>
  </si>
  <si>
    <t>T-716</t>
  </si>
  <si>
    <t>T-717</t>
  </si>
  <si>
    <t>T-718</t>
  </si>
  <si>
    <t>T-719</t>
  </si>
  <si>
    <t>T-331</t>
  </si>
  <si>
    <t>T-720</t>
  </si>
  <si>
    <t>T-332</t>
  </si>
  <si>
    <t>T-333</t>
  </si>
  <si>
    <t>E     98</t>
  </si>
  <si>
    <t>T-334</t>
  </si>
  <si>
    <t>T-721</t>
  </si>
  <si>
    <t>CH-13067</t>
  </si>
  <si>
    <t>CH-13072</t>
  </si>
  <si>
    <t>CH-13073</t>
  </si>
  <si>
    <t>CH-13076</t>
  </si>
  <si>
    <t>CH-13079</t>
  </si>
  <si>
    <t>CH-13080</t>
  </si>
  <si>
    <t>CH-13081</t>
  </si>
  <si>
    <t>CH-13082</t>
  </si>
  <si>
    <t>CH-13083</t>
  </si>
  <si>
    <t>CH-13084</t>
  </si>
  <si>
    <t>CH-13096</t>
  </si>
  <si>
    <t>CH-13097</t>
  </si>
  <si>
    <t>CH-13099</t>
  </si>
  <si>
    <t>CH-13100</t>
  </si>
  <si>
    <t>CH-7783805</t>
  </si>
  <si>
    <t>T-722</t>
  </si>
  <si>
    <t>T-724</t>
  </si>
  <si>
    <t>T-725</t>
  </si>
  <si>
    <t>T-726</t>
  </si>
  <si>
    <t>T-727</t>
  </si>
  <si>
    <t>T-335</t>
  </si>
  <si>
    <t>T-729</t>
  </si>
  <si>
    <t>T-730</t>
  </si>
  <si>
    <t>QUALIA TECH SA DE CV</t>
  </si>
  <si>
    <t>T-336</t>
  </si>
  <si>
    <t>CH-13109</t>
  </si>
  <si>
    <t>DEFENDO TECNOLOGIAS DEL BAJIO SA DE</t>
  </si>
  <si>
    <t>CH-13112</t>
  </si>
  <si>
    <t>CH-13078</t>
  </si>
  <si>
    <t>CH-13113</t>
  </si>
  <si>
    <t>CH-13115</t>
  </si>
  <si>
    <t>CH-13124</t>
  </si>
  <si>
    <t>CH-13125</t>
  </si>
  <si>
    <t>CH-13127</t>
  </si>
  <si>
    <t>T-337</t>
  </si>
  <si>
    <t>T-338</t>
  </si>
  <si>
    <t>T-731</t>
  </si>
  <si>
    <t>T-732</t>
  </si>
  <si>
    <t>T-733</t>
  </si>
  <si>
    <t>T-734</t>
  </si>
  <si>
    <t>T-735</t>
  </si>
  <si>
    <t>T-736</t>
  </si>
  <si>
    <t>T-737</t>
  </si>
  <si>
    <t>T-339</t>
  </si>
  <si>
    <t>T-738</t>
  </si>
  <si>
    <t>T-739</t>
  </si>
  <si>
    <t>T-740</t>
  </si>
  <si>
    <t>CH-13130</t>
  </si>
  <si>
    <t>CH-13139</t>
  </si>
  <si>
    <t>CH-13140</t>
  </si>
  <si>
    <t>CH-13141</t>
  </si>
  <si>
    <t>CH-13032</t>
  </si>
  <si>
    <t>CH-13111</t>
  </si>
  <si>
    <t>CH-13146</t>
  </si>
  <si>
    <t>CH-13149</t>
  </si>
  <si>
    <t>CH-13147</t>
  </si>
  <si>
    <t>CH-13148</t>
  </si>
  <si>
    <t>CH-13118</t>
  </si>
  <si>
    <t>MALDONADO RODRIGUEZ ESTELA DEL CARM</t>
  </si>
  <si>
    <t>CH-13119</t>
  </si>
  <si>
    <t>AGUILA MENDEZ PEDRO SERGIO</t>
  </si>
  <si>
    <t>ISR SEP/13</t>
  </si>
  <si>
    <t>LJIMENEZ:COM.CH.EXP. SEP/2013</t>
  </si>
  <si>
    <t>I    567</t>
  </si>
  <si>
    <t>EMBARQ275</t>
  </si>
  <si>
    <t>EMBARQUE NO.275</t>
  </si>
  <si>
    <t>I    569</t>
  </si>
  <si>
    <t>EMBARQ273</t>
  </si>
  <si>
    <t>EMBARQUE NO.273</t>
  </si>
  <si>
    <t>SEPTIEMBRE</t>
  </si>
  <si>
    <t>AUMP360418JT8</t>
  </si>
  <si>
    <t>BRO120910HC1</t>
  </si>
  <si>
    <t>DCO050712KV5</t>
  </si>
  <si>
    <t>DTB080411PE7</t>
  </si>
  <si>
    <t>FPL810924HUO</t>
  </si>
  <si>
    <t>FFR810330JX9</t>
  </si>
  <si>
    <t>GAMC811223HY3</t>
  </si>
  <si>
    <t>RAMO680410115</t>
  </si>
  <si>
    <t xml:space="preserve">OSCAR RAMIREZ MORENO </t>
  </si>
  <si>
    <t>ISO080219U33</t>
  </si>
  <si>
    <t xml:space="preserve">INTEGRADORA DE SERVICIOS OCOZOCOAUTLA SA DE CV </t>
  </si>
  <si>
    <t>MAGM85053165A</t>
  </si>
  <si>
    <t xml:space="preserve">MISAEL MARINEZ GOMEZ </t>
  </si>
  <si>
    <t xml:space="preserve">AUTO SERVICIO QUECHOLAC SA DE CV </t>
  </si>
  <si>
    <t>BELA690115QC9</t>
  </si>
  <si>
    <t>JOSE ALFREDO BERTADO LUCIO</t>
  </si>
  <si>
    <t>OTE021014QR9</t>
  </si>
  <si>
    <t xml:space="preserve">OPERADORA TABASQUEÑA EDMAGRA SA DE CV </t>
  </si>
  <si>
    <t>SOCL851113CT8</t>
  </si>
  <si>
    <t>LILIVET DEL CARMEN SOLANO CHIN</t>
  </si>
  <si>
    <t>SORR421111852</t>
  </si>
  <si>
    <t xml:space="preserve">RAFAEL SOTANO RODRIGUEZ </t>
  </si>
  <si>
    <t>DEHJ580405Q33</t>
  </si>
  <si>
    <t>SOVJ900602UW4</t>
  </si>
  <si>
    <t xml:space="preserve">JUMAPA </t>
  </si>
  <si>
    <t>SERVICIO AUDITORIO SA DE C</t>
  </si>
  <si>
    <t>JEM9908267H2</t>
  </si>
  <si>
    <t xml:space="preserve">JARDINES DEL EMIR , SA DE CV </t>
  </si>
  <si>
    <t>FOGC610903IQ7</t>
  </si>
  <si>
    <t>MARE640716QLA</t>
  </si>
  <si>
    <t>QTE120608GX1</t>
  </si>
  <si>
    <t xml:space="preserve">MARIANA RODRIGUEZ DE LAZARIN </t>
  </si>
  <si>
    <t>SIA9309071A5</t>
  </si>
  <si>
    <t>SHS110329GC4</t>
  </si>
  <si>
    <t>AAFS620103EL3</t>
  </si>
  <si>
    <t>SSP8202165K3</t>
  </si>
  <si>
    <t>GACJ350904PV6</t>
  </si>
  <si>
    <t xml:space="preserve">JOSE DE JESUS GRADILLA CASTRO </t>
  </si>
  <si>
    <t xml:space="preserve">SERVICIO SANTA MARIA DEL RIO SA CV </t>
  </si>
  <si>
    <t>D  1,763</t>
  </si>
  <si>
    <t xml:space="preserve">ADMINISTRADORA DE GASOLINERAS INTERLOMAS </t>
  </si>
  <si>
    <t>D  1,774</t>
  </si>
  <si>
    <t>ROCM620808M6A</t>
  </si>
  <si>
    <t xml:space="preserve">MA. MERCEDES ROCHA CALDERON </t>
  </si>
  <si>
    <t>GBA060117351</t>
  </si>
  <si>
    <t>GAS BARRIENTOS SA DE CV</t>
  </si>
  <si>
    <t xml:space="preserve">GAS BARRIENTOS SA DE CV </t>
  </si>
  <si>
    <t>OGS9804218A0</t>
  </si>
  <si>
    <t xml:space="preserve">OGSA SA DE CV </t>
  </si>
  <si>
    <t>PARI6702018I1</t>
  </si>
  <si>
    <t xml:space="preserve">INOCENCIA GREGORIA PALACIOS RODRIGUEZ </t>
  </si>
  <si>
    <t>PET070308DH4</t>
  </si>
  <si>
    <t xml:space="preserve">PETROMERIDA SA DE CV </t>
  </si>
  <si>
    <t>ACA051207QV2</t>
  </si>
  <si>
    <t xml:space="preserve">AUTOHOTELES DE CARDENAS SA DE CV </t>
  </si>
  <si>
    <t>ESS070306HF4</t>
  </si>
  <si>
    <t xml:space="preserve">ESTACION DE SERVICIO SEVILLA SA DE CV </t>
  </si>
  <si>
    <t>OES930222UMA</t>
  </si>
  <si>
    <t xml:space="preserve">OPERADORA DE ESTACIONES DE SERVICIO CIMA SA DE CV </t>
  </si>
  <si>
    <t>D  1,756</t>
  </si>
  <si>
    <t>D  1,758</t>
  </si>
  <si>
    <t>ICL0905275Q6</t>
  </si>
  <si>
    <t xml:space="preserve">INMOBILIARIA CASTILLA LA MANCHA SA DE CV </t>
  </si>
  <si>
    <t>CADJ370604TY9</t>
  </si>
  <si>
    <t xml:space="preserve">MARIA DE JESUS CABRERA DOMINGUEZ </t>
  </si>
  <si>
    <t>SSU020405KH5</t>
  </si>
  <si>
    <t xml:space="preserve">SERVICIO SUJUXI SA DE CV </t>
  </si>
  <si>
    <t>SAV990611UA3</t>
  </si>
  <si>
    <t xml:space="preserve">SERVICIO AGUA VERDE SA DE CV </t>
  </si>
  <si>
    <t>D  1,752</t>
  </si>
  <si>
    <t>RORA560721CG9</t>
  </si>
  <si>
    <t xml:space="preserve">RODRIGYEZ ROMERO ANGELINA </t>
  </si>
  <si>
    <t xml:space="preserve">GASOLINERA CIUDAD INDUSTRIAL DE DURANGO SA </t>
  </si>
  <si>
    <t>D  2,118</t>
  </si>
  <si>
    <t>D  2,120</t>
  </si>
  <si>
    <t xml:space="preserve">CONSORCIO GASOLINERO PLUS SA DE CV </t>
  </si>
  <si>
    <t>SES020720AL6</t>
  </si>
  <si>
    <t xml:space="preserve">SERVICIO ESCAMELA SA DE CV </t>
  </si>
  <si>
    <t>SRC8905249J7</t>
  </si>
  <si>
    <t>SERVICIO RIO CALZADAS SA DE CV</t>
  </si>
  <si>
    <t>CAMR540817E89</t>
  </si>
  <si>
    <t xml:space="preserve">JOSE RAMON CANCINO MORA </t>
  </si>
  <si>
    <t xml:space="preserve">CIELO MIXTECO SA DE CV </t>
  </si>
  <si>
    <t>TCO0804186C7</t>
  </si>
  <si>
    <t>GMI040225JY2</t>
  </si>
  <si>
    <t xml:space="preserve">GASOLINERA MICHOACANA SA DE CV </t>
  </si>
  <si>
    <t>OIZE600605559</t>
  </si>
  <si>
    <t xml:space="preserve">ELOISA ORTIZ ZAMORA </t>
  </si>
  <si>
    <t>TTP9209041H4</t>
  </si>
  <si>
    <t xml:space="preserve">TERMINAL TERRESTRE POTOSINA SA CV </t>
  </si>
  <si>
    <t>COM071220BU9</t>
  </si>
  <si>
    <t xml:space="preserve">CAMBURED SA DE CV </t>
  </si>
  <si>
    <t>OFA9210138U1</t>
  </si>
  <si>
    <t xml:space="preserve">OPERADORA DE FRANQUICIAS ALSEA SAPI DE CV </t>
  </si>
  <si>
    <t xml:space="preserve">SANBORNS HERMANOS SA </t>
  </si>
  <si>
    <t>D     28</t>
  </si>
  <si>
    <t>0037-TCN14</t>
  </si>
  <si>
    <t>0038-TCN14</t>
  </si>
  <si>
    <t>D     85</t>
  </si>
  <si>
    <t>0036-TCN14</t>
  </si>
  <si>
    <t>D    100</t>
  </si>
  <si>
    <t>D    101</t>
  </si>
  <si>
    <t>0039-TCN14</t>
  </si>
  <si>
    <t>D    104</t>
  </si>
  <si>
    <t>0014-TCN14</t>
  </si>
  <si>
    <t>D    105</t>
  </si>
  <si>
    <t>0015-TCN14</t>
  </si>
  <si>
    <t>0887-TCN13</t>
  </si>
  <si>
    <t>D    109</t>
  </si>
  <si>
    <t>0888-TCN13</t>
  </si>
  <si>
    <t>D    113</t>
  </si>
  <si>
    <t>0889-TCN13</t>
  </si>
  <si>
    <t>D    180</t>
  </si>
  <si>
    <t>0890-TCN13</t>
  </si>
  <si>
    <t>OZ  AUTOMOTRIZ S  DE  RL  DE CV</t>
  </si>
  <si>
    <t>0891-TCN13</t>
  </si>
  <si>
    <t>ALDEN SATELITE   S  DE  RL DE CV</t>
  </si>
  <si>
    <t>D    209</t>
  </si>
  <si>
    <t>D    210</t>
  </si>
  <si>
    <t>0892-TCN13</t>
  </si>
  <si>
    <t>D    217</t>
  </si>
  <si>
    <t>VIATICOS01</t>
  </si>
  <si>
    <t>LJIMENEZ:RAMIREZ ZACARIAS JORGE ALB</t>
  </si>
  <si>
    <t>D    224</t>
  </si>
  <si>
    <t>LJIMENEZ:JUAREZ ORNELAS DIANA CLAUD</t>
  </si>
  <si>
    <t>D    237</t>
  </si>
  <si>
    <t>0046-TCN14</t>
  </si>
  <si>
    <t>D    239</t>
  </si>
  <si>
    <t>0041-TCN14</t>
  </si>
  <si>
    <t>D    240</t>
  </si>
  <si>
    <t>0042-TCN14</t>
  </si>
  <si>
    <t>D    242</t>
  </si>
  <si>
    <t>0043-TCN14</t>
  </si>
  <si>
    <t>0044-TCN14</t>
  </si>
  <si>
    <t>0045-TCN14</t>
  </si>
  <si>
    <t>0047-TCN14</t>
  </si>
  <si>
    <t>D    246</t>
  </si>
  <si>
    <t>0048-TCN14</t>
  </si>
  <si>
    <t>0049-TCN14</t>
  </si>
  <si>
    <t>0050-TCN14</t>
  </si>
  <si>
    <t>D    252</t>
  </si>
  <si>
    <t>0051-TCN14</t>
  </si>
  <si>
    <t>D    256</t>
  </si>
  <si>
    <t>0893-TCN13</t>
  </si>
  <si>
    <t>D    372</t>
  </si>
  <si>
    <t>0052-TCN14</t>
  </si>
  <si>
    <t>D    455</t>
  </si>
  <si>
    <t>0053-TCN14</t>
  </si>
  <si>
    <t>AUTOMOVILES  DINAMICOS S  DE  RL DE</t>
  </si>
  <si>
    <t>D    457</t>
  </si>
  <si>
    <t>0054-TCN14</t>
  </si>
  <si>
    <t>ALDEN QUERETARO  S DE RL  DE  CV</t>
  </si>
  <si>
    <t>D    495</t>
  </si>
  <si>
    <t>0055-TCN14</t>
  </si>
  <si>
    <t>0056-TCN14</t>
  </si>
  <si>
    <t>D    497</t>
  </si>
  <si>
    <t>0057-TCN14</t>
  </si>
  <si>
    <t>0896-TCN13</t>
  </si>
  <si>
    <t>0897-TCN13</t>
  </si>
  <si>
    <t>0058-TCN14</t>
  </si>
  <si>
    <t>D    511</t>
  </si>
  <si>
    <t>0060-TCN14</t>
  </si>
  <si>
    <t>D    564</t>
  </si>
  <si>
    <t>0898-TCN13</t>
  </si>
  <si>
    <t>GRUPO PENNINSULA MOTORS S DE  RL CV</t>
  </si>
  <si>
    <t>D    607</t>
  </si>
  <si>
    <t>OZ  AUTOMOTRIZ S DE RL  DE  CV</t>
  </si>
  <si>
    <t>D    628</t>
  </si>
  <si>
    <t>0061-TCN14</t>
  </si>
  <si>
    <t>D    640</t>
  </si>
  <si>
    <t>0062-TCN14</t>
  </si>
  <si>
    <t>0899-TCN13</t>
  </si>
  <si>
    <t>PROMOTORA  AUTOMOTRIZ  SANTA FE SA</t>
  </si>
  <si>
    <t>D    769</t>
  </si>
  <si>
    <t>0063-TCN14</t>
  </si>
  <si>
    <t>D    859</t>
  </si>
  <si>
    <t>CURSO M1 29/09 AL 01/10/2013</t>
  </si>
  <si>
    <t>AM-0000897</t>
  </si>
  <si>
    <t>D    886</t>
  </si>
  <si>
    <t>0064-TCN14</t>
  </si>
  <si>
    <t>TOY MORELOS S DE RL  DE CV</t>
  </si>
  <si>
    <t>D    887</t>
  </si>
  <si>
    <t>AM-0000909</t>
  </si>
  <si>
    <t>LJIMENEZ:INTERNET OCTUBRE</t>
  </si>
  <si>
    <t>D    888</t>
  </si>
  <si>
    <t>AM-0000914</t>
  </si>
  <si>
    <t>LJIMENEZ:FRAME RELAY OCTUBRE</t>
  </si>
  <si>
    <t>D    908</t>
  </si>
  <si>
    <t>0065-TCN14</t>
  </si>
  <si>
    <t>D    953</t>
  </si>
  <si>
    <t>0066-TCN14</t>
  </si>
  <si>
    <t>0902-TCN13</t>
  </si>
  <si>
    <t>D    962</t>
  </si>
  <si>
    <t>D    983</t>
  </si>
  <si>
    <t>D    999</t>
  </si>
  <si>
    <t>R0927</t>
  </si>
  <si>
    <t>S0647</t>
  </si>
  <si>
    <t>MA.DEL RAYO FIGUEROA CORNEJO</t>
  </si>
  <si>
    <t>D  1,003</t>
  </si>
  <si>
    <t>S0662</t>
  </si>
  <si>
    <t>S0665</t>
  </si>
  <si>
    <t>P005215</t>
  </si>
  <si>
    <t>TRASLADO INV.0880-TCN13</t>
  </si>
  <si>
    <t>P005217</t>
  </si>
  <si>
    <t>TRASLADO INV.0885-TCN13</t>
  </si>
  <si>
    <t>P005219</t>
  </si>
  <si>
    <t>TRASLADI INV.0891-TCN13</t>
  </si>
  <si>
    <t>P005221</t>
  </si>
  <si>
    <t>INTERCAMBIO INV.0031-TCN13</t>
  </si>
  <si>
    <t>P005223</t>
  </si>
  <si>
    <t>TRASLADO INV.0898-TCN13</t>
  </si>
  <si>
    <t>D  1,019</t>
  </si>
  <si>
    <t>P005225</t>
  </si>
  <si>
    <t>CASETA</t>
  </si>
  <si>
    <t>D  1,021</t>
  </si>
  <si>
    <t>P005226</t>
  </si>
  <si>
    <t>TRASLADO INV.0890-TCN13</t>
  </si>
  <si>
    <t>D  1,024</t>
  </si>
  <si>
    <t>P005228</t>
  </si>
  <si>
    <t>TRASLADO INV.0053-TCN14</t>
  </si>
  <si>
    <t>D  1,025</t>
  </si>
  <si>
    <t>P005230</t>
  </si>
  <si>
    <t>CASETA INTERCAMBIO INV.0049-TC</t>
  </si>
  <si>
    <t>D  1,028</t>
  </si>
  <si>
    <t>P005231</t>
  </si>
  <si>
    <t>INTERCAMBIO INV.0035-TCN14</t>
  </si>
  <si>
    <t>P005233</t>
  </si>
  <si>
    <t>INTERCAMBIO INV.0027-TCN14</t>
  </si>
  <si>
    <t>P005235</t>
  </si>
  <si>
    <t>TRASLADO INV.0884-TCN13</t>
  </si>
  <si>
    <t>0903-TCN13</t>
  </si>
  <si>
    <t>D  1,233</t>
  </si>
  <si>
    <t>0067-TCN14</t>
  </si>
  <si>
    <t>0068-TCN14</t>
  </si>
  <si>
    <t>CALIDAD DE CAMPECHE S DE RL DE CV</t>
  </si>
  <si>
    <t>0904-TCN13</t>
  </si>
  <si>
    <t>ALDEN  QUERETARO S DE RL  DE  CV</t>
  </si>
  <si>
    <t>D  1,317</t>
  </si>
  <si>
    <t>0905-TCN13</t>
  </si>
  <si>
    <t>CEVER LOMAS  VERDES S D E RL DE CV</t>
  </si>
  <si>
    <t>D  1,318</t>
  </si>
  <si>
    <t>D  1,319</t>
  </si>
  <si>
    <t>0069-TCN14</t>
  </si>
  <si>
    <t>D  1,399</t>
  </si>
  <si>
    <t>0070-TCN14</t>
  </si>
  <si>
    <t>0906-TCN13</t>
  </si>
  <si>
    <t>AUTOMOVILES  VALLEJO S DE RL DE CV</t>
  </si>
  <si>
    <t>D  1,436</t>
  </si>
  <si>
    <t>0907-TCN13</t>
  </si>
  <si>
    <t>TOYOTA COAPA S DE RL  DE  CV</t>
  </si>
  <si>
    <t>0908-TCN13</t>
  </si>
  <si>
    <t>D  1,575</t>
  </si>
  <si>
    <t>RENOCTUB13</t>
  </si>
  <si>
    <t>D  1,577</t>
  </si>
  <si>
    <t>RENTOCTU13</t>
  </si>
  <si>
    <t>D  1,583</t>
  </si>
  <si>
    <t>0909-TCN13</t>
  </si>
  <si>
    <t>TOYOMOTORS  DE  POLANCO S DE RL DE</t>
  </si>
  <si>
    <t>D  1,621</t>
  </si>
  <si>
    <t>0071-TCN14</t>
  </si>
  <si>
    <t>0072-TCN14</t>
  </si>
  <si>
    <t>P005237</t>
  </si>
  <si>
    <t>OPERADORA VIPS S DE RL DE CV</t>
  </si>
  <si>
    <t>P005239</t>
  </si>
  <si>
    <t>JUNTA MUNICIPAL DE AGUAS POTAB</t>
  </si>
  <si>
    <t>D  1,718</t>
  </si>
  <si>
    <t>D  1,724</t>
  </si>
  <si>
    <t>J.JUAN FELIPE ARVIZU MANCERA</t>
  </si>
  <si>
    <t>R000966</t>
  </si>
  <si>
    <t>S000667</t>
  </si>
  <si>
    <t>S000670</t>
  </si>
  <si>
    <t>D  1,733</t>
  </si>
  <si>
    <t>S000675</t>
  </si>
  <si>
    <t>D  1,743</t>
  </si>
  <si>
    <t>0073-TCN14</t>
  </si>
  <si>
    <t>0074-TCN14</t>
  </si>
  <si>
    <t>0075-TCN14</t>
  </si>
  <si>
    <t>0076-TCN14</t>
  </si>
  <si>
    <t>0077-TCN14</t>
  </si>
  <si>
    <t>0078-TCN14</t>
  </si>
  <si>
    <t>0079-TCN14</t>
  </si>
  <si>
    <t>D  1,770</t>
  </si>
  <si>
    <t>0080-TCN14</t>
  </si>
  <si>
    <t>D  1,771</t>
  </si>
  <si>
    <t>0081-TCN14</t>
  </si>
  <si>
    <t>D  1,772</t>
  </si>
  <si>
    <t>0082-TCN14</t>
  </si>
  <si>
    <t>0083-TCN14</t>
  </si>
  <si>
    <t>0084-TCN14</t>
  </si>
  <si>
    <t>0085-TCN14</t>
  </si>
  <si>
    <t>0910-TCN13</t>
  </si>
  <si>
    <t>ALDEN  QUERETARO  S DE RL DE CV</t>
  </si>
  <si>
    <t>R000971</t>
  </si>
  <si>
    <t>R000974</t>
  </si>
  <si>
    <t>D  1,826</t>
  </si>
  <si>
    <t>P005256</t>
  </si>
  <si>
    <t>D  1,838</t>
  </si>
  <si>
    <t>D  1,845</t>
  </si>
  <si>
    <t>PINTURAS Y MATERIALES VEGMAR S</t>
  </si>
  <si>
    <t>COMERCIALIZADORA ALIMENTOS QUE</t>
  </si>
  <si>
    <t>D  1,847</t>
  </si>
  <si>
    <t>D  1,855</t>
  </si>
  <si>
    <t>D  1,856</t>
  </si>
  <si>
    <t>CELAYA ELECTRONICA SA DE CV</t>
  </si>
  <si>
    <t>DISTRIBUIDORES ASOCIADOS PRISA</t>
  </si>
  <si>
    <t>TRASLADO INV.0904-TCN13</t>
  </si>
  <si>
    <t>P005290</t>
  </si>
  <si>
    <t>TRASLADO INV.0907-TCN13</t>
  </si>
  <si>
    <t>P005291</t>
  </si>
  <si>
    <t>TRASLADO INV.0905-TCN13</t>
  </si>
  <si>
    <t>TRASLADO RAV CHIAPAS-VALLARTA</t>
  </si>
  <si>
    <t>0086-TCN14</t>
  </si>
  <si>
    <t>P005295</t>
  </si>
  <si>
    <t>INTERCAMB-MEX.INV.0027-TCN13</t>
  </si>
  <si>
    <t>0087-TCN14</t>
  </si>
  <si>
    <t>P005297</t>
  </si>
  <si>
    <t>INTERCAMBIO INV.0067-TCN14</t>
  </si>
  <si>
    <t>P005299</t>
  </si>
  <si>
    <t>INTERCAMBIO INV.0798-TCN13</t>
  </si>
  <si>
    <t>P005301</t>
  </si>
  <si>
    <t>LJIMENEZ:INTERCAMB.INV.0068-TCN14</t>
  </si>
  <si>
    <t>P005303</t>
  </si>
  <si>
    <t>INTERCAMBIO INV.0767-TCN13</t>
  </si>
  <si>
    <t>ALFONSO CORDOVA NOVOA</t>
  </si>
  <si>
    <t>COMERCIALIZADORA FARMACEUTICA</t>
  </si>
  <si>
    <t>JOSE FERNANDO DE LA ROCHA REMB</t>
  </si>
  <si>
    <t>P005309</t>
  </si>
  <si>
    <t>D  1,979</t>
  </si>
  <si>
    <t>AUTOZONE DE MEXICO S DE RL CV</t>
  </si>
  <si>
    <t>MIGUEL ANGEL CHAVEZ MANRIQUE</t>
  </si>
  <si>
    <t>IMPRESIONES LASSER BEAM S DE R</t>
  </si>
  <si>
    <t>0088-TCN14</t>
  </si>
  <si>
    <t>D  2,000</t>
  </si>
  <si>
    <t>0911-TCN13</t>
  </si>
  <si>
    <t>D  2,049</t>
  </si>
  <si>
    <t>0089-TCN14</t>
  </si>
  <si>
    <t>0090-TCN14</t>
  </si>
  <si>
    <t>0091-TCN14</t>
  </si>
  <si>
    <t>0912-TCN13</t>
  </si>
  <si>
    <t>0092-TCN14</t>
  </si>
  <si>
    <t>FERRETERIA LA AZTECA SA DE CV</t>
  </si>
  <si>
    <t>DISTRIBUIDORA VOLKSWAGEN DEL B</t>
  </si>
  <si>
    <t>INMOBILIARIA IGOVA SA DE CV</t>
  </si>
  <si>
    <t>0093-TCN14</t>
  </si>
  <si>
    <t>MA.ROSA RIVERA GARCIA</t>
  </si>
  <si>
    <t>D  2,126</t>
  </si>
  <si>
    <t>AUTOS PARTES Y MAS</t>
  </si>
  <si>
    <t>CIA.FERRETERA NUEVO MUNDO S DE</t>
  </si>
  <si>
    <t>P005334</t>
  </si>
  <si>
    <t>TRASLADO INV.0909-TCN13</t>
  </si>
  <si>
    <t>D  2,139</t>
  </si>
  <si>
    <t>0913-TCN13</t>
  </si>
  <si>
    <t>SAMURAI MOTORS XALAPA S  DE RL DE</t>
  </si>
  <si>
    <t>P005344</t>
  </si>
  <si>
    <t>INTERCAMBIO INV.0046-TCN14</t>
  </si>
  <si>
    <t>P005346</t>
  </si>
  <si>
    <t>INTERCAMBIO INV.0056-TCN14</t>
  </si>
  <si>
    <t>0914-TCN13</t>
  </si>
  <si>
    <t>AUTOMOTRIZ TOY  S,A  DE  CV</t>
  </si>
  <si>
    <t>0094-TCN14</t>
  </si>
  <si>
    <t>0095-TCN14</t>
  </si>
  <si>
    <t>0915-TCN13</t>
  </si>
  <si>
    <t>0096-TCN14</t>
  </si>
  <si>
    <t>D  2,275</t>
  </si>
  <si>
    <t>AMEXOCT/13</t>
  </si>
  <si>
    <t>COMISIONES AMEX OCT/2013</t>
  </si>
  <si>
    <t>D  2,307</t>
  </si>
  <si>
    <t>CH-13291</t>
  </si>
  <si>
    <t>TOYOTA MOTORS SALES DE MEXICO</t>
  </si>
  <si>
    <t>D  2,330</t>
  </si>
  <si>
    <t>p005348</t>
  </si>
  <si>
    <t>JAVIER RUELAS FLORES</t>
  </si>
  <si>
    <t>IMPRESIONES LSSER BEAM S DE RL</t>
  </si>
  <si>
    <t>TANIA GABRIELA MARTINEZ CASTIL</t>
  </si>
  <si>
    <t>D  2,337</t>
  </si>
  <si>
    <t>S000685</t>
  </si>
  <si>
    <t>LJIMENEZ:MARTHA EDITH JURADO BRISEÑ</t>
  </si>
  <si>
    <t>S000687</t>
  </si>
  <si>
    <t>VERIFICENTRO DE QUERETARO SA D</t>
  </si>
  <si>
    <t>D  2,339</t>
  </si>
  <si>
    <t>S000693</t>
  </si>
  <si>
    <t>ANA MARIA PEREZ GARCIA</t>
  </si>
  <si>
    <t>R000981</t>
  </si>
  <si>
    <t>PENDIENTE</t>
  </si>
  <si>
    <t>DEV DE GTOS PAGADOS ENE-OCT 20</t>
  </si>
  <si>
    <t>D  2,350</t>
  </si>
  <si>
    <t>C.VIATICOS</t>
  </si>
  <si>
    <t>LJIMENEZ:VIATICOS JUNTA STA.FE 17Y1</t>
  </si>
  <si>
    <t>D  2,358</t>
  </si>
  <si>
    <t>EMBARQ317</t>
  </si>
  <si>
    <t>DEPTO EMBARQUE 317 03/10/2013</t>
  </si>
  <si>
    <t>E      3</t>
  </si>
  <si>
    <t>CH-13151</t>
  </si>
  <si>
    <t>CH-13154</t>
  </si>
  <si>
    <t>CH-13158</t>
  </si>
  <si>
    <t>CH-13159</t>
  </si>
  <si>
    <t>LJIMENEZ:CANON MEXICANA S DE RL DE</t>
  </si>
  <si>
    <t>CH-13166</t>
  </si>
  <si>
    <t>CH-13167</t>
  </si>
  <si>
    <t>CH-13168</t>
  </si>
  <si>
    <t>CH-13169</t>
  </si>
  <si>
    <t>CH-13170</t>
  </si>
  <si>
    <t>CH-13177</t>
  </si>
  <si>
    <t>CH-13178</t>
  </si>
  <si>
    <t>CH-13179</t>
  </si>
  <si>
    <t>CH-13180</t>
  </si>
  <si>
    <t>SAAVEDRA ORTIZ ALEJANDRO</t>
  </si>
  <si>
    <t>CH-13181</t>
  </si>
  <si>
    <t>GOMEZ ROCHA JAIME</t>
  </si>
  <si>
    <t>CH-13185</t>
  </si>
  <si>
    <t>ANDRADE CORNEJO FERNANDO</t>
  </si>
  <si>
    <t>T-741</t>
  </si>
  <si>
    <t>T-340</t>
  </si>
  <si>
    <t>T-742</t>
  </si>
  <si>
    <t>T-743</t>
  </si>
  <si>
    <t>T-744</t>
  </si>
  <si>
    <t>T-745</t>
  </si>
  <si>
    <t>T-746</t>
  </si>
  <si>
    <t>T-748</t>
  </si>
  <si>
    <t>T-749</t>
  </si>
  <si>
    <t>T-341</t>
  </si>
  <si>
    <t>CH-13189</t>
  </si>
  <si>
    <t>CH-13196</t>
  </si>
  <si>
    <t>CH-13197</t>
  </si>
  <si>
    <t>CH-13201</t>
  </si>
  <si>
    <t>T-750</t>
  </si>
  <si>
    <t>T-342</t>
  </si>
  <si>
    <t>T-343</t>
  </si>
  <si>
    <t>T-344</t>
  </si>
  <si>
    <t>T-752</t>
  </si>
  <si>
    <t>T-345</t>
  </si>
  <si>
    <t>CH-13207</t>
  </si>
  <si>
    <t>CH-13208</t>
  </si>
  <si>
    <t>T-753</t>
  </si>
  <si>
    <t>T-346</t>
  </si>
  <si>
    <t>T-754</t>
  </si>
  <si>
    <t>T-755</t>
  </si>
  <si>
    <t>T-347</t>
  </si>
  <si>
    <t>T-756</t>
  </si>
  <si>
    <t>T-757</t>
  </si>
  <si>
    <t>T-758</t>
  </si>
  <si>
    <t>T-759</t>
  </si>
  <si>
    <t>T-760</t>
  </si>
  <si>
    <t>CH-13213</t>
  </si>
  <si>
    <t>CH-13215</t>
  </si>
  <si>
    <t>CH-13218</t>
  </si>
  <si>
    <t>CH-13219</t>
  </si>
  <si>
    <t>CH-13220</t>
  </si>
  <si>
    <t>CH-13221</t>
  </si>
  <si>
    <t>ARIAS RIVERA VICENTE</t>
  </si>
  <si>
    <t>ch-13222</t>
  </si>
  <si>
    <t>ALFARO LOPEZ ALICIA MAGDALENA</t>
  </si>
  <si>
    <t>CH-13223</t>
  </si>
  <si>
    <t>DISTRIBUIDORA DE CONCRETO SA DE CV</t>
  </si>
  <si>
    <t>CH-13228</t>
  </si>
  <si>
    <t>LJIMENEZ:CONSULTORES &amp; ASESORES INT</t>
  </si>
  <si>
    <t>CH-13198</t>
  </si>
  <si>
    <t>CH-13231</t>
  </si>
  <si>
    <t>CH-13242</t>
  </si>
  <si>
    <t>CH-13243</t>
  </si>
  <si>
    <t>CH-13256</t>
  </si>
  <si>
    <t>CH-13257</t>
  </si>
  <si>
    <t>OCT.COMIS</t>
  </si>
  <si>
    <t>COMISIONES OCT/2013</t>
  </si>
  <si>
    <t>CH-13264</t>
  </si>
  <si>
    <t>T-761</t>
  </si>
  <si>
    <t>T-763</t>
  </si>
  <si>
    <t>T-764</t>
  </si>
  <si>
    <t>T-765</t>
  </si>
  <si>
    <t>T-766</t>
  </si>
  <si>
    <t>T-767</t>
  </si>
  <si>
    <t>T-768</t>
  </si>
  <si>
    <t>T-769</t>
  </si>
  <si>
    <t>T-770</t>
  </si>
  <si>
    <t>T-771</t>
  </si>
  <si>
    <t>T-772</t>
  </si>
  <si>
    <t>T-348</t>
  </si>
  <si>
    <t>T-349</t>
  </si>
  <si>
    <t>CH-13270</t>
  </si>
  <si>
    <t>CH-13276</t>
  </si>
  <si>
    <t>CH-13186</t>
  </si>
  <si>
    <t>CH-13187</t>
  </si>
  <si>
    <t>CH-13282</t>
  </si>
  <si>
    <t>FORMAS GENERALES SA DE CV</t>
  </si>
  <si>
    <t>CH-13283</t>
  </si>
  <si>
    <t>CH-13284</t>
  </si>
  <si>
    <t>CH-13285</t>
  </si>
  <si>
    <t>COM.BBVA</t>
  </si>
  <si>
    <t>COMISIONES BBVA 24 AL 30/10/20</t>
  </si>
  <si>
    <t>CH-13287</t>
  </si>
  <si>
    <t>CH-13288</t>
  </si>
  <si>
    <t>CH-13292</t>
  </si>
  <si>
    <t>LJIMENEZ:GARCIA OLIVOS MARIA TERESA</t>
  </si>
  <si>
    <t>CH-13226</t>
  </si>
  <si>
    <t>E    235</t>
  </si>
  <si>
    <t>CH-13272</t>
  </si>
  <si>
    <t>CH-13199</t>
  </si>
  <si>
    <t>CH-13204</t>
  </si>
  <si>
    <t>CH-13225</t>
  </si>
  <si>
    <t>CH-13227</t>
  </si>
  <si>
    <t>CHAVEZ SANCHEZ ROSALBA</t>
  </si>
  <si>
    <t>CH-13200</t>
  </si>
  <si>
    <t>CH-13275</t>
  </si>
  <si>
    <t>CH-13293</t>
  </si>
  <si>
    <t>T-774</t>
  </si>
  <si>
    <t>E    250</t>
  </si>
  <si>
    <t>T-776</t>
  </si>
  <si>
    <t>E    251</t>
  </si>
  <si>
    <t>T-777</t>
  </si>
  <si>
    <t>T-778</t>
  </si>
  <si>
    <t>E    253</t>
  </si>
  <si>
    <t>T-779</t>
  </si>
  <si>
    <t>E    254</t>
  </si>
  <si>
    <t>T-350</t>
  </si>
  <si>
    <t>E    258</t>
  </si>
  <si>
    <t>T-780</t>
  </si>
  <si>
    <t>E    259</t>
  </si>
  <si>
    <t>T-781</t>
  </si>
  <si>
    <t>E    260</t>
  </si>
  <si>
    <t>COM-BBVA</t>
  </si>
  <si>
    <t>COMISION AL 31/10/2013</t>
  </si>
  <si>
    <t>E    261</t>
  </si>
  <si>
    <t>COM.OCT/13</t>
  </si>
  <si>
    <t>COMISIONES SANTANDER OCT/2013</t>
  </si>
  <si>
    <t>E    262</t>
  </si>
  <si>
    <t>COM.HSBC</t>
  </si>
  <si>
    <t>COMISIONES HSBC OCT/2013</t>
  </si>
  <si>
    <t>E    263</t>
  </si>
  <si>
    <t>COM.INVERL</t>
  </si>
  <si>
    <t>COMISIONES INVERLAT OCT/2013</t>
  </si>
  <si>
    <t>E    264</t>
  </si>
  <si>
    <t>COM.BANORT</t>
  </si>
  <si>
    <t>COMISIONES BANORTE OCT/2013</t>
  </si>
  <si>
    <t>E    266</t>
  </si>
  <si>
    <t>CH-13271</t>
  </si>
  <si>
    <t>E    267</t>
  </si>
  <si>
    <t>COMISION BAJIO OCT/2013</t>
  </si>
  <si>
    <t>E    270</t>
  </si>
  <si>
    <t>CH-13262</t>
  </si>
  <si>
    <t>PINTURAS EZEQUIEL MONTES DE QUERETA</t>
  </si>
  <si>
    <t>E    271</t>
  </si>
  <si>
    <t>COM.BMX</t>
  </si>
  <si>
    <t>COMISIONES BMX OCT/2013</t>
  </si>
  <si>
    <t>E    275</t>
  </si>
  <si>
    <t>CH-12834</t>
  </si>
  <si>
    <t>E    280</t>
  </si>
  <si>
    <t>CH-13157</t>
  </si>
  <si>
    <t>DTO.TMS010508-RX0</t>
  </si>
  <si>
    <t>I    349</t>
  </si>
  <si>
    <t>EMB.322</t>
  </si>
  <si>
    <t>EMBARQUE NO.322</t>
  </si>
  <si>
    <t>I    775</t>
  </si>
  <si>
    <t>EMB.352</t>
  </si>
  <si>
    <t>LJIMENEZ:EMBARQUE NO.352</t>
  </si>
  <si>
    <t>I    776</t>
  </si>
  <si>
    <t>EMB.355</t>
  </si>
  <si>
    <t>EMBARQUE NO.355</t>
  </si>
  <si>
    <t>OCTUBRE</t>
  </si>
  <si>
    <t>AALA561209RZ6</t>
  </si>
  <si>
    <t>PEGA740415AK5</t>
  </si>
  <si>
    <t>AACF780620N15</t>
  </si>
  <si>
    <t>AIRV540405HV0</t>
  </si>
  <si>
    <t>APM8805092U9</t>
  </si>
  <si>
    <t>CCA050811488</t>
  </si>
  <si>
    <t>CEL110601MZ4</t>
  </si>
  <si>
    <t>CASR780331D55</t>
  </si>
  <si>
    <t>CFC110121742</t>
  </si>
  <si>
    <t>CCO130605R24</t>
  </si>
  <si>
    <t xml:space="preserve">COMERCIALIZADORA LA CONSAGRADA SA DE CV </t>
  </si>
  <si>
    <t>SJM990524KSA</t>
  </si>
  <si>
    <t xml:space="preserve">SERVICIO JMS SA DE CV </t>
  </si>
  <si>
    <t>DCO840731454</t>
  </si>
  <si>
    <t>DAP070515HW8</t>
  </si>
  <si>
    <t>FAZ8608051T4</t>
  </si>
  <si>
    <t>FGE8202044Q7</t>
  </si>
  <si>
    <t>GORJ810414RE0</t>
  </si>
  <si>
    <t>ILB130712NH3</t>
  </si>
  <si>
    <t>IMPRESIONES LASSER BEAM S DE RL DE CV</t>
  </si>
  <si>
    <t xml:space="preserve">ADMINISTRADORA DE GASOLINERAS INTERLOMAS SA DE CV </t>
  </si>
  <si>
    <t>ORC120224837</t>
  </si>
  <si>
    <t xml:space="preserve">EL COLEGUITA S DE RL DE CV </t>
  </si>
  <si>
    <t>HME100504UP9</t>
  </si>
  <si>
    <t xml:space="preserve">HIRSCHE DE MEXICO S DE RL DE CV </t>
  </si>
  <si>
    <t>EPE080813A17</t>
  </si>
  <si>
    <t xml:space="preserve">ENERGETICA PETROJAL SA DE CV </t>
  </si>
  <si>
    <t>SLE770824AB7</t>
  </si>
  <si>
    <t xml:space="preserve">SERVICIO LECHERA SA </t>
  </si>
  <si>
    <t>RUFJ510815D5A</t>
  </si>
  <si>
    <t xml:space="preserve">NO  HAY FACTURA </t>
  </si>
  <si>
    <t>CMC9504188D2</t>
  </si>
  <si>
    <t>CANON MEXICANA S DE RL DE CV</t>
  </si>
  <si>
    <t>QUERETARO MOTORS, SA</t>
  </si>
  <si>
    <t>ASJ060127HM1</t>
  </si>
  <si>
    <t xml:space="preserve">AUTOSERVICIO JANO SA DE CV </t>
  </si>
  <si>
    <t xml:space="preserve">JOSE ALFREDO BERTADO LUCIO </t>
  </si>
  <si>
    <t>ESA930602UV1</t>
  </si>
  <si>
    <t>GCA801008DU5</t>
  </si>
  <si>
    <t xml:space="preserve">GASOLINERA CAMPECHE SA DE CV </t>
  </si>
  <si>
    <t>PCO7903276Y9</t>
  </si>
  <si>
    <t xml:space="preserve">PLAZA COMERCIAL ORIENTE SA DE CV </t>
  </si>
  <si>
    <t>PTS93052414A</t>
  </si>
  <si>
    <t xml:space="preserve">PARADOR TURISTICO SAN PEDRO S DE RL DE CV </t>
  </si>
  <si>
    <t>RFV010207JP4</t>
  </si>
  <si>
    <t>RESTAURANTE FAMILIAR EL VERACRUZANO SA</t>
  </si>
  <si>
    <t>VEPC8504169I3</t>
  </si>
  <si>
    <t xml:space="preserve">CARLOS MARIO VERA PEREZ </t>
  </si>
  <si>
    <t xml:space="preserve">RESTAURANTE LA PARROQUIA POTOSINA </t>
  </si>
  <si>
    <t>MARTHA EDITH JURADO BRISEÑ</t>
  </si>
  <si>
    <t>RIGR660209GT4</t>
  </si>
  <si>
    <t>CAMM880825PU8</t>
  </si>
  <si>
    <t>PEM810623N95</t>
  </si>
  <si>
    <t>PMV800209PT4</t>
  </si>
  <si>
    <t xml:space="preserve">CORTAZAR CASTAÑON GUILLERMO </t>
  </si>
  <si>
    <t xml:space="preserve">COSTAZAR CASTAÑON CESAR ALEJANDRO </t>
  </si>
  <si>
    <t>SAOA680205389</t>
  </si>
  <si>
    <t>VQU120907412</t>
  </si>
  <si>
    <t>D  1,026</t>
  </si>
  <si>
    <t>D  1,027</t>
  </si>
  <si>
    <t xml:space="preserve">ROSALIA GRISELDA DE LIRA CESEÑA </t>
  </si>
  <si>
    <t>JURJ331206RDA</t>
  </si>
  <si>
    <t xml:space="preserve">JUAN MAYO JURADO R </t>
  </si>
  <si>
    <t xml:space="preserve">SERVICIO LOS CUES S DE RL DE CV </t>
  </si>
  <si>
    <t>D  1,020</t>
  </si>
  <si>
    <t>FMI040811KHA</t>
  </si>
  <si>
    <t xml:space="preserve">FABRICACION Y MONTAJES INDUSTRIALES ZAIMER SA DE CV </t>
  </si>
  <si>
    <t>OES070503PZ1</t>
  </si>
  <si>
    <t xml:space="preserve">OPERADORA DE ESTACIONES DE SERVICIO SA DE CV </t>
  </si>
  <si>
    <t>D     12</t>
  </si>
  <si>
    <t>D     13</t>
  </si>
  <si>
    <t>D     16</t>
  </si>
  <si>
    <t>D     17</t>
  </si>
  <si>
    <t>D     80</t>
  </si>
  <si>
    <t>D    145</t>
  </si>
  <si>
    <t>0916-TCN13</t>
  </si>
  <si>
    <t>COMPROB.VIATICOS</t>
  </si>
  <si>
    <t>D    267</t>
  </si>
  <si>
    <t>0917-TCN13</t>
  </si>
  <si>
    <t>CEVER LOMAS VERDES S  DE RL DE CV</t>
  </si>
  <si>
    <t>D    272</t>
  </si>
  <si>
    <t>0097-TCN14</t>
  </si>
  <si>
    <t>0098-TCN14</t>
  </si>
  <si>
    <t>D    288</t>
  </si>
  <si>
    <t>0918-TCN13</t>
  </si>
  <si>
    <t>D    351</t>
  </si>
  <si>
    <t>0099-TCN14</t>
  </si>
  <si>
    <t>SAMURAI MOTORS  S DE RL DE CV</t>
  </si>
  <si>
    <t>D    356</t>
  </si>
  <si>
    <t>0919-TCN13</t>
  </si>
  <si>
    <t>TOYOCOAPA S DE RL DE  CV</t>
  </si>
  <si>
    <t>D    364</t>
  </si>
  <si>
    <t>0920-TCN13</t>
  </si>
  <si>
    <t>D    366</t>
  </si>
  <si>
    <t>TRASPASO</t>
  </si>
  <si>
    <t>COM.TRASPASO CTAS.PROPIAS 08/1</t>
  </si>
  <si>
    <t>D    369</t>
  </si>
  <si>
    <t>COMPROBACION VIATICOS</t>
  </si>
  <si>
    <t>0921-TCN13</t>
  </si>
  <si>
    <t>TOY  AUTOMOTRIZ  S  DE  RL DE CV</t>
  </si>
  <si>
    <t>D    374</t>
  </si>
  <si>
    <t>0100-TCN14</t>
  </si>
  <si>
    <t>0101-TCN14</t>
  </si>
  <si>
    <t>0102-TCN14</t>
  </si>
  <si>
    <t>D    406</t>
  </si>
  <si>
    <t>0103-TCN14</t>
  </si>
  <si>
    <t>D    421</t>
  </si>
  <si>
    <t>0922-TCN13</t>
  </si>
  <si>
    <t>D    422</t>
  </si>
  <si>
    <t>0923-TCN13</t>
  </si>
  <si>
    <t>0104-TCN14</t>
  </si>
  <si>
    <t>D    424</t>
  </si>
  <si>
    <t>0105-TCN14</t>
  </si>
  <si>
    <t>D    428</t>
  </si>
  <si>
    <t>0106-TCN14</t>
  </si>
  <si>
    <t>D    429</t>
  </si>
  <si>
    <t>0925-TCN13</t>
  </si>
  <si>
    <t>D    430</t>
  </si>
  <si>
    <t>0926-TCN13</t>
  </si>
  <si>
    <t>0107-TCN14</t>
  </si>
  <si>
    <t>D    562</t>
  </si>
  <si>
    <t>0927-TCN13</t>
  </si>
  <si>
    <t>D    563</t>
  </si>
  <si>
    <t>0108-TCN14</t>
  </si>
  <si>
    <t>ALECSA  PACHUCA S DE RL  DE  CV</t>
  </si>
  <si>
    <t>0928-TCN13</t>
  </si>
  <si>
    <t>D    576</t>
  </si>
  <si>
    <t>0109-TCN14</t>
  </si>
  <si>
    <t>0929-TCN13</t>
  </si>
  <si>
    <t>D    623</t>
  </si>
  <si>
    <t>TRASPASO CTAS PROPIAS 12/11/20</t>
  </si>
  <si>
    <t>D    646</t>
  </si>
  <si>
    <t>0110-TCN14</t>
  </si>
  <si>
    <t>D    684</t>
  </si>
  <si>
    <t>0111-TCN14</t>
  </si>
  <si>
    <t>D    748</t>
  </si>
  <si>
    <t>0930-TCN13</t>
  </si>
  <si>
    <t>D    750</t>
  </si>
  <si>
    <t>TRASPASO CTAS PROPIAS 14/11/20</t>
  </si>
  <si>
    <t>0112-TCN14</t>
  </si>
  <si>
    <t>0114-TCN14</t>
  </si>
  <si>
    <t>D    804</t>
  </si>
  <si>
    <t>0115-TCN14</t>
  </si>
  <si>
    <t>PURDY MOTORS MEXICO S DE  RL DE CV</t>
  </si>
  <si>
    <t>D    807</t>
  </si>
  <si>
    <t>0116-TCN14</t>
  </si>
  <si>
    <t>UNITED  AUTO DE MONTERREY S  DE CV</t>
  </si>
  <si>
    <t>D    812</t>
  </si>
  <si>
    <t>0931-TCN13</t>
  </si>
  <si>
    <t>D    817</t>
  </si>
  <si>
    <t>AM-0000934</t>
  </si>
  <si>
    <t>0932-TCN13</t>
  </si>
  <si>
    <t>GRUPO   PENNINSULA  MOTORS S D ERL</t>
  </si>
  <si>
    <t>0117-TCN14</t>
  </si>
  <si>
    <t>TOY  MORELOS S D E RL DE CV</t>
  </si>
  <si>
    <t>D    960</t>
  </si>
  <si>
    <t>0118-TCN14</t>
  </si>
  <si>
    <t>ALDEN QUERETARO   S DE  RL DE CV</t>
  </si>
  <si>
    <t>D    964</t>
  </si>
  <si>
    <t>0119-TCN14</t>
  </si>
  <si>
    <t>0933-TCN13</t>
  </si>
  <si>
    <t>LIDERAZGO AUTOMOTRIZ  DE  PUEBLA</t>
  </si>
  <si>
    <t>D    973</t>
  </si>
  <si>
    <t>0120-TCN14</t>
  </si>
  <si>
    <t>0934-TCN13</t>
  </si>
  <si>
    <t>D    978</t>
  </si>
  <si>
    <t>0121-TCN14</t>
  </si>
  <si>
    <t>R000991</t>
  </si>
  <si>
    <t>ARREDONDO ESPINOSA DANIEL</t>
  </si>
  <si>
    <t>R000993</t>
  </si>
  <si>
    <t>ITSU AUTOMOTRIZ DE CELAYA SA D</t>
  </si>
  <si>
    <t>R000999</t>
  </si>
  <si>
    <t>S000689</t>
  </si>
  <si>
    <t>S000698</t>
  </si>
  <si>
    <t>S000703</t>
  </si>
  <si>
    <t>S000704</t>
  </si>
  <si>
    <t>S000705</t>
  </si>
  <si>
    <t>S000721</t>
  </si>
  <si>
    <t>P005366</t>
  </si>
  <si>
    <t>TRASLADO INV.0064-TCN14</t>
  </si>
  <si>
    <t>P005368</t>
  </si>
  <si>
    <t>TRASLADO INV.0910-TCN13</t>
  </si>
  <si>
    <t>P005369</t>
  </si>
  <si>
    <t>TRASLADO INV.0906-TCN13</t>
  </si>
  <si>
    <t>P005372</t>
  </si>
  <si>
    <t>TRASLADO INV.0913-TCN13</t>
  </si>
  <si>
    <t>AUTOZONE DE MEXICO SDE RL DE C</t>
  </si>
  <si>
    <t>D  1,047</t>
  </si>
  <si>
    <t>CECILIA MA.DEL CONSUELO TORRES</t>
  </si>
  <si>
    <t>0935-TCN13</t>
  </si>
  <si>
    <t>ALECSA  PACHUCA S DE  RL DE CV</t>
  </si>
  <si>
    <t>0122-TCN14</t>
  </si>
  <si>
    <t>D  1,098</t>
  </si>
  <si>
    <t>D  1,099</t>
  </si>
  <si>
    <t>D  1,102</t>
  </si>
  <si>
    <t>0123-TCN14</t>
  </si>
  <si>
    <t>D  1,104</t>
  </si>
  <si>
    <t>0924-TCN13</t>
  </si>
  <si>
    <t>D  1,107</t>
  </si>
  <si>
    <t>0936-TCN13</t>
  </si>
  <si>
    <t>D  1,129</t>
  </si>
  <si>
    <t>UNITED AUTO DE  MONTERREY  S DE RL</t>
  </si>
  <si>
    <t>D  1,160</t>
  </si>
  <si>
    <t>0124-TCN14</t>
  </si>
  <si>
    <t>D  1,162</t>
  </si>
  <si>
    <t>D  1,163</t>
  </si>
  <si>
    <t>0125-TCN14</t>
  </si>
  <si>
    <t>CALIDAD DE TABASCO  S D E RL DE CV</t>
  </si>
  <si>
    <t>D  1,164</t>
  </si>
  <si>
    <t>0126-TCN14</t>
  </si>
  <si>
    <t>D  1,171</t>
  </si>
  <si>
    <t>0133-TCN14</t>
  </si>
  <si>
    <t>D  1,172</t>
  </si>
  <si>
    <t>0128-TCN14</t>
  </si>
  <si>
    <t>0129-TCN14</t>
  </si>
  <si>
    <t>0130-TCN14</t>
  </si>
  <si>
    <t>D  1,176</t>
  </si>
  <si>
    <t>0131-TCN14</t>
  </si>
  <si>
    <t>D  1,177</t>
  </si>
  <si>
    <t>0132-TCN14</t>
  </si>
  <si>
    <t>CCOMPROB.VIATICOS AMALIA VEGA</t>
  </si>
  <si>
    <t>0938-TCN13</t>
  </si>
  <si>
    <t>UNITED AUTO DE AGUASCALIENTES</t>
  </si>
  <si>
    <t>0937-TCN13</t>
  </si>
  <si>
    <t>VALOR   MOTRIZ S DE RLD E CV</t>
  </si>
  <si>
    <t>D  1,278</t>
  </si>
  <si>
    <t>AM-0000947</t>
  </si>
  <si>
    <t>LJIMENEZ:RABELLO NOVIEMBRE AM-947</t>
  </si>
  <si>
    <t>AM-0000955</t>
  </si>
  <si>
    <t>LJIMENEZ:INTERNET NOVIEMBRE AM-955</t>
  </si>
  <si>
    <t>D  1,284</t>
  </si>
  <si>
    <t>0135-TCN14</t>
  </si>
  <si>
    <t>FAME  PERISUR S  DE RL DE CV</t>
  </si>
  <si>
    <t>D  1,285</t>
  </si>
  <si>
    <t>AM-0000960</t>
  </si>
  <si>
    <t>LJIMENEZ:FRAME RELAY NOV AM-960</t>
  </si>
  <si>
    <t>0136-TCN14</t>
  </si>
  <si>
    <t>D  1,297</t>
  </si>
  <si>
    <t>0137-TCN14</t>
  </si>
  <si>
    <t>D  1,406</t>
  </si>
  <si>
    <t>0138-TCN14</t>
  </si>
  <si>
    <t>0939-TCN13</t>
  </si>
  <si>
    <t>UNITED  AUTO DE AGUASCALIENTES S DE</t>
  </si>
  <si>
    <t>D  1,426</t>
  </si>
  <si>
    <t>D  1,428</t>
  </si>
  <si>
    <t>0139-TCN14</t>
  </si>
  <si>
    <t>D  1,465</t>
  </si>
  <si>
    <t>P005391</t>
  </si>
  <si>
    <t>TRASLADO INV.0115-TCN14</t>
  </si>
  <si>
    <t>P005393</t>
  </si>
  <si>
    <t>TRASLADO INV.0118-TCN14</t>
  </si>
  <si>
    <t>D  1,473</t>
  </si>
  <si>
    <t>P005395</t>
  </si>
  <si>
    <t>TRASLADO INV.0933-TCN13</t>
  </si>
  <si>
    <t>P005397</t>
  </si>
  <si>
    <t>TRASLADO INV.0109-TCN14</t>
  </si>
  <si>
    <t>D  1,477</t>
  </si>
  <si>
    <t>P005398</t>
  </si>
  <si>
    <t>TRASLADO INV.0108-TCN14</t>
  </si>
  <si>
    <t>P005400</t>
  </si>
  <si>
    <t>TRASLADO INV.0908-TCN13</t>
  </si>
  <si>
    <t>P005502</t>
  </si>
  <si>
    <t>TRASLADO INV.0921-TCN13</t>
  </si>
  <si>
    <t>0140-TCN14</t>
  </si>
  <si>
    <t>D  1,538</t>
  </si>
  <si>
    <t>VIATICOS SLP 27 AL 31/10/2013</t>
  </si>
  <si>
    <t>D  1,560</t>
  </si>
  <si>
    <t>0141-TCN14</t>
  </si>
  <si>
    <t>ALECSA  PACHUCA S  DE RL DE CV</t>
  </si>
  <si>
    <t>0142-TCN14</t>
  </si>
  <si>
    <t>D  1,605</t>
  </si>
  <si>
    <t>R00101</t>
  </si>
  <si>
    <t>D  1,606</t>
  </si>
  <si>
    <t>R001009</t>
  </si>
  <si>
    <t>D  1,607</t>
  </si>
  <si>
    <t>S000699</t>
  </si>
  <si>
    <t>RECTIFICACIONES VAZCO SA DE CV</t>
  </si>
  <si>
    <t>D  1,608</t>
  </si>
  <si>
    <t>S000708</t>
  </si>
  <si>
    <t>D  1,609</t>
  </si>
  <si>
    <t>S000728</t>
  </si>
  <si>
    <t>D  1,610</t>
  </si>
  <si>
    <t>S000729</t>
  </si>
  <si>
    <t>D  1,612</t>
  </si>
  <si>
    <t>S000713</t>
  </si>
  <si>
    <t>VILLAGRAN HERNANDEZ MARIO EDUA</t>
  </si>
  <si>
    <t>S000712</t>
  </si>
  <si>
    <t>S000726</t>
  </si>
  <si>
    <t>J.GUADALUPE CAMACHO RAMIREZ</t>
  </si>
  <si>
    <t>D  1,618</t>
  </si>
  <si>
    <t>S000727</t>
  </si>
  <si>
    <t>S000715</t>
  </si>
  <si>
    <t>DOLORES GABRIELA ORTEGA PALACI</t>
  </si>
  <si>
    <t>P005506</t>
  </si>
  <si>
    <t>TRASLASDO INV.0917-TCN13</t>
  </si>
  <si>
    <t>P005508</t>
  </si>
  <si>
    <t>TRASLADO INV.0047-TCN14</t>
  </si>
  <si>
    <t>0940-TCN13</t>
  </si>
  <si>
    <t>FAME  PERISUR   S DE  RL DE  CV</t>
  </si>
  <si>
    <t>P005510</t>
  </si>
  <si>
    <t>TRASLADO INV.103-TCN14</t>
  </si>
  <si>
    <t>D  1,638</t>
  </si>
  <si>
    <t>D  1,640</t>
  </si>
  <si>
    <t>P005512</t>
  </si>
  <si>
    <t>TRASLADO INV.0097-TCN14</t>
  </si>
  <si>
    <t>D  1,643</t>
  </si>
  <si>
    <t>P005514</t>
  </si>
  <si>
    <t>TRASLADO INV.0100-TCN14</t>
  </si>
  <si>
    <t>P005516</t>
  </si>
  <si>
    <t>TRASLADO INV.0099-TCN14</t>
  </si>
  <si>
    <t>D  1,646</t>
  </si>
  <si>
    <t>0941-TCN13</t>
  </si>
  <si>
    <t>VALOR MOTRIZ S DE RL DE C V</t>
  </si>
  <si>
    <t>D  1,682</t>
  </si>
  <si>
    <t>0143-TCN14</t>
  </si>
  <si>
    <t>0942-TCN13</t>
  </si>
  <si>
    <t>0943-TCN13</t>
  </si>
  <si>
    <t>TOYOTA COAPA  S DE RL DE  CV</t>
  </si>
  <si>
    <t>D  1,789</t>
  </si>
  <si>
    <t>0944-TCN13</t>
  </si>
  <si>
    <t>0145-TCN14</t>
  </si>
  <si>
    <t>0146-TCN14</t>
  </si>
  <si>
    <t>0147-TCN14</t>
  </si>
  <si>
    <t>0148-TCN14</t>
  </si>
  <si>
    <t>0149-TCN14</t>
  </si>
  <si>
    <t>D  1,805</t>
  </si>
  <si>
    <t>0150-TCN14</t>
  </si>
  <si>
    <t>0151-TCN14</t>
  </si>
  <si>
    <t>D  1,807</t>
  </si>
  <si>
    <t>0152-TCN14</t>
  </si>
  <si>
    <t>D  1,809</t>
  </si>
  <si>
    <t>0153-TCN14</t>
  </si>
  <si>
    <t>D  1,810</t>
  </si>
  <si>
    <t>0154-TCN14</t>
  </si>
  <si>
    <t>D  1,811</t>
  </si>
  <si>
    <t>0155-TCN14</t>
  </si>
  <si>
    <t>0156-TCN14</t>
  </si>
  <si>
    <t>D  1,844</t>
  </si>
  <si>
    <t>0157-TCN14</t>
  </si>
  <si>
    <t>0945-TCN13</t>
  </si>
  <si>
    <t>VALOR   MOTRIZ S DE RL DE CV</t>
  </si>
  <si>
    <t>AS00030562</t>
  </si>
  <si>
    <t>0158-TCN14</t>
  </si>
  <si>
    <t>GRUPO  PENNINSULA MOTORS  S  DE RL</t>
  </si>
  <si>
    <t>0159-TCN14</t>
  </si>
  <si>
    <t>ALDEN SATELITE  S  DE RL DE CV</t>
  </si>
  <si>
    <t>0946-TCN13</t>
  </si>
  <si>
    <t>UNITED  AUTO DE  MONTERREY  S DE RL</t>
  </si>
  <si>
    <t>0948-TCN13</t>
  </si>
  <si>
    <t>LIDERAZGO AUTOMOTRIZ  DE PUEBLA</t>
  </si>
  <si>
    <t>0160-TCN14</t>
  </si>
  <si>
    <t>0949-TCN13</t>
  </si>
  <si>
    <t>0161-TCN14</t>
  </si>
  <si>
    <t>PROMOTORA AUTOMOTRIZ DE IRAPUATO</t>
  </si>
  <si>
    <t>COMPROB.VIATICOS JAVIER SANCHE</t>
  </si>
  <si>
    <t>COMPROB.VIATICOS RUBI DENISSE</t>
  </si>
  <si>
    <t>0162-TCN14</t>
  </si>
  <si>
    <t>CEVER TOLUCA S  DE RL DE CV</t>
  </si>
  <si>
    <t>0950-TCN13</t>
  </si>
  <si>
    <t>AUTOMOTRIZ OAXACA DE ANTEQUERA DE R</t>
  </si>
  <si>
    <t>P005521</t>
  </si>
  <si>
    <t>JUMAPA</t>
  </si>
  <si>
    <t>GTOS.JUNTA REGIONALTFS 15/11/2</t>
  </si>
  <si>
    <t>FELIPE MONROY ESTRADA</t>
  </si>
  <si>
    <t>SERVICIO RENACIMIENTO SA DE CV</t>
  </si>
  <si>
    <t>D  2,195</t>
  </si>
  <si>
    <t>COMPROB.VIATICOS 11 AL 15/11/2</t>
  </si>
  <si>
    <t>s000718</t>
  </si>
  <si>
    <t>S000719</t>
  </si>
  <si>
    <t>S000720</t>
  </si>
  <si>
    <t>S000733</t>
  </si>
  <si>
    <t>S000734</t>
  </si>
  <si>
    <t>LJIMENEZ:ARMANDO DURAN MEJIA</t>
  </si>
  <si>
    <t>R00103</t>
  </si>
  <si>
    <t>IMPRESIONES LASSER BEAM S RL C</t>
  </si>
  <si>
    <t>PINTURAS DE CYA SA DE CV</t>
  </si>
  <si>
    <t>EXTRA F-BAAAT2425</t>
  </si>
  <si>
    <t>P005590</t>
  </si>
  <si>
    <t>TRASLADO INV.0114-TCN14</t>
  </si>
  <si>
    <t>D  2,241</t>
  </si>
  <si>
    <t>P005592</t>
  </si>
  <si>
    <t>TRASLADO INV.0932-TCN13</t>
  </si>
  <si>
    <t>D  2,243</t>
  </si>
  <si>
    <t>P005594</t>
  </si>
  <si>
    <t>TRASLADO INV.0116-TCN14</t>
  </si>
  <si>
    <t>P005596</t>
  </si>
  <si>
    <t>TRASLADO INV.0936-TCN13</t>
  </si>
  <si>
    <t>P005598</t>
  </si>
  <si>
    <t>TRASLADO INV.0930-TCN13</t>
  </si>
  <si>
    <t>P005600</t>
  </si>
  <si>
    <t>TRASLADO INV.0112-TCN14</t>
  </si>
  <si>
    <t>TRASLADO QRO-VALLARTA</t>
  </si>
  <si>
    <t>TRASLADO LEON TEPIC</t>
  </si>
  <si>
    <t>INTERCAMBIO INV.0923-TCN13</t>
  </si>
  <si>
    <t>INTERCAMBIO INV.0093-TCN14</t>
  </si>
  <si>
    <t>D  2,273</t>
  </si>
  <si>
    <t>CH-13438</t>
  </si>
  <si>
    <t>PAGO REFACCIONES OCTUBRE 2013</t>
  </si>
  <si>
    <t>D  2,274</t>
  </si>
  <si>
    <t>COM.NOV</t>
  </si>
  <si>
    <t>COMISIONES NOV/2013</t>
  </si>
  <si>
    <t>D  2,288</t>
  </si>
  <si>
    <t>0173-TCN14</t>
  </si>
  <si>
    <t>D  2,289</t>
  </si>
  <si>
    <t>0174-TCN14</t>
  </si>
  <si>
    <t>0175-TCN14</t>
  </si>
  <si>
    <t>D  2,306</t>
  </si>
  <si>
    <t>FERREMATERIALES SU CASA, SA DE</t>
  </si>
  <si>
    <t>D  2,321</t>
  </si>
  <si>
    <t>FR1266864</t>
  </si>
  <si>
    <t>LJIMENEZ:GASTOS LEGALES SIENNA 2014</t>
  </si>
  <si>
    <t>CH-13294</t>
  </si>
  <si>
    <t>CH-13295</t>
  </si>
  <si>
    <t>CH-13298</t>
  </si>
  <si>
    <t>CH-13299</t>
  </si>
  <si>
    <t>CH-13302</t>
  </si>
  <si>
    <t>BAJA: FORMAS GENERALES SA DE CV</t>
  </si>
  <si>
    <t>CH-13212</t>
  </si>
  <si>
    <t>CH-13306</t>
  </si>
  <si>
    <t>CH-13313</t>
  </si>
  <si>
    <t>CH-13318</t>
  </si>
  <si>
    <t>CH-13321</t>
  </si>
  <si>
    <t>CH-13322</t>
  </si>
  <si>
    <t>CH-13331</t>
  </si>
  <si>
    <t>CH-13339</t>
  </si>
  <si>
    <t>CH-13340</t>
  </si>
  <si>
    <t>CH-13341</t>
  </si>
  <si>
    <t>CH-13345</t>
  </si>
  <si>
    <t>CH-13347</t>
  </si>
  <si>
    <t>CH-13349</t>
  </si>
  <si>
    <t>CH-13351</t>
  </si>
  <si>
    <t>CH-13353</t>
  </si>
  <si>
    <t>CH-13354</t>
  </si>
  <si>
    <t>CH-13365</t>
  </si>
  <si>
    <t>CH-13366</t>
  </si>
  <si>
    <t>T-351</t>
  </si>
  <si>
    <t>T-352</t>
  </si>
  <si>
    <t>T-782</t>
  </si>
  <si>
    <t>T-783</t>
  </si>
  <si>
    <t>T-785</t>
  </si>
  <si>
    <t>T-353</t>
  </si>
  <si>
    <t>T-786</t>
  </si>
  <si>
    <t>T-787</t>
  </si>
  <si>
    <t>T-354</t>
  </si>
  <si>
    <t>PROYECTOS VENTAS Y ASESORIA SA DE C</t>
  </si>
  <si>
    <t>T-788</t>
  </si>
  <si>
    <t>T-789</t>
  </si>
  <si>
    <t>CH-13368</t>
  </si>
  <si>
    <t>CH-13369</t>
  </si>
  <si>
    <t>CH-13377</t>
  </si>
  <si>
    <t>T-355</t>
  </si>
  <si>
    <t>T-790</t>
  </si>
  <si>
    <t>T-791</t>
  </si>
  <si>
    <t>T-792</t>
  </si>
  <si>
    <t>T-793</t>
  </si>
  <si>
    <t>T-356</t>
  </si>
  <si>
    <t>T-794</t>
  </si>
  <si>
    <t>T-357</t>
  </si>
  <si>
    <t>CH-13386</t>
  </si>
  <si>
    <t>CH-13395</t>
  </si>
  <si>
    <t>CH-13387</t>
  </si>
  <si>
    <t>CH-13388</t>
  </si>
  <si>
    <t>CH-13389</t>
  </si>
  <si>
    <t>CH-13390</t>
  </si>
  <si>
    <t>COM.NOV/13</t>
  </si>
  <si>
    <t>COMISIONES AL 21/NOV/2013</t>
  </si>
  <si>
    <t>CH-13402</t>
  </si>
  <si>
    <t>CH-13404</t>
  </si>
  <si>
    <t>CH-13409</t>
  </si>
  <si>
    <t>T-796</t>
  </si>
  <si>
    <t>T-358</t>
  </si>
  <si>
    <t>T-797</t>
  </si>
  <si>
    <t>T-798</t>
  </si>
  <si>
    <t>T-799</t>
  </si>
  <si>
    <t>T-359</t>
  </si>
  <si>
    <t>T-360</t>
  </si>
  <si>
    <t>T-800</t>
  </si>
  <si>
    <t>LJIMENEZ:}</t>
  </si>
  <si>
    <t>T-801</t>
  </si>
  <si>
    <t>T-802</t>
  </si>
  <si>
    <t>T-803</t>
  </si>
  <si>
    <t>T-804</t>
  </si>
  <si>
    <t>T-805</t>
  </si>
  <si>
    <t>T-806</t>
  </si>
  <si>
    <t>T-361</t>
  </si>
  <si>
    <t>T-807</t>
  </si>
  <si>
    <t>T-808</t>
  </si>
  <si>
    <t>T-362</t>
  </si>
  <si>
    <t>CH-13427</t>
  </si>
  <si>
    <t>CH-13428</t>
  </si>
  <si>
    <t>CH-13429</t>
  </si>
  <si>
    <t>CH-13432</t>
  </si>
  <si>
    <t>CH-13436</t>
  </si>
  <si>
    <t>ANUNCIOS PATTISON SA DE CV</t>
  </si>
  <si>
    <t>CH-13374</t>
  </si>
  <si>
    <t>CH-13376</t>
  </si>
  <si>
    <t>CH-13439</t>
  </si>
  <si>
    <t>CH-13296</t>
  </si>
  <si>
    <t>CH-13337</t>
  </si>
  <si>
    <t>CH-13372</t>
  </si>
  <si>
    <t>CH-13407</t>
  </si>
  <si>
    <t>CH-13373</t>
  </si>
  <si>
    <t>CH-13297</t>
  </si>
  <si>
    <t>CH-13338</t>
  </si>
  <si>
    <t>CH-13371</t>
  </si>
  <si>
    <t>CH-13408</t>
  </si>
  <si>
    <t>CH-13412</t>
  </si>
  <si>
    <t>CH-13440</t>
  </si>
  <si>
    <t>ARIAS RIVERA JOSE VICENTE</t>
  </si>
  <si>
    <t>CH-13441</t>
  </si>
  <si>
    <t>MORENO GARCIA ROSA MARIA</t>
  </si>
  <si>
    <t>CH-13442</t>
  </si>
  <si>
    <t>ESPINO PEREZ LEONARDO</t>
  </si>
  <si>
    <t>T-363</t>
  </si>
  <si>
    <t>T-364</t>
  </si>
  <si>
    <t>T-809</t>
  </si>
  <si>
    <t>T-810</t>
  </si>
  <si>
    <t>T-811</t>
  </si>
  <si>
    <t>T-812</t>
  </si>
  <si>
    <t>T-813</t>
  </si>
  <si>
    <t>T-365</t>
  </si>
  <si>
    <t>T-814</t>
  </si>
  <si>
    <t>T-815</t>
  </si>
  <si>
    <t>T-366</t>
  </si>
  <si>
    <t>CH-13449</t>
  </si>
  <si>
    <t>CH-13450</t>
  </si>
  <si>
    <t>CH-13451</t>
  </si>
  <si>
    <t>E    255</t>
  </si>
  <si>
    <t>E    256</t>
  </si>
  <si>
    <t>E    257</t>
  </si>
  <si>
    <t>CH-13444</t>
  </si>
  <si>
    <t>CH-13443</t>
  </si>
  <si>
    <t>COMISIONES BBVA NOV/2013</t>
  </si>
  <si>
    <t>COMISIONES BMX NOV/2013</t>
  </si>
  <si>
    <t>E    272</t>
  </si>
  <si>
    <t>COM.BAJIO</t>
  </si>
  <si>
    <t>COMISIONES BAJIO NOV/2013</t>
  </si>
  <si>
    <t>E    274</t>
  </si>
  <si>
    <t>COMISIONES BANORTE NOV/2013</t>
  </si>
  <si>
    <t>CH-13378</t>
  </si>
  <si>
    <t>E    277</t>
  </si>
  <si>
    <t>COM.AMEX</t>
  </si>
  <si>
    <t>COMISIONES AMEX NOV/2013</t>
  </si>
  <si>
    <t>E    279</t>
  </si>
  <si>
    <t>CH-13392</t>
  </si>
  <si>
    <t>I    187</t>
  </si>
  <si>
    <t>EMB.NO.365</t>
  </si>
  <si>
    <t>EMBARQUE NO.365</t>
  </si>
  <si>
    <t>I    522</t>
  </si>
  <si>
    <t>EMB.394</t>
  </si>
  <si>
    <t>LJIMENEZ:EMBARQUE 394</t>
  </si>
  <si>
    <t>I    679</t>
  </si>
  <si>
    <t>EMB.362</t>
  </si>
  <si>
    <t>EMBARQUE 362</t>
  </si>
  <si>
    <t>I    680</t>
  </si>
  <si>
    <t>EMB.381</t>
  </si>
  <si>
    <t>LJIMENEZ:EMBARQUE 381</t>
  </si>
  <si>
    <t>NOVIEMBRE</t>
  </si>
  <si>
    <t>APA030815MZA</t>
  </si>
  <si>
    <t>CCD.  AUTOSALES   PUERTO VALLARTA</t>
  </si>
  <si>
    <t>AAPR600108QQ2</t>
  </si>
  <si>
    <t xml:space="preserve">ROSA ARMIDA ALAPIZCO PEREZ </t>
  </si>
  <si>
    <t>MAAP711020GR0</t>
  </si>
  <si>
    <t xml:space="preserve">PATRICIA EUGENIA MARTINEZ ALVAREZ </t>
  </si>
  <si>
    <t>TORC430618I39</t>
  </si>
  <si>
    <t>CASR780330D55</t>
  </si>
  <si>
    <t>BAZF520129RT1</t>
  </si>
  <si>
    <t xml:space="preserve">FRANCISCO JAVIER BRAVO ZAMORA </t>
  </si>
  <si>
    <t>GGV120605DH8</t>
  </si>
  <si>
    <t>GRUPO GASTRONOMICO VAME S DE RL DE CV</t>
  </si>
  <si>
    <t>EIPL5807295A7</t>
  </si>
  <si>
    <t>TIENDA EXTRA</t>
  </si>
  <si>
    <t>RFR1010131D7</t>
  </si>
  <si>
    <t xml:space="preserve">REST DE LA FRONTERA SA DE CV </t>
  </si>
  <si>
    <t>IAC0311273CA</t>
  </si>
  <si>
    <t>CARJ691124244</t>
  </si>
  <si>
    <t>IEY091126RR3</t>
  </si>
  <si>
    <t xml:space="preserve">INVERSORA EY SA DE CV </t>
  </si>
  <si>
    <t>MOGR520901V75</t>
  </si>
  <si>
    <t>PVY100629V1A</t>
  </si>
  <si>
    <t>PMM0411186E3</t>
  </si>
  <si>
    <t xml:space="preserve">GUILLERMO CORTAZAR CASTAÑON </t>
  </si>
  <si>
    <t>SRE690906DQA</t>
  </si>
  <si>
    <t>PCO021105DY9</t>
  </si>
  <si>
    <t xml:space="preserve">PARADOR COVADONGA SA DE CV </t>
  </si>
  <si>
    <t>BEBP560426934</t>
  </si>
  <si>
    <t xml:space="preserve">PATRICIA YOLANDA BELTRAN BERENYI </t>
  </si>
  <si>
    <t>CSE9903025U2</t>
  </si>
  <si>
    <t xml:space="preserve">COMBUSTIBLES Y SERVICIOS ESMERALDA SA DE CV </t>
  </si>
  <si>
    <t>GOMH760827R41</t>
  </si>
  <si>
    <t xml:space="preserve">HORTENCIA GONZALEZ MEDINA </t>
  </si>
  <si>
    <t>SEC940503BPA</t>
  </si>
  <si>
    <t xml:space="preserve">SERVI EXPRESS DE CUAUTITLAN SA DE CV </t>
  </si>
  <si>
    <t>ONO9507278T4</t>
  </si>
  <si>
    <t xml:space="preserve">ORSAN DEL NORTE SA DE CV </t>
  </si>
  <si>
    <t>LA MORENITA SA DE C V</t>
  </si>
  <si>
    <t xml:space="preserve">OURO PRETA SA DE CV </t>
  </si>
  <si>
    <t>GJE031107TT6</t>
  </si>
  <si>
    <t xml:space="preserve">GRUPO JESSY SA DE CV </t>
  </si>
  <si>
    <t>OGC9502279R0</t>
  </si>
  <si>
    <t xml:space="preserve">OPERADORA DE GASOLINERAS DEL CENTRO SA DE CV </t>
  </si>
  <si>
    <t>CRA090831P12</t>
  </si>
  <si>
    <t xml:space="preserve">COMERCIALIZADORA RALE SA DE CV </t>
  </si>
  <si>
    <t>DAM010516E53</t>
  </si>
  <si>
    <t xml:space="preserve">DAMOR SA DE CV </t>
  </si>
  <si>
    <t>NABA451128HN1</t>
  </si>
  <si>
    <t xml:space="preserve">ANTONIO NAÑES BUGARIN </t>
  </si>
  <si>
    <t xml:space="preserve">JOSE FERNANDO DE LA ROCHA REMBAO </t>
  </si>
  <si>
    <t>D  1,635</t>
  </si>
  <si>
    <t>CAPM5206075J8</t>
  </si>
  <si>
    <t xml:space="preserve">MA. DE LA LUZ CAMARENA PADILLA </t>
  </si>
  <si>
    <t>GDM0008074I6</t>
  </si>
  <si>
    <t>GASOLINERA 18 DE MARZO SA DE CV</t>
  </si>
  <si>
    <t>D     20</t>
  </si>
  <si>
    <t>0163-TCN14</t>
  </si>
  <si>
    <t>D     94</t>
  </si>
  <si>
    <t>0164-TCN14</t>
  </si>
  <si>
    <t>VALOR  FARRERA   AUTOMOTRIZ S DE RL</t>
  </si>
  <si>
    <t>D     98</t>
  </si>
  <si>
    <t>0951-TCN13</t>
  </si>
  <si>
    <t>D     99</t>
  </si>
  <si>
    <t>0953-TCN13</t>
  </si>
  <si>
    <t>0954-TCN13</t>
  </si>
  <si>
    <t>0955-TCN13</t>
  </si>
  <si>
    <t>D    146</t>
  </si>
  <si>
    <t>0165-TCN14</t>
  </si>
  <si>
    <t>D    147</t>
  </si>
  <si>
    <t>0166-TCN14</t>
  </si>
  <si>
    <t>ALECSA  PACHUCA S DE RL DE   CV</t>
  </si>
  <si>
    <t>D    238</t>
  </si>
  <si>
    <t>0956-TCN13</t>
  </si>
  <si>
    <t>0958-TCN13</t>
  </si>
  <si>
    <t>D    324</t>
  </si>
  <si>
    <t>0167-TCN14</t>
  </si>
  <si>
    <t>D    353</t>
  </si>
  <si>
    <t>0959-TCN13</t>
  </si>
  <si>
    <t>D    354</t>
  </si>
  <si>
    <t>0960-TCN13</t>
  </si>
  <si>
    <t>D    360</t>
  </si>
  <si>
    <t>0168-TCN14</t>
  </si>
  <si>
    <t>D    361</t>
  </si>
  <si>
    <t>0169-TCN14</t>
  </si>
  <si>
    <t>D    362</t>
  </si>
  <si>
    <t>0170-TCN14</t>
  </si>
  <si>
    <t>D    363</t>
  </si>
  <si>
    <t>0171-TCN14</t>
  </si>
  <si>
    <t>D    375</t>
  </si>
  <si>
    <t>0172-TCN14</t>
  </si>
  <si>
    <t>D    416</t>
  </si>
  <si>
    <t>0176-TCN14</t>
  </si>
  <si>
    <t>D    441</t>
  </si>
  <si>
    <t>0177-TCN14</t>
  </si>
  <si>
    <t>0962-TCN13</t>
  </si>
  <si>
    <t>D    460</t>
  </si>
  <si>
    <t>0963-TCN13</t>
  </si>
  <si>
    <t>0178-TCN14</t>
  </si>
  <si>
    <t>LJIMENEZ:UNITED  AUTO DE AGUSACALIE</t>
  </si>
  <si>
    <t>D    547</t>
  </si>
  <si>
    <t>D    612</t>
  </si>
  <si>
    <t>0180-TCN14</t>
  </si>
  <si>
    <t>D    627</t>
  </si>
  <si>
    <t>0965-TCN13</t>
  </si>
  <si>
    <t>0966-TCN13</t>
  </si>
  <si>
    <t>CCD, AUTOSALES PUERTO VALLARTA  S D</t>
  </si>
  <si>
    <t>D    701</t>
  </si>
  <si>
    <t>0182-TCN14</t>
  </si>
  <si>
    <t>D    703</t>
  </si>
  <si>
    <t>0183-TCN14</t>
  </si>
  <si>
    <t>PROMOTORA  AUTOMOTRIZ DE IRAPUATO</t>
  </si>
  <si>
    <t>C.VIATICOS DIANA CLAUDIA JUARE</t>
  </si>
  <si>
    <t>0184-TCN14</t>
  </si>
  <si>
    <t>0967-TCN13</t>
  </si>
  <si>
    <t>0185-TCN14</t>
  </si>
  <si>
    <t>AM-0000968</t>
  </si>
  <si>
    <t>AM-0000980</t>
  </si>
  <si>
    <t>AM-0000985</t>
  </si>
  <si>
    <t>0968-TCN13</t>
  </si>
  <si>
    <t>ALDEN QUERETARO DE  RL DE  CV</t>
  </si>
  <si>
    <t>D  1,113</t>
  </si>
  <si>
    <t>COMP.VIATICOSHERNAN ANDRES SAM</t>
  </si>
  <si>
    <t>D  1,189</t>
  </si>
  <si>
    <t>0186-TCN14</t>
  </si>
  <si>
    <t>D  1,234</t>
  </si>
  <si>
    <t>0187-TCN14</t>
  </si>
  <si>
    <t>D  1,265</t>
  </si>
  <si>
    <t>0969-TCN13</t>
  </si>
  <si>
    <t>D  1,267</t>
  </si>
  <si>
    <t>0970-TCN13</t>
  </si>
  <si>
    <t>DECADA  COATZACOALCOS S  DE  RL DE</t>
  </si>
  <si>
    <t>D  1,271</t>
  </si>
  <si>
    <t>0188-TCN14</t>
  </si>
  <si>
    <t>0189-TCN14</t>
  </si>
  <si>
    <t>D  1,332</t>
  </si>
  <si>
    <t>0190-TCN14</t>
  </si>
  <si>
    <t>SAMURAI MOTORS XALAPA  S DE RL  DE</t>
  </si>
  <si>
    <t>D  1,356</t>
  </si>
  <si>
    <t>0191-TCN14</t>
  </si>
  <si>
    <t>D  1,359</t>
  </si>
  <si>
    <t>0192-TCN14</t>
  </si>
  <si>
    <t>FAME  PERISUR  S  DE RL  DE  CV</t>
  </si>
  <si>
    <t>0193-TCN14</t>
  </si>
  <si>
    <t>CEVER  TOLUCA S  DE RL  DE CV</t>
  </si>
  <si>
    <t>0194-TCN14</t>
  </si>
  <si>
    <t>D  1,443</t>
  </si>
  <si>
    <t>0195-TCN14</t>
  </si>
  <si>
    <t>D  1,498</t>
  </si>
  <si>
    <t>0971-TCN13</t>
  </si>
  <si>
    <t>LIDERAZGO AUTOMOTRIZ  DE PUEBLA SA</t>
  </si>
  <si>
    <t>D  1,537</t>
  </si>
  <si>
    <t>0196-TCN14</t>
  </si>
  <si>
    <t>0197-TCN14</t>
  </si>
  <si>
    <t>0973-TCN13</t>
  </si>
  <si>
    <t>TOYOMOTORS S.A  DE  CV</t>
  </si>
  <si>
    <t>D  1,629</t>
  </si>
  <si>
    <t>0198-TCN14</t>
  </si>
  <si>
    <t>ALDEN QUERETARO  S DE RL DE CV</t>
  </si>
  <si>
    <t>0199-TCN14</t>
  </si>
  <si>
    <t>0200-TCN14</t>
  </si>
  <si>
    <t>0974-TCN13</t>
  </si>
  <si>
    <t>D  1,748</t>
  </si>
  <si>
    <t>AM-0001005</t>
  </si>
  <si>
    <t>D  1,761</t>
  </si>
  <si>
    <t>0975-TCN13</t>
  </si>
  <si>
    <t>DECADA AUTOMOTRIZ  S  DE RL DE CV</t>
  </si>
  <si>
    <t>D  1,785</t>
  </si>
  <si>
    <t>0976-TCN13</t>
  </si>
  <si>
    <t>PURDY MOTOR  MEXICO D.F. DE RL DE C</t>
  </si>
  <si>
    <t>0201-TCN14</t>
  </si>
  <si>
    <t>D  1,827</t>
  </si>
  <si>
    <t>D  1,831</t>
  </si>
  <si>
    <t>PEDRO LOPEZ AGUADO</t>
  </si>
  <si>
    <t>D  1,832</t>
  </si>
  <si>
    <t>D  1,833</t>
  </si>
  <si>
    <t>D  1,834</t>
  </si>
  <si>
    <t>P005643</t>
  </si>
  <si>
    <t>D  1,836</t>
  </si>
  <si>
    <t>JOSE GERARDO OLVERA SERRANO</t>
  </si>
  <si>
    <t>OLEUM SERVICE SA DE CV</t>
  </si>
  <si>
    <t>FERRETERIA LA FRAGUA SA CV</t>
  </si>
  <si>
    <t>0202-TCN14</t>
  </si>
  <si>
    <t>ALDEN QUERETARO S  DE RL  DE  CV</t>
  </si>
  <si>
    <t>D  1,891</t>
  </si>
  <si>
    <t>0203-TCN14</t>
  </si>
  <si>
    <t>LIDERAZGO AUTOMOTRIZ DE  PUEBLA S D</t>
  </si>
  <si>
    <t>0205-TCN14</t>
  </si>
  <si>
    <t>ALDEN  QUERETARO S D ERL DE CV</t>
  </si>
  <si>
    <t>D  1,895</t>
  </si>
  <si>
    <t>0204-TCN14</t>
  </si>
  <si>
    <t>0206-TCN14</t>
  </si>
  <si>
    <t>0207-TCN14</t>
  </si>
  <si>
    <t>0208-TCN14</t>
  </si>
  <si>
    <t>0209-TCN14</t>
  </si>
  <si>
    <t>0210-TCN14</t>
  </si>
  <si>
    <t>0211-TCN14</t>
  </si>
  <si>
    <t>0977-TCN13</t>
  </si>
  <si>
    <t>0212-TCN14</t>
  </si>
  <si>
    <t>0213-TCN14</t>
  </si>
  <si>
    <t>0978-TCN13</t>
  </si>
  <si>
    <t>AUTOMOVILES  VALLEJO S  DE RL DE CV</t>
  </si>
  <si>
    <t>0216-TCN14</t>
  </si>
  <si>
    <t>TOYOMOTORS  DE  POLANCO  S  DE RL D</t>
  </si>
  <si>
    <t>0217-TCN14</t>
  </si>
  <si>
    <t>SAMURAI MOTORS XALAPA S DE RLDE CV</t>
  </si>
  <si>
    <t>0218-TCN14</t>
  </si>
  <si>
    <t>DALTON   AUTOMOTORES  S DE RL  DE C</t>
  </si>
  <si>
    <t>0979-TCN13</t>
  </si>
  <si>
    <t>0219-TCN14</t>
  </si>
  <si>
    <t>0220-TCN14</t>
  </si>
  <si>
    <t>0980-TCN13</t>
  </si>
  <si>
    <t>LIDERAZGO   AUTOMOTRIZ DE PUEBLA</t>
  </si>
  <si>
    <t>D  2,285</t>
  </si>
  <si>
    <t>0221-TCN14</t>
  </si>
  <si>
    <t>CCD AUTOSALES  PUERTO VALLARTA</t>
  </si>
  <si>
    <t>0222-TCN14</t>
  </si>
  <si>
    <t>0098-TCU13</t>
  </si>
  <si>
    <t>LJIMENEZ:CONSTRUCCIONES HARB SA DE</t>
  </si>
  <si>
    <t>D  2,310</t>
  </si>
  <si>
    <t>0223-TCN14</t>
  </si>
  <si>
    <t>ALECSA  PACHUCA  S  DE RLD E CV</t>
  </si>
  <si>
    <t>0224-TCN14</t>
  </si>
  <si>
    <t>D  2,352</t>
  </si>
  <si>
    <t>D  2,354</t>
  </si>
  <si>
    <t>0225-TCN14</t>
  </si>
  <si>
    <t>OZ  AUTOMOTRIZ DE  GUADALAJARA</t>
  </si>
  <si>
    <t>0226-TCN14</t>
  </si>
  <si>
    <t>TOYOMOTORS DE POLANCO S DE RL</t>
  </si>
  <si>
    <t>0227-TCN14</t>
  </si>
  <si>
    <t>0228-TCN14</t>
  </si>
  <si>
    <t>D  2,524</t>
  </si>
  <si>
    <t>NC-AO00081</t>
  </si>
  <si>
    <t>INTERESES INTCIAS.EJERCICIO 20</t>
  </si>
  <si>
    <t>D  2,525</t>
  </si>
  <si>
    <t>F-C24848</t>
  </si>
  <si>
    <t>INTERESES INTCIAS.2013</t>
  </si>
  <si>
    <t>D  2,535</t>
  </si>
  <si>
    <t>NC-AO00376</t>
  </si>
  <si>
    <t>INTERESES EJERCICIO 2013</t>
  </si>
  <si>
    <t>D  2,547</t>
  </si>
  <si>
    <t>P005660</t>
  </si>
  <si>
    <t>INTERCAMBIO INV-0745-TCN13</t>
  </si>
  <si>
    <t>D  2,549</t>
  </si>
  <si>
    <t>P005661</t>
  </si>
  <si>
    <t>TRASLADO INV.0965-TCN13</t>
  </si>
  <si>
    <t>D  2,550</t>
  </si>
  <si>
    <t>P005663</t>
  </si>
  <si>
    <t>TRASLADO EM160520</t>
  </si>
  <si>
    <t>D  2,551</t>
  </si>
  <si>
    <t>P005664</t>
  </si>
  <si>
    <t>TRASLADO INV.0085-TCU13</t>
  </si>
  <si>
    <t>D  2,553</t>
  </si>
  <si>
    <t>P005665</t>
  </si>
  <si>
    <t>TRASLADO INV.0966-TCN13</t>
  </si>
  <si>
    <t>D  2,555</t>
  </si>
  <si>
    <t>P005667</t>
  </si>
  <si>
    <t>TRASLADO INV.0165-TCN14</t>
  </si>
  <si>
    <t>D  2,557</t>
  </si>
  <si>
    <t>P005669</t>
  </si>
  <si>
    <t>TRASLADO INV.0158-TCN14</t>
  </si>
  <si>
    <t>D  2,559</t>
  </si>
  <si>
    <t>P005671</t>
  </si>
  <si>
    <t>TRASLADO INV.0958-TCN13</t>
  </si>
  <si>
    <t>D  2,560</t>
  </si>
  <si>
    <t>P005673</t>
  </si>
  <si>
    <t>TRASLADO ENTREGA INV.0958-TCN1</t>
  </si>
  <si>
    <t>D  2,562</t>
  </si>
  <si>
    <t>P005674</t>
  </si>
  <si>
    <t>TRASLADO INV.0178-TCN14</t>
  </si>
  <si>
    <t>D  2,564</t>
  </si>
  <si>
    <t>P005676</t>
  </si>
  <si>
    <t>COMPLEM.TRASL.INV.0948-TCN13</t>
  </si>
  <si>
    <t>D  2,566</t>
  </si>
  <si>
    <t>P005678</t>
  </si>
  <si>
    <t>TRASLADO INV.0941-TCN13</t>
  </si>
  <si>
    <t>D  2,573</t>
  </si>
  <si>
    <t>P005693</t>
  </si>
  <si>
    <t>TRASLADO INV.0193-TCN14</t>
  </si>
  <si>
    <t>D  2,575</t>
  </si>
  <si>
    <t>P005695</t>
  </si>
  <si>
    <t>TRASLADO INV.0195-TCN14</t>
  </si>
  <si>
    <t>D  2,576</t>
  </si>
  <si>
    <t>P005697</t>
  </si>
  <si>
    <t>TRASLADO INV.0141-TCN14</t>
  </si>
  <si>
    <t>D  2,578</t>
  </si>
  <si>
    <t>P005698</t>
  </si>
  <si>
    <t>TRASLADO INV.0125-TCN14</t>
  </si>
  <si>
    <t>D  2,579</t>
  </si>
  <si>
    <t>P006001</t>
  </si>
  <si>
    <t>TRASLADO INV.DW045615</t>
  </si>
  <si>
    <t>D  2,582</t>
  </si>
  <si>
    <t>P006002</t>
  </si>
  <si>
    <t>TRASLADO INV.0135-TCN14</t>
  </si>
  <si>
    <t>D  2,584</t>
  </si>
  <si>
    <t>P006004</t>
  </si>
  <si>
    <t>TRASLADO INV.0938-TCN13</t>
  </si>
  <si>
    <t>D  2,586</t>
  </si>
  <si>
    <t>P006006</t>
  </si>
  <si>
    <t>TRASLADO INV.0939-TCN13</t>
  </si>
  <si>
    <t>D  2,588</t>
  </si>
  <si>
    <t>P006008</t>
  </si>
  <si>
    <t>TRASLADO INV.0934-TCN13</t>
  </si>
  <si>
    <t>D  2,590</t>
  </si>
  <si>
    <t>P006010</t>
  </si>
  <si>
    <t>INTERCAMBIO INV.0942-TCN13</t>
  </si>
  <si>
    <t>D  2,592</t>
  </si>
  <si>
    <t>P006011</t>
  </si>
  <si>
    <t>INTERCAMBIO INV.0131-TCN14</t>
  </si>
  <si>
    <t>D  2,594</t>
  </si>
  <si>
    <t>P006013</t>
  </si>
  <si>
    <t>INTERCAMBIO INV.0120-TCN14</t>
  </si>
  <si>
    <t>D  2,596</t>
  </si>
  <si>
    <t>P006015</t>
  </si>
  <si>
    <t>INTERCAMBIO INV.0738-TCN13</t>
  </si>
  <si>
    <t>D  2,597</t>
  </si>
  <si>
    <t>P006017</t>
  </si>
  <si>
    <t>INTERCAMBIO INV.0170-TCN14</t>
  </si>
  <si>
    <t>D  2,599</t>
  </si>
  <si>
    <t>P006021</t>
  </si>
  <si>
    <t>TRASLADO INV.0159-TCN14</t>
  </si>
  <si>
    <t>D  2,601</t>
  </si>
  <si>
    <t>P006023</t>
  </si>
  <si>
    <t>TRASLADO INV.0111-TCN14</t>
  </si>
  <si>
    <t>D  2,603</t>
  </si>
  <si>
    <t>P006025</t>
  </si>
  <si>
    <t>TRASLADO INV.0943-TCN14</t>
  </si>
  <si>
    <t>D  2,605</t>
  </si>
  <si>
    <t>P006027</t>
  </si>
  <si>
    <t>TRASLADO INV.0126-TCN14</t>
  </si>
  <si>
    <t>D  2,607</t>
  </si>
  <si>
    <t>P006029</t>
  </si>
  <si>
    <t>TRASLADO INV.0142-TCN14</t>
  </si>
  <si>
    <t>D  2,608</t>
  </si>
  <si>
    <t>D  2,609</t>
  </si>
  <si>
    <t>D  2,614</t>
  </si>
  <si>
    <t>R001104</t>
  </si>
  <si>
    <t>D  2,615</t>
  </si>
  <si>
    <t>R001100</t>
  </si>
  <si>
    <t>D  2,617</t>
  </si>
  <si>
    <t>R001102</t>
  </si>
  <si>
    <t>D  2,618</t>
  </si>
  <si>
    <t>R001103</t>
  </si>
  <si>
    <t>D  2,619</t>
  </si>
  <si>
    <t>R001101</t>
  </si>
  <si>
    <t>D  2,621</t>
  </si>
  <si>
    <t>S000762</t>
  </si>
  <si>
    <t>D  2,622</t>
  </si>
  <si>
    <t>S000759</t>
  </si>
  <si>
    <t>D  2,624</t>
  </si>
  <si>
    <t>R001094</t>
  </si>
  <si>
    <t>D  2,625</t>
  </si>
  <si>
    <t>S000742</t>
  </si>
  <si>
    <t>D  2,626</t>
  </si>
  <si>
    <t>R001064</t>
  </si>
  <si>
    <t>D  2,628</t>
  </si>
  <si>
    <t>S000743</t>
  </si>
  <si>
    <t>D  2,630</t>
  </si>
  <si>
    <t>R001037</t>
  </si>
  <si>
    <t>D  2,632</t>
  </si>
  <si>
    <t>R001070</t>
  </si>
  <si>
    <t>LUBRICANTES DEL BAJIO SA CV</t>
  </si>
  <si>
    <t>D  2,633</t>
  </si>
  <si>
    <t>S000752</t>
  </si>
  <si>
    <t>D  2,634</t>
  </si>
  <si>
    <t>S000767</t>
  </si>
  <si>
    <t>D  2,635</t>
  </si>
  <si>
    <t>R001086</t>
  </si>
  <si>
    <t>D  2,636</t>
  </si>
  <si>
    <t>R001085</t>
  </si>
  <si>
    <t>D  2,637</t>
  </si>
  <si>
    <t>S000758</t>
  </si>
  <si>
    <t>D  2,640</t>
  </si>
  <si>
    <t>D  2,641</t>
  </si>
  <si>
    <t>D  2,643</t>
  </si>
  <si>
    <t>D  2,644</t>
  </si>
  <si>
    <t>CENTRO METALICO DEL BAJIO SA C</t>
  </si>
  <si>
    <t>D  2,645</t>
  </si>
  <si>
    <t>D  2,646</t>
  </si>
  <si>
    <t>D  2,647</t>
  </si>
  <si>
    <t>D  2,648</t>
  </si>
  <si>
    <t>D  2,649</t>
  </si>
  <si>
    <t>NUEVA WALMART DE MEXICO S RL C</t>
  </si>
  <si>
    <t>D  2,650</t>
  </si>
  <si>
    <t>HOME DEPOT MEXICO S RL CV</t>
  </si>
  <si>
    <t>D  2,651</t>
  </si>
  <si>
    <t>MARIANA HAYDEE DELGADO ARRASTI</t>
  </si>
  <si>
    <t>D  2,655</t>
  </si>
  <si>
    <t>D  2,657</t>
  </si>
  <si>
    <t>D  2,661</t>
  </si>
  <si>
    <t>D  2,663</t>
  </si>
  <si>
    <t>D  2,665</t>
  </si>
  <si>
    <t>D  2,672</t>
  </si>
  <si>
    <t>D  2,675</t>
  </si>
  <si>
    <t>BAJIO TECH COPY SA DE CV</t>
  </si>
  <si>
    <t>D  2,677</t>
  </si>
  <si>
    <t>D  2,678</t>
  </si>
  <si>
    <t>D  2,681</t>
  </si>
  <si>
    <t>PINTURAS ESTASE SA DE CV</t>
  </si>
  <si>
    <t>D  2,683</t>
  </si>
  <si>
    <t>D  2,691</t>
  </si>
  <si>
    <t>D  2,694</t>
  </si>
  <si>
    <t>D  2,696</t>
  </si>
  <si>
    <t>D  2,697</t>
  </si>
  <si>
    <t>COSTCO DE MEXICO SA CV</t>
  </si>
  <si>
    <t>D  2,698</t>
  </si>
  <si>
    <t>D  2,699</t>
  </si>
  <si>
    <t>D  2,700</t>
  </si>
  <si>
    <t>D  2,701</t>
  </si>
  <si>
    <t>D  2,702</t>
  </si>
  <si>
    <t>D  2,703</t>
  </si>
  <si>
    <t>D  2,704</t>
  </si>
  <si>
    <t>D  2,705</t>
  </si>
  <si>
    <t>ROSALINDA HERNANDEZ ROSILES</t>
  </si>
  <si>
    <t>D  2,707</t>
  </si>
  <si>
    <t>CARLS IN</t>
  </si>
  <si>
    <t>D  2,708</t>
  </si>
  <si>
    <t>IMPRESIONES LASSER BEAM S RL D</t>
  </si>
  <si>
    <t>D  2,726</t>
  </si>
  <si>
    <t>0229-TCN14</t>
  </si>
  <si>
    <t>D  2,743</t>
  </si>
  <si>
    <t>P006097</t>
  </si>
  <si>
    <t>TRASLADO INV.0950-TCN13</t>
  </si>
  <si>
    <t>D  2,744</t>
  </si>
  <si>
    <t>0234-TCN14</t>
  </si>
  <si>
    <t>D  2,747</t>
  </si>
  <si>
    <t>P006099</t>
  </si>
  <si>
    <t>TRASLADO INV.0945-TCN13</t>
  </si>
  <si>
    <t>D  2,749</t>
  </si>
  <si>
    <t>P006101</t>
  </si>
  <si>
    <t>TRASLADO INV.0164-TCN14</t>
  </si>
  <si>
    <t>D  2,751</t>
  </si>
  <si>
    <t>P006103</t>
  </si>
  <si>
    <t>TRASLADO INV.0967-TCN13</t>
  </si>
  <si>
    <t>D  2,753</t>
  </si>
  <si>
    <t>P006105</t>
  </si>
  <si>
    <t>TRASLADO INV.0968-TCN13</t>
  </si>
  <si>
    <t>D  2,755</t>
  </si>
  <si>
    <t>P006107</t>
  </si>
  <si>
    <t>TRASLADO INV.0194-TCN14</t>
  </si>
  <si>
    <t>D  2,757</t>
  </si>
  <si>
    <t>P006109</t>
  </si>
  <si>
    <t>TRASLADO INV.0937-TCN13</t>
  </si>
  <si>
    <t>D  2,759</t>
  </si>
  <si>
    <t>P006111</t>
  </si>
  <si>
    <t>TRASLADO INV.0946-TCN13</t>
  </si>
  <si>
    <t>D  2,761</t>
  </si>
  <si>
    <t>P006113</t>
  </si>
  <si>
    <t>TRASLADO INV.0940-TCN13</t>
  </si>
  <si>
    <t>D  2,763</t>
  </si>
  <si>
    <t>P006115</t>
  </si>
  <si>
    <t>TRASLADO INV.0183-TCN14</t>
  </si>
  <si>
    <t>D  2,765</t>
  </si>
  <si>
    <t>P006117</t>
  </si>
  <si>
    <t>TRASLADO INV.0161-TCN14</t>
  </si>
  <si>
    <t>D  2,766</t>
  </si>
  <si>
    <t>P006120</t>
  </si>
  <si>
    <t>TRASLADO INV.0162-TCN14</t>
  </si>
  <si>
    <t>D  2,768</t>
  </si>
  <si>
    <t>P006121</t>
  </si>
  <si>
    <t>TRASLADO.INV.0166-TCN14</t>
  </si>
  <si>
    <t>D  2,769</t>
  </si>
  <si>
    <t>P006132</t>
  </si>
  <si>
    <t>TRASLADO INV.0229-TCN14</t>
  </si>
  <si>
    <t>D  2,771</t>
  </si>
  <si>
    <t>LJIMENEZ:TIENDAS SORIANA SA DE CV</t>
  </si>
  <si>
    <t>D  2,772</t>
  </si>
  <si>
    <t>LJIMENEZ:OFFECE DEPOT DE MEXICO SA</t>
  </si>
  <si>
    <t>D  2,773</t>
  </si>
  <si>
    <t>LJIMENEZ:IMPRESIONESLASSER BEAM S D</t>
  </si>
  <si>
    <t>D  2,791</t>
  </si>
  <si>
    <t>D  2,793</t>
  </si>
  <si>
    <t>LJIMENEZ:DEA GARCIA FUMIGACION</t>
  </si>
  <si>
    <t>D  2,795</t>
  </si>
  <si>
    <t>P006092</t>
  </si>
  <si>
    <t>TRASLADO INV.0139-TCN14</t>
  </si>
  <si>
    <t>D  2,797</t>
  </si>
  <si>
    <t>P006094</t>
  </si>
  <si>
    <t>TRASLADO INV.0221-TCN14</t>
  </si>
  <si>
    <t>D  2,798</t>
  </si>
  <si>
    <t>P006096</t>
  </si>
  <si>
    <t>INTERCAMBIO</t>
  </si>
  <si>
    <t>D  2,800</t>
  </si>
  <si>
    <t>P006123</t>
  </si>
  <si>
    <t>TRASLADO INV.0971-TCN13</t>
  </si>
  <si>
    <t>D  2,801</t>
  </si>
  <si>
    <t>P006125</t>
  </si>
  <si>
    <t>TRASLADO INV.0202-TCN14</t>
  </si>
  <si>
    <t>D  2,802</t>
  </si>
  <si>
    <t>P006126</t>
  </si>
  <si>
    <t>TRASLADO INV.0198-TCN14</t>
  </si>
  <si>
    <t>D  2,805</t>
  </si>
  <si>
    <t>P006128</t>
  </si>
  <si>
    <t>TRASLADO INV.0979-TCN13</t>
  </si>
  <si>
    <t>D  2,807</t>
  </si>
  <si>
    <t>P006130</t>
  </si>
  <si>
    <t>TRASLADO INV.0217-TCN14</t>
  </si>
  <si>
    <t>D  2,809</t>
  </si>
  <si>
    <t>P006134</t>
  </si>
  <si>
    <t>TRASLADO INV.0192-TCN14</t>
  </si>
  <si>
    <t>D  2,811</t>
  </si>
  <si>
    <t>AM-39</t>
  </si>
  <si>
    <t>LJIMENEZ:GTOS PUBLICIDAD 2013</t>
  </si>
  <si>
    <t>D  2,826</t>
  </si>
  <si>
    <t>QRO001511</t>
  </si>
  <si>
    <t>LJIMENEZ:TIMBRES COMPULSA</t>
  </si>
  <si>
    <t>D  2,834</t>
  </si>
  <si>
    <t>C35599</t>
  </si>
  <si>
    <t>LJIMENEZ:GASTOS DE REPRESENACION</t>
  </si>
  <si>
    <t>D  2,863</t>
  </si>
  <si>
    <t>CAMRY 2012</t>
  </si>
  <si>
    <t>LJIMENEZ:INTERESES ARRNDA CAMRY 201</t>
  </si>
  <si>
    <t>D  2,864</t>
  </si>
  <si>
    <t>PAGOSHILUX</t>
  </si>
  <si>
    <t>INT COROLLA 2013</t>
  </si>
  <si>
    <t>D  2,865</t>
  </si>
  <si>
    <t>PAGOSCOROL</t>
  </si>
  <si>
    <t>INT PAGADOS COROLLA 2012</t>
  </si>
  <si>
    <t>D  2,873</t>
  </si>
  <si>
    <t>AJUSTE IVA</t>
  </si>
  <si>
    <t>AJUSTE DE IVA 2013</t>
  </si>
  <si>
    <t>CH-13453</t>
  </si>
  <si>
    <t>CH-13454</t>
  </si>
  <si>
    <t>CH-13456</t>
  </si>
  <si>
    <t>CH-13457</t>
  </si>
  <si>
    <t>CH-13458</t>
  </si>
  <si>
    <t>CH-13483</t>
  </si>
  <si>
    <t>CH-13479</t>
  </si>
  <si>
    <t>CH-13481</t>
  </si>
  <si>
    <t>CH-13482</t>
  </si>
  <si>
    <t>CH-13477</t>
  </si>
  <si>
    <t>CH-13480</t>
  </si>
  <si>
    <t>T-816</t>
  </si>
  <si>
    <t>BAUMBERGUER DETRAZ PEDRO</t>
  </si>
  <si>
    <t>T-817</t>
  </si>
  <si>
    <t>T-367</t>
  </si>
  <si>
    <t>T-818</t>
  </si>
  <si>
    <t>T-819</t>
  </si>
  <si>
    <t>T-368</t>
  </si>
  <si>
    <t>T-821</t>
  </si>
  <si>
    <t>T-822</t>
  </si>
  <si>
    <t>T-823</t>
  </si>
  <si>
    <t>T-824</t>
  </si>
  <si>
    <t>T-826</t>
  </si>
  <si>
    <t>CH-13497</t>
  </si>
  <si>
    <t>CH-13452</t>
  </si>
  <si>
    <t>CH-13502</t>
  </si>
  <si>
    <t>CH-13503</t>
  </si>
  <si>
    <t>CH-13509</t>
  </si>
  <si>
    <t>CH-13510</t>
  </si>
  <si>
    <t>LJIMENEZ:QUERETARO MOTORS SA</t>
  </si>
  <si>
    <t>CH-13511</t>
  </si>
  <si>
    <t>CH-13512</t>
  </si>
  <si>
    <t>AZUPISO SA DE CV</t>
  </si>
  <si>
    <t>CH-13513</t>
  </si>
  <si>
    <t>CH-13514</t>
  </si>
  <si>
    <t>CH-13515</t>
  </si>
  <si>
    <t>CH-13516</t>
  </si>
  <si>
    <t>CH-13518</t>
  </si>
  <si>
    <t>CH-13523</t>
  </si>
  <si>
    <t>CH-13526</t>
  </si>
  <si>
    <t>CH-13504</t>
  </si>
  <si>
    <t>CH-13496</t>
  </si>
  <si>
    <t>CH-13520</t>
  </si>
  <si>
    <t>CH-13521</t>
  </si>
  <si>
    <t>CH-13522</t>
  </si>
  <si>
    <t>CH-13466</t>
  </si>
  <si>
    <t>CH-13529</t>
  </si>
  <si>
    <t>CRISTALLO &amp; GLASS BUILDING SOLUTION</t>
  </si>
  <si>
    <t>CH-13530</t>
  </si>
  <si>
    <t>CH-13531</t>
  </si>
  <si>
    <t>MARMOLES EL PUENTE, S.A. DE CV</t>
  </si>
  <si>
    <t>CH-13532</t>
  </si>
  <si>
    <t>CH-13533</t>
  </si>
  <si>
    <t>CH-13534</t>
  </si>
  <si>
    <t>CH-13539</t>
  </si>
  <si>
    <t>CH-13543</t>
  </si>
  <si>
    <t>CH-13544</t>
  </si>
  <si>
    <t>CH-13548</t>
  </si>
  <si>
    <t>ANDREA LUNA</t>
  </si>
  <si>
    <t>CH-13549</t>
  </si>
  <si>
    <t>CH-13550</t>
  </si>
  <si>
    <t>CH-13551</t>
  </si>
  <si>
    <t>CH-13552</t>
  </si>
  <si>
    <t>CH-13557</t>
  </si>
  <si>
    <t>CH-13559</t>
  </si>
  <si>
    <t>CH-13570</t>
  </si>
  <si>
    <t>CH-13566</t>
  </si>
  <si>
    <t>CH-13568</t>
  </si>
  <si>
    <t>CH-13567</t>
  </si>
  <si>
    <t>CH-13565</t>
  </si>
  <si>
    <t>T-369</t>
  </si>
  <si>
    <t>T-370</t>
  </si>
  <si>
    <t>T-827</t>
  </si>
  <si>
    <t>T-828</t>
  </si>
  <si>
    <t>T-829</t>
  </si>
  <si>
    <t>CH-13583</t>
  </si>
  <si>
    <t>MACIAS OÑATE MAURICIO</t>
  </si>
  <si>
    <t>CH-13584</t>
  </si>
  <si>
    <t>ELITE MOTORS S.A. DE C.V.</t>
  </si>
  <si>
    <t>T-830</t>
  </si>
  <si>
    <t>T-831</t>
  </si>
  <si>
    <t>T-832</t>
  </si>
  <si>
    <t>T-833</t>
  </si>
  <si>
    <t>T-371</t>
  </si>
  <si>
    <t>T-834</t>
  </si>
  <si>
    <t>T-836</t>
  </si>
  <si>
    <t>T-837</t>
  </si>
  <si>
    <t>T-838</t>
  </si>
  <si>
    <t>T-839</t>
  </si>
  <si>
    <t>T-372</t>
  </si>
  <si>
    <t>T-840</t>
  </si>
  <si>
    <t>CH-13585</t>
  </si>
  <si>
    <t>CH-13586</t>
  </si>
  <si>
    <t>COM.DIC</t>
  </si>
  <si>
    <t>COMISIONES 26/12/2013</t>
  </si>
  <si>
    <t>CH-13587</t>
  </si>
  <si>
    <t>CH-13588</t>
  </si>
  <si>
    <t>CH-13589</t>
  </si>
  <si>
    <t>CH-13590</t>
  </si>
  <si>
    <t>CH-13598</t>
  </si>
  <si>
    <t>CH-13461</t>
  </si>
  <si>
    <t>LJIMENEZ:CAMPERO CRUZ ALFONSO</t>
  </si>
  <si>
    <t>CH-13612</t>
  </si>
  <si>
    <t>CH-13613</t>
  </si>
  <si>
    <t>CH-13614</t>
  </si>
  <si>
    <t>CH-13641</t>
  </si>
  <si>
    <t>CH-13646</t>
  </si>
  <si>
    <t>BAJA: MACIAS OÑATE MAURICIO</t>
  </si>
  <si>
    <t>CH-13647</t>
  </si>
  <si>
    <t>T-841</t>
  </si>
  <si>
    <t>T-842</t>
  </si>
  <si>
    <t>T-373</t>
  </si>
  <si>
    <t>T-844</t>
  </si>
  <si>
    <t>T-845</t>
  </si>
  <si>
    <t>T-846</t>
  </si>
  <si>
    <t>T-848</t>
  </si>
  <si>
    <t>CH-13594</t>
  </si>
  <si>
    <t>CH-13582</t>
  </si>
  <si>
    <t>CH-13649</t>
  </si>
  <si>
    <t>CH-13595</t>
  </si>
  <si>
    <t>CH-13527</t>
  </si>
  <si>
    <t>CH-13538</t>
  </si>
  <si>
    <t>LJIMENEZ:ADRIAN SEGURA MONTES Y COO</t>
  </si>
  <si>
    <t>CH-13573</t>
  </si>
  <si>
    <t>T-849</t>
  </si>
  <si>
    <t>T-850</t>
  </si>
  <si>
    <t>T-374</t>
  </si>
  <si>
    <t>T-851</t>
  </si>
  <si>
    <t>T-852</t>
  </si>
  <si>
    <t>T-853</t>
  </si>
  <si>
    <t>T-854</t>
  </si>
  <si>
    <t>T-855</t>
  </si>
  <si>
    <t>T-856</t>
  </si>
  <si>
    <t>T-857</t>
  </si>
  <si>
    <t>T-375</t>
  </si>
  <si>
    <t>T-858</t>
  </si>
  <si>
    <t>T-859</t>
  </si>
  <si>
    <t>T-376</t>
  </si>
  <si>
    <t>CH-13528</t>
  </si>
  <si>
    <t>SISTEMA ROTATIVO DE ESPADAS, S. DE</t>
  </si>
  <si>
    <t>CH-13546</t>
  </si>
  <si>
    <t>COMISIONES BBVA AL 31/12/2013</t>
  </si>
  <si>
    <t>COMISIONES BMX AL 31/12/13</t>
  </si>
  <si>
    <t>COM-AMEX</t>
  </si>
  <si>
    <t>COMISIONES AMEX DIC/2013</t>
  </si>
  <si>
    <t>CH-13605</t>
  </si>
  <si>
    <t>E    268</t>
  </si>
  <si>
    <t>COMISIONES DIC/2013</t>
  </si>
  <si>
    <t>E    269</t>
  </si>
  <si>
    <t>COMISIONES DIC-2013</t>
  </si>
  <si>
    <t>COMISIONES INVERLAT DIC/2013</t>
  </si>
  <si>
    <t>COMISIONES BAJIO DIC/2013</t>
  </si>
  <si>
    <t>I    168</t>
  </si>
  <si>
    <t>EMB-400</t>
  </si>
  <si>
    <t>EMBARQUE 400</t>
  </si>
  <si>
    <t>I    749</t>
  </si>
  <si>
    <t>EMB.423</t>
  </si>
  <si>
    <t>LJIMENEZ:EMBARQUE 423</t>
  </si>
  <si>
    <t>I    970</t>
  </si>
  <si>
    <t>EMB.415</t>
  </si>
  <si>
    <t>EMBARQUE 415</t>
  </si>
  <si>
    <t>I  1,010</t>
  </si>
  <si>
    <t>EMB.403</t>
  </si>
  <si>
    <t>EMBARQUE 403</t>
  </si>
  <si>
    <t>DICIEMBRE</t>
  </si>
  <si>
    <t>AZU991210ER2</t>
  </si>
  <si>
    <t>BCO120309C60</t>
  </si>
  <si>
    <t>BADP590926254</t>
  </si>
  <si>
    <t>COMERCIALIZADORA LA CONSAGRADA SA</t>
  </si>
  <si>
    <t>MAAS800320EW9</t>
  </si>
  <si>
    <t xml:space="preserve">SANDRA GUADALUPE MARTINEZ AGUIÑAGA </t>
  </si>
  <si>
    <t>CFE370614QI0</t>
  </si>
  <si>
    <t>CAG120817T41</t>
  </si>
  <si>
    <t>DAU031117FM5</t>
  </si>
  <si>
    <t>DAU030729946</t>
  </si>
  <si>
    <t>DCO840713454</t>
  </si>
  <si>
    <t>GJO840215DW9</t>
  </si>
  <si>
    <t>GASTRONOMICA JOSECHO SA DE CV</t>
  </si>
  <si>
    <t xml:space="preserve">VERIFICENTRO DE QUERETARO SA DE CV </t>
  </si>
  <si>
    <t xml:space="preserve">GILBERTO GNERK SANCHEZ </t>
  </si>
  <si>
    <t>OEAE5404042R2</t>
  </si>
  <si>
    <t xml:space="preserve">EVELIA ORTEGA AGUIRRE </t>
  </si>
  <si>
    <t>GIN0205135L0</t>
  </si>
  <si>
    <t xml:space="preserve">GRUPO INOVASION SA DE CV </t>
  </si>
  <si>
    <t>JUNTA MUNICIPAL DE AGUA POTABLE Y ALCANTARILLADO DE CELAYA GTO</t>
  </si>
  <si>
    <t>CACX690510NNA</t>
  </si>
  <si>
    <t>CAMPERO CRUZ ALFONSO</t>
  </si>
  <si>
    <t>CHA9206165P3</t>
  </si>
  <si>
    <t>CONSTRUCCIONES HARB SA DE</t>
  </si>
  <si>
    <t>DEA GARCIA FUMIGACION</t>
  </si>
  <si>
    <t>RCA100823GI9</t>
  </si>
  <si>
    <t>RALLY CHAMPION SA DE CV</t>
  </si>
  <si>
    <t>IMPRESIONESLASSER BEAM S D</t>
  </si>
  <si>
    <t>OFFECE DEPOT DE MEXICO SA</t>
  </si>
  <si>
    <t>MAOM720303LD1</t>
  </si>
  <si>
    <t>DEAM830915G44</t>
  </si>
  <si>
    <t>MPU011031AN1</t>
  </si>
  <si>
    <t>LOAP6412118C6</t>
  </si>
  <si>
    <t>PES9001033K1</t>
  </si>
  <si>
    <t>HERR740819714</t>
  </si>
  <si>
    <t>SRE1309034W9</t>
  </si>
  <si>
    <t>TOY030128DM7</t>
  </si>
  <si>
    <t>ALD9804293W2</t>
  </si>
  <si>
    <t xml:space="preserve">ALDIA SA DE CV </t>
  </si>
  <si>
    <t>GJA0611296P7</t>
  </si>
  <si>
    <t xml:space="preserve">GRUPO JALYD SA DE CV </t>
  </si>
  <si>
    <t xml:space="preserve">ESTACIONES DE SERVICIO AUTO SA DE CV </t>
  </si>
  <si>
    <t>IACC790714484</t>
  </si>
  <si>
    <t xml:space="preserve">IXMATLAHUA COLOHUA CAMILO </t>
  </si>
  <si>
    <t>MABV8711012Q4</t>
  </si>
  <si>
    <t xml:space="preserve">VANESSA MARQUEZ BORBOLLA </t>
  </si>
  <si>
    <t xml:space="preserve">LAURA LIDIA RANGEL TORRES </t>
  </si>
  <si>
    <t xml:space="preserve">AUTOSERVICIO DE GASHR SA DE CV </t>
  </si>
  <si>
    <t>GIN970606Q58</t>
  </si>
  <si>
    <t xml:space="preserve">GASOLINERA INSURGENTES SA DE CV </t>
  </si>
  <si>
    <t>AAEO471120CM9</t>
  </si>
  <si>
    <t xml:space="preserve">OSCAR AYALA ESTRADA </t>
  </si>
  <si>
    <t xml:space="preserve">SERVICIOS UNIDOS TINAJAS SA DE CV </t>
  </si>
  <si>
    <t>FME1006143Q5</t>
  </si>
  <si>
    <t xml:space="preserve">FRALISELI DE MEXICO SA DE CV </t>
  </si>
  <si>
    <t>HCA071029U54</t>
  </si>
  <si>
    <t xml:space="preserve">HIDROCARBUROS CAMPECHE SA DE CV </t>
  </si>
  <si>
    <t>LOMJ920225EX0</t>
  </si>
  <si>
    <t xml:space="preserve">JAZMIN DEL ROCIO LOPEZ MORENO </t>
  </si>
  <si>
    <t>PESA580106DK1</t>
  </si>
  <si>
    <t xml:space="preserve">MARIA ALEJANDRA PEREZ SANCHEZ </t>
  </si>
  <si>
    <t>SCH880519CK5</t>
  </si>
  <si>
    <t xml:space="preserve">SERVICIO CHACHAPA SA DE CV </t>
  </si>
  <si>
    <t>OBR040120CC8</t>
  </si>
  <si>
    <t xml:space="preserve">ORGANIZACIÓN DE BIENES RAICES DE IRAPUATO SA DE CV </t>
  </si>
  <si>
    <t>GJA081031BKA</t>
  </si>
  <si>
    <t xml:space="preserve">GASOLINERA JAQ SA DE CV </t>
  </si>
  <si>
    <t>GFE970707SU3</t>
  </si>
  <si>
    <t>AUTOBUSES FUTURA</t>
  </si>
  <si>
    <t xml:space="preserve">MULTISERVICIO SAN ROBERTO SA DE CV </t>
  </si>
  <si>
    <t xml:space="preserve">FEMAL SA DE CV </t>
  </si>
  <si>
    <t>SCA9502142Y7</t>
  </si>
  <si>
    <t xml:space="preserve">SERVICIOS LA CAÑADA SA DE CV </t>
  </si>
  <si>
    <t xml:space="preserve">SERVICIO SANTA MARIA DEL RIO SA DE CV </t>
  </si>
  <si>
    <t>ITE830426646</t>
  </si>
  <si>
    <t xml:space="preserve">INMOBILIARIA TEPEPAN SA DE CV </t>
  </si>
  <si>
    <t xml:space="preserve">PARADERO EL PARIENTE </t>
  </si>
  <si>
    <t>ESL940203IW6</t>
  </si>
  <si>
    <t>ESTACIONES DE SERVICIO LUNA Y SOL</t>
  </si>
  <si>
    <t xml:space="preserve">E.S.G.E.S SA DE CV </t>
  </si>
  <si>
    <t>GCJ130205Q62</t>
  </si>
  <si>
    <t xml:space="preserve">GRUPO CJDE SA DE CV </t>
  </si>
  <si>
    <t>SSS630307GT2</t>
  </si>
  <si>
    <t xml:space="preserve">SUPER SERVICIO EL SAUZ SA DE CV </t>
  </si>
  <si>
    <t>MACS890813TR5</t>
  </si>
  <si>
    <t xml:space="preserve">SAUL MARTINEZ DE LA CRUZ </t>
  </si>
  <si>
    <t xml:space="preserve">JUAN MANUEL MIRAMONTES ARTEAGA </t>
  </si>
  <si>
    <t>BAJA : MACIAS OÑATE MAURICIO</t>
  </si>
  <si>
    <t>SEMA6702268HA</t>
  </si>
  <si>
    <t>ADRIAN SEGURA MONTES Y COOP.</t>
  </si>
  <si>
    <t>BGU101022LB3</t>
  </si>
  <si>
    <t xml:space="preserve">BURRITOS GUTIERREZ S DE RL DE CV </t>
  </si>
  <si>
    <t>CDS0406087S6</t>
  </si>
  <si>
    <t xml:space="preserve">CIMARRON DESARROLLOS Y SERVICIOS SA DE CV </t>
  </si>
  <si>
    <t>PHO821025PG9</t>
  </si>
  <si>
    <t xml:space="preserve">PROMOTORA HOTELERA OJO DE AGUA SA DE CV </t>
  </si>
  <si>
    <t>SAR9910276R5</t>
  </si>
  <si>
    <t xml:space="preserve">SERVICIOS DE ABASTECIMIENTO RODRIGUEZ EGUIA SA DE CV </t>
  </si>
  <si>
    <t>CFO871030N9A</t>
  </si>
  <si>
    <t xml:space="preserve">COMBUSTIBLES FAJA DE ORO SA DE CV </t>
  </si>
  <si>
    <t xml:space="preserve">SERVICIO CAMIONERO DE CHIHUAHUA SA DE CV </t>
  </si>
  <si>
    <t>DEUTSCHE BANK MEXICO, S.A. INSTITUCION DE BANCA MULTIPLE, DIVISION FIDUCIARIA F/1401</t>
  </si>
  <si>
    <t>IEB040122KP4</t>
  </si>
  <si>
    <t xml:space="preserve">INSTITUTO DE ESTUDIOS DEL BAJIO SC </t>
  </si>
  <si>
    <t>SME950515NT2</t>
  </si>
  <si>
    <t>SPX DE MEXICO SA DE CV</t>
  </si>
  <si>
    <t>SERVICIO AUDITORIO S.A. DE C.V</t>
  </si>
  <si>
    <t>VMU9702184T8</t>
  </si>
  <si>
    <t>VIAJES MUNDO SA DE CV</t>
  </si>
  <si>
    <t>RAMIREZ MORENO OSCAR</t>
  </si>
  <si>
    <t>*</t>
  </si>
  <si>
    <t>RET</t>
  </si>
  <si>
    <t xml:space="preserve">SE PRESENTAN EN MARZO </t>
  </si>
  <si>
    <t>SE PRESENTA EN SEPTIEMBRE</t>
  </si>
  <si>
    <t xml:space="preserve">SE PRESENTO EN MAYO </t>
  </si>
  <si>
    <t>SE PRESENTO EN JULIO</t>
  </si>
  <si>
    <t>SE PRESENTO EN DICIEMBRE</t>
  </si>
  <si>
    <t>SE PRESENTO EN OCTUBRE</t>
  </si>
  <si>
    <t>FEB</t>
  </si>
  <si>
    <t>RETENCION VIENE DE FEBRERO</t>
  </si>
  <si>
    <t>PRESENTADO</t>
  </si>
  <si>
    <t>IMPUESTOS</t>
  </si>
  <si>
    <t>DIOT</t>
  </si>
  <si>
    <t>ENERO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</si>
  <si>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</si>
  <si>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</si>
  <si>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</si>
  <si>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</si>
  <si>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</si>
  <si>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</si>
  <si>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</si>
  <si>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</si>
  <si>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</si>
  <si>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</si>
  <si>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PAGO</t>
  </si>
  <si>
    <t>DIF</t>
  </si>
  <si>
    <t>OK</t>
  </si>
  <si>
    <t>04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</si>
</sst>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3" borderId="0" xfId="0" applyFill="1" applyAlignment="1"/>
    <xf numFmtId="0" fontId="0" fillId="3" borderId="0" xfId="0" applyFill="1"/>
    <xf numFmtId="0" fontId="0" fillId="2" borderId="0" xfId="0" applyNumberFormat="1" applyFont="1" applyFill="1" applyAlignment="1"/>
    <xf numFmtId="0" fontId="0" fillId="2" borderId="0" xfId="0" applyNumberFormat="1" applyFont="1" applyFill="1"/>
    <xf numFmtId="43" fontId="0" fillId="0" borderId="0" xfId="0" applyNumberFormat="1"/>
    <xf numFmtId="0" fontId="5" fillId="2" borderId="0" xfId="0" applyFont="1" applyFill="1" applyAlignment="1"/>
    <xf numFmtId="0" fontId="5" fillId="2" borderId="0" xfId="0" applyFont="1" applyFill="1"/>
    <xf numFmtId="0" fontId="0" fillId="2" borderId="0" xfId="0" applyFont="1" applyFill="1" applyAlignment="1"/>
    <xf numFmtId="0" fontId="0" fillId="4" borderId="0" xfId="0" applyNumberFormat="1" applyFont="1" applyFill="1" applyAlignment="1"/>
    <xf numFmtId="0" fontId="0" fillId="4" borderId="0" xfId="0" applyFill="1"/>
    <xf numFmtId="0" fontId="0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/>
    <xf numFmtId="0" fontId="6" fillId="2" borderId="0" xfId="0" applyFont="1" applyFill="1"/>
    <xf numFmtId="0" fontId="0" fillId="5" borderId="0" xfId="0" applyNumberFormat="1" applyFont="1" applyFill="1" applyAlignment="1"/>
    <xf numFmtId="0" fontId="0" fillId="5" borderId="0" xfId="0" applyNumberFormat="1" applyFont="1" applyFill="1"/>
    <xf numFmtId="0" fontId="0" fillId="2" borderId="0" xfId="0" applyFill="1" applyBorder="1" applyAlignment="1"/>
    <xf numFmtId="0" fontId="0" fillId="2" borderId="0" xfId="0" applyFill="1" applyBorder="1"/>
    <xf numFmtId="0" fontId="0" fillId="6" borderId="0" xfId="0" applyFill="1" applyAlignment="1"/>
    <xf numFmtId="0" fontId="0" fillId="6" borderId="0" xfId="0" applyFill="1"/>
    <xf numFmtId="0" fontId="0" fillId="0" borderId="0" xfId="0" applyAlignment="1"/>
    <xf numFmtId="0" fontId="0" fillId="7" borderId="0" xfId="0" applyNumberFormat="1" applyFont="1" applyFill="1" applyAlignment="1"/>
    <xf numFmtId="0" fontId="0" fillId="7" borderId="0" xfId="0" applyFill="1"/>
    <xf numFmtId="0" fontId="0" fillId="0" borderId="0" xfId="0" applyFill="1" applyAlignment="1"/>
    <xf numFmtId="0" fontId="0" fillId="0" borderId="0" xfId="0" applyFill="1"/>
    <xf numFmtId="0" fontId="7" fillId="0" borderId="0" xfId="1" applyNumberFormat="1" applyFont="1" applyFill="1" applyBorder="1" applyAlignment="1" applyProtection="1"/>
    <xf numFmtId="0" fontId="6" fillId="6" borderId="0" xfId="0" applyFont="1" applyFill="1"/>
    <xf numFmtId="0" fontId="0" fillId="2" borderId="0" xfId="0" applyNumberFormat="1" applyFill="1" applyAlignment="1"/>
    <xf numFmtId="0" fontId="0" fillId="0" borderId="0" xfId="0" applyNumberFormat="1" applyFont="1" applyFill="1"/>
    <xf numFmtId="0" fontId="0" fillId="0" borderId="1" xfId="0" applyFill="1" applyBorder="1"/>
    <xf numFmtId="0" fontId="6" fillId="0" borderId="0" xfId="0" applyFont="1" applyFill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Alignment="1"/>
    <xf numFmtId="0" fontId="6" fillId="0" borderId="0" xfId="0" applyNumberFormat="1" applyFont="1" applyFill="1" applyAlignment="1"/>
    <xf numFmtId="0" fontId="0" fillId="0" borderId="0" xfId="0" applyNumberFormat="1" applyFont="1" applyFill="1" applyAlignment="1">
      <alignment horizontal="left"/>
    </xf>
    <xf numFmtId="0" fontId="6" fillId="0" borderId="0" xfId="1" applyNumberFormat="1" applyFont="1" applyFill="1" applyBorder="1" applyAlignment="1" applyProtection="1">
      <alignment horizontal="left"/>
    </xf>
    <xf numFmtId="0" fontId="6" fillId="0" borderId="0" xfId="0" applyFont="1"/>
    <xf numFmtId="43" fontId="0" fillId="0" borderId="0" xfId="1" applyFont="1" applyFill="1"/>
    <xf numFmtId="43" fontId="0" fillId="6" borderId="0" xfId="1" applyFont="1" applyFill="1"/>
    <xf numFmtId="43" fontId="4" fillId="0" borderId="0" xfId="1" applyFont="1"/>
    <xf numFmtId="0" fontId="5" fillId="0" borderId="0" xfId="0" applyFont="1" applyFill="1"/>
    <xf numFmtId="43" fontId="5" fillId="0" borderId="0" xfId="1" applyFont="1" applyFill="1"/>
    <xf numFmtId="0" fontId="0" fillId="0" borderId="0" xfId="0" applyFont="1" applyFill="1" applyAlignment="1"/>
    <xf numFmtId="0" fontId="6" fillId="6" borderId="0" xfId="1" applyNumberFormat="1" applyFont="1" applyFill="1" applyBorder="1" applyAlignment="1" applyProtection="1">
      <alignment horizontal="left"/>
    </xf>
    <xf numFmtId="0" fontId="0" fillId="0" borderId="0" xfId="0" applyFont="1" applyFill="1"/>
    <xf numFmtId="0" fontId="0" fillId="0" borderId="0" xfId="0" applyFont="1" applyFill="1" applyBorder="1" applyAlignment="1">
      <alignment horizontal="left"/>
    </xf>
    <xf numFmtId="4" fontId="0" fillId="0" borderId="0" xfId="0" applyNumberFormat="1" applyFont="1" applyFill="1"/>
    <xf numFmtId="43" fontId="6" fillId="0" borderId="0" xfId="1" applyFont="1" applyFill="1"/>
    <xf numFmtId="43" fontId="6" fillId="6" borderId="0" xfId="1" applyFont="1" applyFill="1"/>
    <xf numFmtId="0" fontId="0" fillId="0" borderId="0" xfId="0" applyNumberFormat="1" applyFill="1" applyAlignment="1">
      <alignment horizontal="left"/>
    </xf>
    <xf numFmtId="0" fontId="6" fillId="5" borderId="0" xfId="0" applyNumberFormat="1" applyFont="1" applyFill="1" applyAlignment="1"/>
    <xf numFmtId="4" fontId="0" fillId="0" borderId="0" xfId="0" applyNumberFormat="1" applyFill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NumberFormat="1" applyFill="1" applyAlignment="1"/>
    <xf numFmtId="0" fontId="0" fillId="2" borderId="0" xfId="0" applyFill="1" applyAlignment="1">
      <alignment horizontal="left"/>
    </xf>
    <xf numFmtId="43" fontId="0" fillId="2" borderId="0" xfId="1" applyFont="1" applyFill="1"/>
    <xf numFmtId="0" fontId="8" fillId="2" borderId="0" xfId="0" applyFont="1" applyFill="1"/>
    <xf numFmtId="0" fontId="0" fillId="8" borderId="0" xfId="0" applyNumberFormat="1" applyFont="1" applyFill="1" applyAlignment="1"/>
    <xf numFmtId="0" fontId="0" fillId="8" borderId="0" xfId="0" applyNumberFormat="1" applyFont="1" applyFill="1"/>
    <xf numFmtId="0" fontId="0" fillId="6" borderId="0" xfId="0" applyNumberFormat="1" applyFont="1" applyFill="1" applyAlignment="1"/>
    <xf numFmtId="0" fontId="0" fillId="6" borderId="0" xfId="0" applyFill="1" applyAlignment="1">
      <alignment horizontal="left"/>
    </xf>
    <xf numFmtId="4" fontId="0" fillId="2" borderId="0" xfId="0" applyNumberFormat="1" applyFont="1" applyFill="1"/>
    <xf numFmtId="43" fontId="5" fillId="0" borderId="0" xfId="1" applyFont="1"/>
    <xf numFmtId="43" fontId="9" fillId="0" borderId="0" xfId="1" applyFont="1"/>
    <xf numFmtId="0" fontId="6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left"/>
    </xf>
    <xf numFmtId="14" fontId="0" fillId="0" borderId="0" xfId="0" applyNumberFormat="1" applyFill="1"/>
    <xf numFmtId="0" fontId="6" fillId="3" borderId="0" xfId="0" applyFont="1" applyFill="1"/>
    <xf numFmtId="0" fontId="6" fillId="3" borderId="0" xfId="0" applyNumberFormat="1" applyFont="1" applyFill="1"/>
    <xf numFmtId="0" fontId="6" fillId="3" borderId="0" xfId="1" applyNumberFormat="1" applyFont="1" applyFill="1" applyBorder="1" applyAlignment="1" applyProtection="1">
      <alignment horizontal="left"/>
    </xf>
    <xf numFmtId="43" fontId="6" fillId="2" borderId="0" xfId="1" applyFont="1" applyFill="1"/>
    <xf numFmtId="0" fontId="0" fillId="9" borderId="0" xfId="0" applyFill="1"/>
    <xf numFmtId="43" fontId="0" fillId="9" borderId="0" xfId="1" applyFont="1" applyFill="1"/>
    <xf numFmtId="43" fontId="6" fillId="10" borderId="0" xfId="1" applyFont="1" applyFill="1"/>
    <xf numFmtId="0" fontId="0" fillId="9" borderId="0" xfId="0" applyFill="1" applyAlignment="1"/>
    <xf numFmtId="43" fontId="0" fillId="3" borderId="0" xfId="1" applyFont="1" applyFill="1"/>
    <xf numFmtId="43" fontId="0" fillId="10" borderId="0" xfId="1" applyFont="1" applyFill="1"/>
    <xf numFmtId="0" fontId="0" fillId="9" borderId="0" xfId="0" applyNumberFormat="1" applyFont="1" applyFill="1" applyAlignment="1"/>
    <xf numFmtId="0" fontId="0" fillId="9" borderId="0" xfId="0" applyNumberFormat="1" applyFont="1" applyFill="1"/>
    <xf numFmtId="0" fontId="6" fillId="9" borderId="0" xfId="1" applyNumberFormat="1" applyFont="1" applyFill="1" applyBorder="1" applyAlignment="1" applyProtection="1">
      <alignment horizontal="left"/>
    </xf>
    <xf numFmtId="0" fontId="0" fillId="9" borderId="0" xfId="0" applyNumberFormat="1" applyFont="1" applyFill="1" applyAlignment="1">
      <alignment horizontal="left"/>
    </xf>
    <xf numFmtId="0" fontId="0" fillId="9" borderId="0" xfId="0" applyFill="1" applyAlignment="1">
      <alignment horizontal="left"/>
    </xf>
    <xf numFmtId="43" fontId="0" fillId="11" borderId="0" xfId="1" applyFont="1" applyFill="1"/>
    <xf numFmtId="4" fontId="0" fillId="9" borderId="0" xfId="0" applyNumberFormat="1" applyFill="1"/>
    <xf numFmtId="0" fontId="6" fillId="9" borderId="0" xfId="0" applyNumberFormat="1" applyFont="1" applyFill="1" applyAlignment="1"/>
    <xf numFmtId="0" fontId="6" fillId="9" borderId="0" xfId="0" applyFont="1" applyFill="1"/>
    <xf numFmtId="43" fontId="0" fillId="4" borderId="0" xfId="1" applyFont="1" applyFill="1"/>
    <xf numFmtId="43" fontId="1" fillId="0" borderId="0" xfId="1" applyFont="1"/>
    <xf numFmtId="14" fontId="0" fillId="0" borderId="0" xfId="0" applyNumberFormat="1" applyBorder="1"/>
    <xf numFmtId="0" fontId="0" fillId="0" borderId="0" xfId="0" applyBorder="1"/>
    <xf numFmtId="43" fontId="0" fillId="2" borderId="0" xfId="1" applyFont="1" applyFill="1" applyBorder="1"/>
    <xf numFmtId="43" fontId="0" fillId="10" borderId="0" xfId="1" applyFont="1" applyFill="1" applyBorder="1"/>
    <xf numFmtId="43" fontId="0" fillId="0" borderId="0" xfId="1" applyFont="1" applyFill="1" applyBorder="1"/>
    <xf numFmtId="43" fontId="0" fillId="11" borderId="0" xfId="1" applyFont="1" applyFill="1" applyBorder="1"/>
    <xf numFmtId="43" fontId="0" fillId="0" borderId="0" xfId="1" applyFont="1" applyBorder="1"/>
    <xf numFmtId="0" fontId="0" fillId="6" borderId="0" xfId="0" applyFill="1" applyBorder="1"/>
    <xf numFmtId="43" fontId="0" fillId="6" borderId="0" xfId="1" applyFont="1" applyFill="1" applyBorder="1"/>
    <xf numFmtId="43" fontId="0" fillId="0" borderId="0" xfId="0" applyNumberFormat="1" applyBorder="1"/>
    <xf numFmtId="0" fontId="0" fillId="6" borderId="0" xfId="0" applyNumberFormat="1" applyFont="1" applyFill="1" applyAlignment="1">
      <alignment horizontal="left"/>
    </xf>
    <xf numFmtId="0" fontId="0" fillId="3" borderId="0" xfId="0" applyNumberFormat="1" applyFont="1" applyFill="1" applyAlignment="1"/>
    <xf numFmtId="0" fontId="0" fillId="3" borderId="0" xfId="0" applyNumberFormat="1" applyFont="1" applyFill="1"/>
    <xf numFmtId="0" fontId="0" fillId="3" borderId="0" xfId="0" applyNumberFormat="1" applyFont="1" applyFill="1" applyBorder="1" applyAlignment="1">
      <alignment horizontal="left"/>
    </xf>
    <xf numFmtId="0" fontId="0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ont="1" applyFill="1" applyAlignment="1"/>
    <xf numFmtId="0" fontId="0" fillId="0" borderId="0" xfId="0" applyFill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7" fontId="0" fillId="0" borderId="0" xfId="0" applyNumberFormat="1" applyAlignment="1">
      <alignment horizontal="left" vertical="center"/>
    </xf>
    <xf numFmtId="43" fontId="4" fillId="0" borderId="0" xfId="1" applyFont="1" applyFill="1"/>
    <xf numFmtId="43" fontId="9" fillId="0" borderId="0" xfId="1" applyFont="1" applyFill="1"/>
    <xf numFmtId="0" fontId="0" fillId="9" borderId="0" xfId="0" applyNumberFormat="1" applyFill="1" applyAlignment="1"/>
    <xf numFmtId="0" fontId="0" fillId="9" borderId="0" xfId="0" applyFont="1" applyFill="1" applyAlignment="1"/>
    <xf numFmtId="0" fontId="0" fillId="9" borderId="0" xfId="0" applyFill="1" applyBorder="1" applyAlignment="1"/>
    <xf numFmtId="0" fontId="0" fillId="9" borderId="0" xfId="0" applyFill="1" applyBorder="1"/>
    <xf numFmtId="0" fontId="0" fillId="9" borderId="0" xfId="0" applyFont="1" applyFill="1"/>
    <xf numFmtId="0" fontId="0" fillId="9" borderId="0" xfId="0" applyFont="1" applyFill="1" applyBorder="1" applyAlignment="1">
      <alignment horizontal="left"/>
    </xf>
    <xf numFmtId="0" fontId="7" fillId="9" borderId="0" xfId="1" applyNumberFormat="1" applyFont="1" applyFill="1" applyBorder="1" applyAlignment="1" applyProtection="1"/>
    <xf numFmtId="0" fontId="0" fillId="9" borderId="0" xfId="0" applyNumberFormat="1" applyFill="1" applyAlignment="1">
      <alignment horizontal="left"/>
    </xf>
    <xf numFmtId="43" fontId="0" fillId="7" borderId="0" xfId="1" applyFont="1" applyFill="1"/>
    <xf numFmtId="43" fontId="6" fillId="9" borderId="0" xfId="1" applyFont="1" applyFill="1"/>
    <xf numFmtId="0" fontId="0" fillId="12" borderId="0" xfId="0" applyFill="1"/>
    <xf numFmtId="0" fontId="10" fillId="0" borderId="0" xfId="0" applyFont="1" applyProtection="1">
      <protection locked="0"/>
    </xf>
    <xf numFmtId="43" fontId="11" fillId="0" borderId="0" xfId="1" applyFont="1"/>
    <xf numFmtId="43" fontId="0" fillId="13" borderId="0" xfId="0" applyNumberFormat="1" applyFill="1"/>
    <xf numFmtId="0" fontId="0" fillId="14" borderId="0" xfId="0" applyFill="1"/>
    <xf numFmtId="14" fontId="0" fillId="14" borderId="0" xfId="0" applyNumberFormat="1" applyFill="1"/>
    <xf numFmtId="43" fontId="0" fillId="14" borderId="0" xfId="1" applyFont="1" applyFill="1"/>
    <xf numFmtId="43" fontId="0" fillId="14" borderId="0" xfId="0" applyNumberFormat="1" applyFill="1"/>
    <xf numFmtId="0" fontId="12" fillId="0" borderId="0" xfId="0" applyFont="1"/>
    <xf numFmtId="14" fontId="12" fillId="0" borderId="0" xfId="0" applyNumberFormat="1" applyFont="1"/>
    <xf numFmtId="0" fontId="12" fillId="2" borderId="0" xfId="0" applyFont="1" applyFill="1"/>
    <xf numFmtId="43" fontId="12" fillId="0" borderId="0" xfId="1" applyFont="1"/>
    <xf numFmtId="43" fontId="12" fillId="0" borderId="0" xfId="0" applyNumberFormat="1" applyFont="1"/>
    <xf numFmtId="0" fontId="12" fillId="0" borderId="0" xfId="0" applyFont="1" applyFill="1"/>
    <xf numFmtId="43" fontId="12" fillId="0" borderId="0" xfId="1" applyFont="1" applyFill="1"/>
    <xf numFmtId="43" fontId="14" fillId="0" borderId="0" xfId="0" applyNumberFormat="1" applyFont="1" applyFill="1"/>
    <xf numFmtId="43" fontId="0" fillId="0" borderId="0" xfId="0" applyNumberFormat="1" applyFill="1" applyBorder="1"/>
    <xf numFmtId="43" fontId="0" fillId="0" borderId="0" xfId="0" applyNumberFormat="1" applyFill="1"/>
    <xf numFmtId="0" fontId="13" fillId="13" borderId="0" xfId="0" applyFont="1" applyFill="1" applyAlignment="1">
      <alignment horizontal="center"/>
    </xf>
    <xf numFmtId="43" fontId="13" fillId="13" borderId="0" xfId="1" applyFont="1" applyFill="1" applyAlignment="1">
      <alignment horizontal="center"/>
    </xf>
    <xf numFmtId="43" fontId="0" fillId="0" borderId="0" xfId="1" applyNumberFormat="1" applyFont="1"/>
    <xf numFmtId="43" fontId="14" fillId="0" borderId="0" xfId="1" applyFont="1"/>
    <xf numFmtId="0" fontId="6" fillId="9" borderId="0" xfId="1" applyNumberFormat="1" applyFont="1" applyFill="1" applyBorder="1" applyAlignment="1" applyProtection="1"/>
    <xf numFmtId="0" fontId="13" fillId="0" borderId="0" xfId="0" applyFont="1" applyFill="1" applyAlignment="1">
      <alignment horizontal="center"/>
    </xf>
    <xf numFmtId="43" fontId="14" fillId="0" borderId="0" xfId="0" applyNumberFormat="1" applyFont="1" applyFill="1" applyAlignment="1">
      <alignment horizontal="center"/>
    </xf>
    <xf numFmtId="43" fontId="14" fillId="0" borderId="0" xfId="1" applyFont="1" applyFill="1" applyAlignment="1">
      <alignment horizontal="center"/>
    </xf>
    <xf numFmtId="43" fontId="6" fillId="0" borderId="0" xfId="1" applyNumberFormat="1" applyFont="1" applyFill="1" applyBorder="1" applyAlignment="1" applyProtection="1">
      <alignment horizontal="left"/>
    </xf>
    <xf numFmtId="43" fontId="0" fillId="0" borderId="0" xfId="0" applyNumberFormat="1" applyFont="1" applyFill="1"/>
    <xf numFmtId="43" fontId="0" fillId="0" borderId="0" xfId="0" applyNumberFormat="1" applyFont="1" applyFill="1" applyAlignment="1"/>
    <xf numFmtId="43" fontId="0" fillId="0" borderId="0" xfId="0" applyNumberFormat="1" applyFont="1" applyFill="1" applyAlignment="1">
      <alignment horizontal="left"/>
    </xf>
    <xf numFmtId="43" fontId="0" fillId="0" borderId="0" xfId="0" applyNumberFormat="1" applyFont="1" applyFill="1" applyBorder="1" applyAlignment="1">
      <alignment horizontal="left"/>
    </xf>
    <xf numFmtId="0" fontId="0" fillId="13" borderId="0" xfId="0" applyFill="1"/>
    <xf numFmtId="0" fontId="13" fillId="15" borderId="0" xfId="0" applyFont="1" applyFill="1" applyAlignment="1">
      <alignment horizontal="center"/>
    </xf>
    <xf numFmtId="9" fontId="0" fillId="0" borderId="0" xfId="0" applyNumberFormat="1"/>
    <xf numFmtId="0" fontId="0" fillId="0" borderId="2" xfId="0" applyBorder="1"/>
    <xf numFmtId="0" fontId="15" fillId="0" borderId="0" xfId="0" applyFont="1" applyFill="1" applyBorder="1"/>
    <xf numFmtId="0" fontId="15" fillId="0" borderId="0" xfId="0" applyFont="1"/>
    <xf numFmtId="0" fontId="3" fillId="0" borderId="0" xfId="0" applyFont="1"/>
    <xf numFmtId="164" fontId="0" fillId="0" borderId="0" xfId="0" quotePrefix="1" applyNumberFormat="1" applyFill="1"/>
    <xf numFmtId="1" fontId="0" fillId="0" borderId="0" xfId="0" quotePrefix="1" applyNumberFormat="1" applyFill="1"/>
    <xf numFmtId="0" fontId="14" fillId="0" borderId="0" xfId="0" applyFont="1" applyFill="1" applyAlignment="1">
      <alignment horizontal="center"/>
    </xf>
    <xf numFmtId="0" fontId="0" fillId="0" borderId="0" xfId="0" quotePrefix="1"/>
    <xf numFmtId="0" fontId="14" fillId="0" borderId="0" xfId="0" quotePrefix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Nueva%20carpeta/Copia%20de%20PAPEL%20DE%20TRABAJO%20DIOT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C (2)"/>
      <sheetName val="NOV (2)"/>
      <sheetName val="OCT (2)"/>
      <sheetName val="SEPT (2)"/>
      <sheetName val="AGO (2)"/>
      <sheetName val="JUL (2)"/>
      <sheetName val="JUN (2)"/>
      <sheetName val="ABRIL (2)"/>
      <sheetName val="MA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1">
          <cell r="H141">
            <v>1079.25</v>
          </cell>
          <cell r="I141">
            <v>172.68</v>
          </cell>
        </row>
      </sheetData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529"/>
  <sheetViews>
    <sheetView zoomScaleNormal="100" workbookViewId="0">
      <pane ySplit="9" topLeftCell="A365" activePane="bottomLeft" state="frozen"/>
      <selection pane="bottomLeft" activeCell="A365" sqref="A365:A526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4" bestFit="1" customWidth="1"/>
    <col min="4" max="4" width="2" bestFit="1" customWidth="1"/>
    <col min="5" max="5" width="39.28515625" customWidth="1"/>
    <col min="6" max="6" width="16.7109375" bestFit="1" customWidth="1"/>
    <col min="7" max="7" width="56" bestFit="1" customWidth="1"/>
    <col min="8" max="8" width="14.140625" style="3" bestFit="1" customWidth="1"/>
    <col min="9" max="9" width="13.140625" bestFit="1" customWidth="1"/>
    <col min="10" max="10" width="11.7109375" bestFit="1" customWidth="1"/>
  </cols>
  <sheetData>
    <row r="1" spans="1:11">
      <c r="A1" t="s">
        <v>729</v>
      </c>
    </row>
    <row r="2" spans="1:11">
      <c r="A2" t="s">
        <v>730</v>
      </c>
      <c r="B2">
        <v>2013</v>
      </c>
    </row>
    <row r="3" spans="1:11">
      <c r="A3" t="s">
        <v>731</v>
      </c>
    </row>
    <row r="9" spans="1:11">
      <c r="A9" s="6" t="s">
        <v>721</v>
      </c>
      <c r="B9" s="6" t="s">
        <v>722</v>
      </c>
      <c r="C9" s="6" t="s">
        <v>727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6" t="s">
        <v>726</v>
      </c>
      <c r="J9" s="6"/>
    </row>
    <row r="10" spans="1:11">
      <c r="A10" t="s">
        <v>7</v>
      </c>
      <c r="B10" s="1">
        <v>41277</v>
      </c>
      <c r="C10" t="s">
        <v>8</v>
      </c>
      <c r="D10">
        <v>1</v>
      </c>
      <c r="E10" t="s">
        <v>9</v>
      </c>
      <c r="F10" s="17" t="s">
        <v>814</v>
      </c>
      <c r="G10" s="9" t="s">
        <v>815</v>
      </c>
      <c r="H10" s="3">
        <f t="shared" ref="H10:H41" si="0">I10*100/16</f>
        <v>253939.75</v>
      </c>
      <c r="I10" s="3">
        <v>40630.36</v>
      </c>
      <c r="J10" s="2"/>
    </row>
    <row r="11" spans="1:11">
      <c r="A11" t="s">
        <v>10</v>
      </c>
      <c r="B11" s="1">
        <v>41277</v>
      </c>
      <c r="C11" t="s">
        <v>11</v>
      </c>
      <c r="D11">
        <v>1</v>
      </c>
      <c r="E11" t="s">
        <v>6</v>
      </c>
      <c r="F11" s="30" t="s">
        <v>886</v>
      </c>
      <c r="G11" s="31" t="s">
        <v>887</v>
      </c>
      <c r="H11" s="3">
        <f t="shared" si="0"/>
        <v>-197939.8125</v>
      </c>
      <c r="I11" s="3">
        <v>-31670.37</v>
      </c>
      <c r="J11" s="2"/>
    </row>
    <row r="12" spans="1:11">
      <c r="A12" t="s">
        <v>12</v>
      </c>
      <c r="B12" s="1">
        <v>41277</v>
      </c>
      <c r="C12" t="s">
        <v>13</v>
      </c>
      <c r="D12">
        <v>1</v>
      </c>
      <c r="E12" t="s">
        <v>6</v>
      </c>
      <c r="F12" s="30" t="s">
        <v>886</v>
      </c>
      <c r="G12" s="31" t="s">
        <v>887</v>
      </c>
      <c r="H12" s="3">
        <f t="shared" si="0"/>
        <v>-179603.3125</v>
      </c>
      <c r="I12" s="3">
        <v>-28736.53</v>
      </c>
      <c r="J12" s="2"/>
    </row>
    <row r="13" spans="1:11">
      <c r="A13" t="s">
        <v>24</v>
      </c>
      <c r="B13" s="1">
        <v>41279</v>
      </c>
      <c r="C13" t="s">
        <v>25</v>
      </c>
      <c r="D13">
        <v>2</v>
      </c>
      <c r="E13" t="s">
        <v>26</v>
      </c>
      <c r="F13" s="30" t="s">
        <v>886</v>
      </c>
      <c r="G13" s="31" t="s">
        <v>887</v>
      </c>
      <c r="H13" s="3">
        <f t="shared" si="0"/>
        <v>527.75</v>
      </c>
      <c r="I13" s="3">
        <v>84.44</v>
      </c>
      <c r="J13" s="14">
        <f>+H13</f>
        <v>527.75</v>
      </c>
      <c r="K13" s="2">
        <f>+I13</f>
        <v>84.44</v>
      </c>
    </row>
    <row r="14" spans="1:11">
      <c r="A14" t="s">
        <v>34</v>
      </c>
      <c r="B14" s="1">
        <v>41281</v>
      </c>
      <c r="C14" t="s">
        <v>35</v>
      </c>
      <c r="D14">
        <v>1</v>
      </c>
      <c r="E14" t="s">
        <v>36</v>
      </c>
      <c r="F14" s="8" t="s">
        <v>734</v>
      </c>
      <c r="G14" s="9" t="s">
        <v>735</v>
      </c>
      <c r="H14" s="3">
        <f t="shared" si="0"/>
        <v>197869.6875</v>
      </c>
      <c r="I14" s="3">
        <v>31659.15</v>
      </c>
      <c r="J14" s="2"/>
      <c r="K14" s="2"/>
    </row>
    <row r="15" spans="1:11">
      <c r="A15" t="s">
        <v>37</v>
      </c>
      <c r="B15" s="1">
        <v>41282</v>
      </c>
      <c r="C15" t="s">
        <v>23</v>
      </c>
      <c r="D15">
        <v>1</v>
      </c>
      <c r="E15" t="s">
        <v>38</v>
      </c>
      <c r="F15" s="8" t="s">
        <v>759</v>
      </c>
      <c r="G15" s="9" t="s">
        <v>760</v>
      </c>
      <c r="H15" s="3">
        <f t="shared" si="0"/>
        <v>175050.625</v>
      </c>
      <c r="I15" s="3">
        <v>28008.1</v>
      </c>
      <c r="J15" s="2"/>
    </row>
    <row r="16" spans="1:11">
      <c r="A16" t="s">
        <v>39</v>
      </c>
      <c r="B16" s="1">
        <v>41282</v>
      </c>
      <c r="C16" t="s">
        <v>40</v>
      </c>
      <c r="D16">
        <v>1</v>
      </c>
      <c r="E16" t="s">
        <v>6</v>
      </c>
      <c r="F16" s="30" t="s">
        <v>886</v>
      </c>
      <c r="G16" s="31" t="s">
        <v>887</v>
      </c>
      <c r="H16" s="3">
        <f t="shared" si="0"/>
        <v>253938.8125</v>
      </c>
      <c r="I16" s="3">
        <v>40630.21</v>
      </c>
      <c r="J16" s="2"/>
    </row>
    <row r="17" spans="1:10">
      <c r="A17" t="s">
        <v>41</v>
      </c>
      <c r="B17" s="1">
        <v>41282</v>
      </c>
      <c r="C17" t="s">
        <v>42</v>
      </c>
      <c r="D17">
        <v>1</v>
      </c>
      <c r="E17" t="s">
        <v>6</v>
      </c>
      <c r="F17" s="30" t="s">
        <v>886</v>
      </c>
      <c r="G17" s="31" t="s">
        <v>887</v>
      </c>
      <c r="H17" s="3">
        <f t="shared" si="0"/>
        <v>219350.12499999997</v>
      </c>
      <c r="I17" s="3">
        <v>35096.019999999997</v>
      </c>
      <c r="J17" s="2"/>
    </row>
    <row r="18" spans="1:10">
      <c r="A18" t="s">
        <v>53</v>
      </c>
      <c r="B18" s="1">
        <v>41284</v>
      </c>
      <c r="C18" t="s">
        <v>54</v>
      </c>
      <c r="D18">
        <v>1</v>
      </c>
      <c r="E18" t="s">
        <v>6</v>
      </c>
      <c r="F18" s="30" t="s">
        <v>886</v>
      </c>
      <c r="G18" s="31" t="s">
        <v>887</v>
      </c>
      <c r="H18" s="3">
        <f t="shared" si="0"/>
        <v>349667.625</v>
      </c>
      <c r="I18" s="3">
        <v>55946.82</v>
      </c>
      <c r="J18" s="2"/>
    </row>
    <row r="19" spans="1:10">
      <c r="A19" t="s">
        <v>55</v>
      </c>
      <c r="B19" s="1">
        <v>41284</v>
      </c>
      <c r="C19" t="s">
        <v>56</v>
      </c>
      <c r="D19">
        <v>2</v>
      </c>
      <c r="E19" t="s">
        <v>57</v>
      </c>
      <c r="F19" s="8" t="s">
        <v>921</v>
      </c>
      <c r="G19" s="9" t="s">
        <v>922</v>
      </c>
      <c r="H19" s="3">
        <f t="shared" si="0"/>
        <v>24.5</v>
      </c>
      <c r="I19" s="3">
        <v>3.92</v>
      </c>
      <c r="J19" s="2"/>
    </row>
    <row r="20" spans="1:10">
      <c r="A20" t="s">
        <v>59</v>
      </c>
      <c r="B20" s="1">
        <v>41284</v>
      </c>
      <c r="C20" t="s">
        <v>60</v>
      </c>
      <c r="D20">
        <v>1</v>
      </c>
      <c r="E20" t="s">
        <v>6</v>
      </c>
      <c r="F20" s="30" t="s">
        <v>886</v>
      </c>
      <c r="G20" s="31" t="s">
        <v>887</v>
      </c>
      <c r="H20" s="3">
        <f t="shared" si="0"/>
        <v>286310.625</v>
      </c>
      <c r="I20" s="3">
        <v>45809.7</v>
      </c>
      <c r="J20" s="2"/>
    </row>
    <row r="21" spans="1:10">
      <c r="A21" t="s">
        <v>61</v>
      </c>
      <c r="B21" s="1">
        <v>41284</v>
      </c>
      <c r="C21" t="s">
        <v>62</v>
      </c>
      <c r="D21">
        <v>1</v>
      </c>
      <c r="E21" t="s">
        <v>6</v>
      </c>
      <c r="F21" s="30" t="s">
        <v>886</v>
      </c>
      <c r="G21" s="31" t="s">
        <v>887</v>
      </c>
      <c r="H21" s="3">
        <f t="shared" si="0"/>
        <v>399874.5</v>
      </c>
      <c r="I21" s="3">
        <v>63979.92</v>
      </c>
      <c r="J21" s="2"/>
    </row>
    <row r="22" spans="1:10">
      <c r="A22" t="s">
        <v>63</v>
      </c>
      <c r="B22" s="1">
        <v>41284</v>
      </c>
      <c r="C22" t="s">
        <v>64</v>
      </c>
      <c r="D22">
        <v>1</v>
      </c>
      <c r="E22" t="s">
        <v>6</v>
      </c>
      <c r="F22" s="30" t="s">
        <v>886</v>
      </c>
      <c r="G22" s="31" t="s">
        <v>887</v>
      </c>
      <c r="H22" s="3">
        <f t="shared" si="0"/>
        <v>310674.625</v>
      </c>
      <c r="I22" s="3">
        <v>49707.94</v>
      </c>
      <c r="J22" s="2"/>
    </row>
    <row r="23" spans="1:10">
      <c r="A23" t="s">
        <v>65</v>
      </c>
      <c r="B23" s="1">
        <v>41284</v>
      </c>
      <c r="C23" t="s">
        <v>66</v>
      </c>
      <c r="D23">
        <v>1</v>
      </c>
      <c r="E23" t="s">
        <v>6</v>
      </c>
      <c r="F23" s="30" t="s">
        <v>886</v>
      </c>
      <c r="G23" s="31" t="s">
        <v>887</v>
      </c>
      <c r="H23" s="3">
        <f t="shared" si="0"/>
        <v>190157.5625</v>
      </c>
      <c r="I23" s="3">
        <v>30425.21</v>
      </c>
      <c r="J23" s="2"/>
    </row>
    <row r="24" spans="1:10">
      <c r="A24" t="s">
        <v>67</v>
      </c>
      <c r="B24" s="1">
        <v>41284</v>
      </c>
      <c r="C24" t="s">
        <v>68</v>
      </c>
      <c r="D24">
        <v>1</v>
      </c>
      <c r="E24" t="s">
        <v>6</v>
      </c>
      <c r="F24" s="30" t="s">
        <v>886</v>
      </c>
      <c r="G24" s="31" t="s">
        <v>887</v>
      </c>
      <c r="H24" s="3">
        <f t="shared" si="0"/>
        <v>253071.8125</v>
      </c>
      <c r="I24" s="3">
        <v>40491.49</v>
      </c>
      <c r="J24" s="2"/>
    </row>
    <row r="25" spans="1:10">
      <c r="A25" t="s">
        <v>101</v>
      </c>
      <c r="B25" s="1">
        <v>41285</v>
      </c>
      <c r="C25" t="s">
        <v>102</v>
      </c>
      <c r="D25">
        <v>1</v>
      </c>
      <c r="E25" t="s">
        <v>103</v>
      </c>
      <c r="F25" s="34" t="s">
        <v>892</v>
      </c>
      <c r="G25" t="s">
        <v>893</v>
      </c>
      <c r="H25" s="3">
        <f t="shared" si="0"/>
        <v>219350.12499999997</v>
      </c>
      <c r="I25" s="3">
        <v>35096.019999999997</v>
      </c>
      <c r="J25" s="2"/>
    </row>
    <row r="26" spans="1:10">
      <c r="A26" t="s">
        <v>104</v>
      </c>
      <c r="B26" s="1">
        <v>41285</v>
      </c>
      <c r="C26" t="s">
        <v>105</v>
      </c>
      <c r="D26">
        <v>1</v>
      </c>
      <c r="E26" t="s">
        <v>6</v>
      </c>
      <c r="F26" s="30" t="s">
        <v>886</v>
      </c>
      <c r="G26" s="31" t="s">
        <v>887</v>
      </c>
      <c r="H26" s="3">
        <f t="shared" si="0"/>
        <v>178693.625</v>
      </c>
      <c r="I26" s="3">
        <v>28590.98</v>
      </c>
      <c r="J26" s="2"/>
    </row>
    <row r="27" spans="1:10">
      <c r="A27" t="s">
        <v>106</v>
      </c>
      <c r="B27" s="1">
        <v>41285</v>
      </c>
      <c r="C27" t="s">
        <v>107</v>
      </c>
      <c r="D27">
        <v>1</v>
      </c>
      <c r="E27" t="s">
        <v>6</v>
      </c>
      <c r="F27" s="30" t="s">
        <v>886</v>
      </c>
      <c r="G27" s="31" t="s">
        <v>887</v>
      </c>
      <c r="H27" s="3">
        <f t="shared" si="0"/>
        <v>-263493.125</v>
      </c>
      <c r="I27" s="3">
        <v>-42158.9</v>
      </c>
      <c r="J27" s="2"/>
    </row>
    <row r="28" spans="1:10">
      <c r="A28" t="s">
        <v>108</v>
      </c>
      <c r="B28" s="1">
        <v>41285</v>
      </c>
      <c r="C28" t="s">
        <v>109</v>
      </c>
      <c r="D28">
        <v>1</v>
      </c>
      <c r="E28" t="s">
        <v>6</v>
      </c>
      <c r="F28" s="30" t="s">
        <v>886</v>
      </c>
      <c r="G28" s="31" t="s">
        <v>887</v>
      </c>
      <c r="H28" s="3">
        <f t="shared" si="0"/>
        <v>263493.125</v>
      </c>
      <c r="I28" s="3">
        <v>42158.9</v>
      </c>
      <c r="J28" s="2"/>
    </row>
    <row r="29" spans="1:10">
      <c r="A29" t="s">
        <v>138</v>
      </c>
      <c r="B29" s="1">
        <v>41286</v>
      </c>
      <c r="C29" t="s">
        <v>139</v>
      </c>
      <c r="D29">
        <v>1</v>
      </c>
      <c r="E29" t="s">
        <v>140</v>
      </c>
      <c r="F29" s="12" t="s">
        <v>775</v>
      </c>
      <c r="G29" s="9" t="s">
        <v>776</v>
      </c>
      <c r="H29" s="3">
        <f t="shared" si="0"/>
        <v>181766.375</v>
      </c>
      <c r="I29" s="3">
        <v>29082.62</v>
      </c>
      <c r="J29" s="2"/>
    </row>
    <row r="30" spans="1:10">
      <c r="A30" t="s">
        <v>141</v>
      </c>
      <c r="B30" s="1">
        <v>41288</v>
      </c>
      <c r="C30" t="s">
        <v>142</v>
      </c>
      <c r="D30">
        <v>1</v>
      </c>
      <c r="E30" t="s">
        <v>6</v>
      </c>
      <c r="F30" s="30" t="s">
        <v>886</v>
      </c>
      <c r="G30" s="31" t="s">
        <v>887</v>
      </c>
      <c r="H30" s="3">
        <f t="shared" si="0"/>
        <v>210442.6875</v>
      </c>
      <c r="I30" s="3">
        <v>33670.83</v>
      </c>
      <c r="J30" s="2"/>
    </row>
    <row r="31" spans="1:10">
      <c r="A31" t="s">
        <v>143</v>
      </c>
      <c r="B31" s="1">
        <v>41288</v>
      </c>
      <c r="C31" t="s">
        <v>144</v>
      </c>
      <c r="D31">
        <v>1</v>
      </c>
      <c r="E31" t="s">
        <v>145</v>
      </c>
      <c r="F31" s="8" t="s">
        <v>761</v>
      </c>
      <c r="G31" s="9" t="s">
        <v>762</v>
      </c>
      <c r="H31" s="3">
        <f t="shared" si="0"/>
        <v>-203859.5625</v>
      </c>
      <c r="I31" s="3">
        <v>-32617.53</v>
      </c>
      <c r="J31" s="2"/>
    </row>
    <row r="32" spans="1:10">
      <c r="A32" t="s">
        <v>146</v>
      </c>
      <c r="B32" s="1">
        <v>41288</v>
      </c>
      <c r="C32" t="s">
        <v>147</v>
      </c>
      <c r="D32">
        <v>1</v>
      </c>
      <c r="E32" t="s">
        <v>6</v>
      </c>
      <c r="F32" s="30" t="s">
        <v>886</v>
      </c>
      <c r="G32" s="31" t="s">
        <v>887</v>
      </c>
      <c r="H32" s="3">
        <f t="shared" si="0"/>
        <v>-236531.3125</v>
      </c>
      <c r="I32" s="3">
        <v>-37845.01</v>
      </c>
      <c r="J32" s="2"/>
    </row>
    <row r="33" spans="1:10">
      <c r="A33" t="s">
        <v>148</v>
      </c>
      <c r="B33" s="1">
        <v>41288</v>
      </c>
      <c r="C33" t="s">
        <v>149</v>
      </c>
      <c r="D33">
        <v>1</v>
      </c>
      <c r="E33" t="s">
        <v>6</v>
      </c>
      <c r="F33" s="30" t="s">
        <v>886</v>
      </c>
      <c r="G33" s="31" t="s">
        <v>887</v>
      </c>
      <c r="H33" s="3">
        <f t="shared" si="0"/>
        <v>203859.5625</v>
      </c>
      <c r="I33" s="3">
        <v>32617.53</v>
      </c>
      <c r="J33" s="2"/>
    </row>
    <row r="34" spans="1:10">
      <c r="A34" t="s">
        <v>163</v>
      </c>
      <c r="B34" s="1">
        <v>41289</v>
      </c>
      <c r="C34" t="s">
        <v>164</v>
      </c>
      <c r="D34">
        <v>1</v>
      </c>
      <c r="E34" t="s">
        <v>165</v>
      </c>
      <c r="F34" s="23" t="s">
        <v>829</v>
      </c>
      <c r="G34" s="24" t="s">
        <v>6</v>
      </c>
      <c r="H34" s="3">
        <f t="shared" si="0"/>
        <v>9844.25</v>
      </c>
      <c r="I34" s="3">
        <v>1575.08</v>
      </c>
      <c r="J34" s="2"/>
    </row>
    <row r="35" spans="1:10">
      <c r="A35" t="s">
        <v>166</v>
      </c>
      <c r="B35" s="1">
        <v>41289</v>
      </c>
      <c r="C35" t="s">
        <v>167</v>
      </c>
      <c r="D35">
        <v>1</v>
      </c>
      <c r="E35" t="s">
        <v>168</v>
      </c>
      <c r="F35" s="8" t="s">
        <v>759</v>
      </c>
      <c r="G35" s="9" t="s">
        <v>760</v>
      </c>
      <c r="H35" s="3">
        <f t="shared" si="0"/>
        <v>172552.0625</v>
      </c>
      <c r="I35" s="3">
        <v>27608.33</v>
      </c>
      <c r="J35" s="2"/>
    </row>
    <row r="36" spans="1:10">
      <c r="A36" t="s">
        <v>169</v>
      </c>
      <c r="B36" s="1">
        <v>41289</v>
      </c>
      <c r="C36" t="s">
        <v>170</v>
      </c>
      <c r="D36">
        <v>1</v>
      </c>
      <c r="E36" t="s">
        <v>171</v>
      </c>
      <c r="F36" s="25" t="s">
        <v>873</v>
      </c>
      <c r="G36" s="26" t="s">
        <v>874</v>
      </c>
      <c r="H36" s="3">
        <f t="shared" si="0"/>
        <v>180844.5625</v>
      </c>
      <c r="I36" s="3">
        <v>28935.13</v>
      </c>
      <c r="J36" s="2"/>
    </row>
    <row r="37" spans="1:10">
      <c r="A37" t="s">
        <v>178</v>
      </c>
      <c r="B37" s="1">
        <v>41290</v>
      </c>
      <c r="C37" t="s">
        <v>43</v>
      </c>
      <c r="D37">
        <v>1</v>
      </c>
      <c r="E37" t="s">
        <v>6</v>
      </c>
      <c r="F37" s="30" t="s">
        <v>886</v>
      </c>
      <c r="G37" s="31" t="s">
        <v>887</v>
      </c>
      <c r="H37" s="3">
        <f t="shared" si="0"/>
        <v>189858.125</v>
      </c>
      <c r="I37" s="3">
        <v>30377.3</v>
      </c>
      <c r="J37" s="2"/>
    </row>
    <row r="38" spans="1:10">
      <c r="A38" t="s">
        <v>180</v>
      </c>
      <c r="B38" s="1">
        <v>41290</v>
      </c>
      <c r="C38" t="s">
        <v>179</v>
      </c>
      <c r="D38">
        <v>1</v>
      </c>
      <c r="E38" t="s">
        <v>181</v>
      </c>
      <c r="F38" s="12" t="s">
        <v>854</v>
      </c>
      <c r="G38" s="9" t="s">
        <v>855</v>
      </c>
      <c r="H38" s="3">
        <f t="shared" si="0"/>
        <v>233357.93749999997</v>
      </c>
      <c r="I38" s="3">
        <v>37337.269999999997</v>
      </c>
      <c r="J38" s="2"/>
    </row>
    <row r="39" spans="1:10">
      <c r="A39" t="s">
        <v>188</v>
      </c>
      <c r="B39" s="1">
        <v>41292</v>
      </c>
      <c r="C39" t="s">
        <v>189</v>
      </c>
      <c r="D39">
        <v>1</v>
      </c>
      <c r="E39" t="s">
        <v>190</v>
      </c>
      <c r="F39" s="12" t="s">
        <v>755</v>
      </c>
      <c r="G39" s="9" t="s">
        <v>756</v>
      </c>
      <c r="H39" s="3">
        <f t="shared" si="0"/>
        <v>159440</v>
      </c>
      <c r="I39" s="3">
        <v>25510.400000000001</v>
      </c>
      <c r="J39" s="2"/>
    </row>
    <row r="40" spans="1:10">
      <c r="A40" t="s">
        <v>192</v>
      </c>
      <c r="B40" s="1">
        <v>41292</v>
      </c>
      <c r="C40" t="s">
        <v>191</v>
      </c>
      <c r="D40">
        <v>1</v>
      </c>
      <c r="E40" t="s">
        <v>193</v>
      </c>
      <c r="F40" s="12" t="s">
        <v>775</v>
      </c>
      <c r="G40" s="9" t="s">
        <v>776</v>
      </c>
      <c r="H40" s="3">
        <f t="shared" si="0"/>
        <v>219350.12499999997</v>
      </c>
      <c r="I40" s="3">
        <v>35096.019999999997</v>
      </c>
      <c r="J40" s="2"/>
    </row>
    <row r="41" spans="1:10">
      <c r="A41" t="s">
        <v>194</v>
      </c>
      <c r="B41" s="1">
        <v>41292</v>
      </c>
      <c r="C41" t="s">
        <v>195</v>
      </c>
      <c r="D41">
        <v>1</v>
      </c>
      <c r="E41" t="s">
        <v>196</v>
      </c>
      <c r="F41" s="8" t="s">
        <v>759</v>
      </c>
      <c r="G41" s="9" t="s">
        <v>760</v>
      </c>
      <c r="H41" s="3">
        <f t="shared" si="0"/>
        <v>210442.6875</v>
      </c>
      <c r="I41" s="3">
        <v>33670.83</v>
      </c>
      <c r="J41" s="2"/>
    </row>
    <row r="42" spans="1:10">
      <c r="A42" t="s">
        <v>197</v>
      </c>
      <c r="B42" s="1">
        <v>41292</v>
      </c>
      <c r="C42" t="s">
        <v>198</v>
      </c>
      <c r="D42">
        <v>1</v>
      </c>
      <c r="E42" t="s">
        <v>6</v>
      </c>
      <c r="F42" s="30" t="s">
        <v>886</v>
      </c>
      <c r="G42" s="31" t="s">
        <v>887</v>
      </c>
      <c r="H42" s="3">
        <f t="shared" ref="H42:H73" si="1">I42*100/16</f>
        <v>219350.1875</v>
      </c>
      <c r="I42" s="3">
        <v>35096.03</v>
      </c>
      <c r="J42" s="2"/>
    </row>
    <row r="43" spans="1:10">
      <c r="A43" t="s">
        <v>199</v>
      </c>
      <c r="B43" s="1">
        <v>41292</v>
      </c>
      <c r="C43" t="s">
        <v>200</v>
      </c>
      <c r="D43">
        <v>1</v>
      </c>
      <c r="E43" t="s">
        <v>6</v>
      </c>
      <c r="F43" s="30" t="s">
        <v>886</v>
      </c>
      <c r="G43" s="31" t="s">
        <v>887</v>
      </c>
      <c r="H43" s="3">
        <f t="shared" si="1"/>
        <v>-219350.12499999997</v>
      </c>
      <c r="I43" s="3">
        <v>-35096.019999999997</v>
      </c>
      <c r="J43" s="2"/>
    </row>
    <row r="44" spans="1:10">
      <c r="A44" t="s">
        <v>239</v>
      </c>
      <c r="B44" s="1">
        <v>41293</v>
      </c>
      <c r="C44" t="s">
        <v>240</v>
      </c>
      <c r="D44">
        <v>1</v>
      </c>
      <c r="E44" t="s">
        <v>6</v>
      </c>
      <c r="F44" s="30" t="s">
        <v>886</v>
      </c>
      <c r="G44" s="31" t="s">
        <v>887</v>
      </c>
      <c r="H44" s="3">
        <f t="shared" si="1"/>
        <v>181766.375</v>
      </c>
      <c r="I44" s="3">
        <v>29082.62</v>
      </c>
      <c r="J44" s="2"/>
    </row>
    <row r="45" spans="1:10">
      <c r="A45" t="s">
        <v>241</v>
      </c>
      <c r="B45" s="1">
        <v>41293</v>
      </c>
      <c r="C45" t="s">
        <v>242</v>
      </c>
      <c r="D45">
        <v>1</v>
      </c>
      <c r="E45" t="s">
        <v>6</v>
      </c>
      <c r="F45" s="30" t="s">
        <v>886</v>
      </c>
      <c r="G45" s="31" t="s">
        <v>887</v>
      </c>
      <c r="H45" s="3">
        <f t="shared" si="1"/>
        <v>286310.625</v>
      </c>
      <c r="I45" s="3">
        <v>45809.7</v>
      </c>
      <c r="J45" s="2"/>
    </row>
    <row r="46" spans="1:10">
      <c r="A46" t="s">
        <v>243</v>
      </c>
      <c r="B46" s="1">
        <v>41293</v>
      </c>
      <c r="C46" t="s">
        <v>244</v>
      </c>
      <c r="D46">
        <v>1</v>
      </c>
      <c r="E46" t="s">
        <v>6</v>
      </c>
      <c r="F46" s="30" t="s">
        <v>886</v>
      </c>
      <c r="G46" s="31" t="s">
        <v>887</v>
      </c>
      <c r="H46" s="3">
        <f t="shared" si="1"/>
        <v>304261.25</v>
      </c>
      <c r="I46" s="3">
        <v>48681.8</v>
      </c>
      <c r="J46" s="2"/>
    </row>
    <row r="47" spans="1:10">
      <c r="A47" t="s">
        <v>245</v>
      </c>
      <c r="B47" s="1">
        <v>41293</v>
      </c>
      <c r="C47" t="s">
        <v>246</v>
      </c>
      <c r="D47">
        <v>1</v>
      </c>
      <c r="E47" t="s">
        <v>6</v>
      </c>
      <c r="F47" s="30" t="s">
        <v>886</v>
      </c>
      <c r="G47" s="31" t="s">
        <v>887</v>
      </c>
      <c r="H47" s="3">
        <f t="shared" si="1"/>
        <v>304261.25</v>
      </c>
      <c r="I47" s="3">
        <v>48681.8</v>
      </c>
      <c r="J47" s="2"/>
    </row>
    <row r="48" spans="1:10">
      <c r="A48" t="s">
        <v>247</v>
      </c>
      <c r="B48" s="1">
        <v>41293</v>
      </c>
      <c r="C48" t="s">
        <v>248</v>
      </c>
      <c r="D48">
        <v>1</v>
      </c>
      <c r="E48" t="s">
        <v>6</v>
      </c>
      <c r="F48" s="30" t="s">
        <v>886</v>
      </c>
      <c r="G48" s="31" t="s">
        <v>887</v>
      </c>
      <c r="H48" s="3">
        <f t="shared" si="1"/>
        <v>190157.5625</v>
      </c>
      <c r="I48" s="3">
        <v>30425.21</v>
      </c>
      <c r="J48" s="2"/>
    </row>
    <row r="49" spans="1:11">
      <c r="A49" t="s">
        <v>249</v>
      </c>
      <c r="B49" s="1">
        <v>41293</v>
      </c>
      <c r="C49" t="s">
        <v>250</v>
      </c>
      <c r="D49">
        <v>1</v>
      </c>
      <c r="E49" t="s">
        <v>6</v>
      </c>
      <c r="F49" s="30" t="s">
        <v>886</v>
      </c>
      <c r="G49" s="31" t="s">
        <v>887</v>
      </c>
      <c r="H49" s="3">
        <f t="shared" si="1"/>
        <v>190157.5625</v>
      </c>
      <c r="I49" s="3">
        <v>30425.21</v>
      </c>
      <c r="J49" s="2"/>
    </row>
    <row r="50" spans="1:11">
      <c r="A50" t="s">
        <v>251</v>
      </c>
      <c r="B50" s="1">
        <v>41293</v>
      </c>
      <c r="C50" t="s">
        <v>252</v>
      </c>
      <c r="D50">
        <v>1</v>
      </c>
      <c r="E50" t="s">
        <v>6</v>
      </c>
      <c r="F50" s="30" t="s">
        <v>886</v>
      </c>
      <c r="G50" s="31" t="s">
        <v>887</v>
      </c>
      <c r="H50" s="3">
        <f t="shared" si="1"/>
        <v>190157.5625</v>
      </c>
      <c r="I50" s="3">
        <v>30425.21</v>
      </c>
      <c r="J50" s="2"/>
    </row>
    <row r="51" spans="1:11">
      <c r="A51" t="s">
        <v>257</v>
      </c>
      <c r="B51" s="1">
        <v>41295</v>
      </c>
      <c r="C51" t="s">
        <v>258</v>
      </c>
      <c r="D51">
        <v>1</v>
      </c>
      <c r="E51" t="s">
        <v>6</v>
      </c>
      <c r="F51" s="30" t="s">
        <v>886</v>
      </c>
      <c r="G51" s="31" t="s">
        <v>887</v>
      </c>
      <c r="H51" s="3">
        <f t="shared" si="1"/>
        <v>-263493.125</v>
      </c>
      <c r="I51" s="3">
        <v>-42158.9</v>
      </c>
      <c r="J51" s="2"/>
    </row>
    <row r="52" spans="1:11">
      <c r="A52" t="s">
        <v>259</v>
      </c>
      <c r="B52" s="1">
        <v>41295</v>
      </c>
      <c r="C52" t="s">
        <v>260</v>
      </c>
      <c r="D52">
        <v>1</v>
      </c>
      <c r="E52" t="s">
        <v>6</v>
      </c>
      <c r="F52" s="30" t="s">
        <v>886</v>
      </c>
      <c r="G52" s="31" t="s">
        <v>887</v>
      </c>
      <c r="H52" s="3">
        <f t="shared" si="1"/>
        <v>263493.125</v>
      </c>
      <c r="I52" s="3">
        <v>42158.9</v>
      </c>
      <c r="J52" s="2"/>
    </row>
    <row r="53" spans="1:11">
      <c r="A53" t="s">
        <v>261</v>
      </c>
      <c r="B53" s="1">
        <v>41295</v>
      </c>
      <c r="C53" t="s">
        <v>262</v>
      </c>
      <c r="D53">
        <v>1</v>
      </c>
      <c r="E53" t="s">
        <v>263</v>
      </c>
      <c r="F53" s="32" t="s">
        <v>890</v>
      </c>
      <c r="G53" s="33" t="s">
        <v>891</v>
      </c>
      <c r="H53" s="3">
        <f t="shared" si="1"/>
        <v>219350.12499999997</v>
      </c>
      <c r="I53" s="3">
        <v>35096.019999999997</v>
      </c>
      <c r="J53" s="2"/>
    </row>
    <row r="54" spans="1:11">
      <c r="A54" t="s">
        <v>264</v>
      </c>
      <c r="B54" s="1">
        <v>41296</v>
      </c>
      <c r="C54" t="s">
        <v>265</v>
      </c>
      <c r="D54">
        <v>1</v>
      </c>
      <c r="E54" t="s">
        <v>6</v>
      </c>
      <c r="F54" s="30" t="s">
        <v>886</v>
      </c>
      <c r="G54" s="31" t="s">
        <v>887</v>
      </c>
      <c r="H54" s="3">
        <f t="shared" si="1"/>
        <v>219350.12499999997</v>
      </c>
      <c r="I54" s="3">
        <v>35096.019999999997</v>
      </c>
      <c r="J54" s="2"/>
    </row>
    <row r="55" spans="1:11">
      <c r="A55" t="s">
        <v>266</v>
      </c>
      <c r="B55" s="1">
        <v>41296</v>
      </c>
      <c r="C55" t="s">
        <v>267</v>
      </c>
      <c r="D55">
        <v>1</v>
      </c>
      <c r="E55" t="s">
        <v>6</v>
      </c>
      <c r="F55" s="30" t="s">
        <v>886</v>
      </c>
      <c r="G55" s="31" t="s">
        <v>887</v>
      </c>
      <c r="H55" s="3">
        <f t="shared" si="1"/>
        <v>227940.375</v>
      </c>
      <c r="I55" s="3">
        <v>36470.46</v>
      </c>
      <c r="J55" s="2"/>
    </row>
    <row r="56" spans="1:11">
      <c r="A56" t="s">
        <v>274</v>
      </c>
      <c r="B56" s="1">
        <v>41297</v>
      </c>
      <c r="C56" t="s">
        <v>275</v>
      </c>
      <c r="D56">
        <v>1</v>
      </c>
      <c r="E56" t="s">
        <v>276</v>
      </c>
      <c r="F56" s="8" t="s">
        <v>736</v>
      </c>
      <c r="G56" s="9" t="s">
        <v>737</v>
      </c>
      <c r="H56" s="3">
        <f t="shared" si="1"/>
        <v>159440</v>
      </c>
      <c r="I56" s="3">
        <v>25510.400000000001</v>
      </c>
      <c r="J56" s="2"/>
      <c r="K56" s="2"/>
    </row>
    <row r="57" spans="1:11">
      <c r="A57" t="s">
        <v>277</v>
      </c>
      <c r="B57" s="1">
        <v>41297</v>
      </c>
      <c r="C57" t="s">
        <v>278</v>
      </c>
      <c r="D57">
        <v>2</v>
      </c>
      <c r="E57" t="s">
        <v>57</v>
      </c>
      <c r="F57" s="8" t="s">
        <v>921</v>
      </c>
      <c r="G57" s="9" t="s">
        <v>922</v>
      </c>
      <c r="H57" s="3">
        <f t="shared" si="1"/>
        <v>126.4375</v>
      </c>
      <c r="I57" s="3">
        <v>20.23</v>
      </c>
      <c r="J57" s="2"/>
    </row>
    <row r="58" spans="1:11">
      <c r="A58" t="s">
        <v>288</v>
      </c>
      <c r="B58" s="1">
        <v>41298</v>
      </c>
      <c r="C58" t="s">
        <v>289</v>
      </c>
      <c r="D58">
        <v>1</v>
      </c>
      <c r="E58" t="s">
        <v>6</v>
      </c>
      <c r="F58" s="30" t="s">
        <v>886</v>
      </c>
      <c r="G58" s="31" t="s">
        <v>887</v>
      </c>
      <c r="H58" s="3">
        <f t="shared" si="1"/>
        <v>471518.0625</v>
      </c>
      <c r="I58" s="3">
        <v>75442.89</v>
      </c>
      <c r="J58" s="2"/>
    </row>
    <row r="59" spans="1:11">
      <c r="A59" t="s">
        <v>290</v>
      </c>
      <c r="B59" s="1">
        <v>41298</v>
      </c>
      <c r="C59" t="s">
        <v>291</v>
      </c>
      <c r="D59">
        <v>1</v>
      </c>
      <c r="E59" t="s">
        <v>6</v>
      </c>
      <c r="F59" s="30" t="s">
        <v>886</v>
      </c>
      <c r="G59" s="31" t="s">
        <v>887</v>
      </c>
      <c r="H59" s="3">
        <f t="shared" si="1"/>
        <v>-166888.25</v>
      </c>
      <c r="I59" s="3">
        <v>-26702.12</v>
      </c>
      <c r="J59" s="2"/>
    </row>
    <row r="60" spans="1:11">
      <c r="A60" t="s">
        <v>292</v>
      </c>
      <c r="B60" s="1">
        <v>41298</v>
      </c>
      <c r="C60" t="s">
        <v>293</v>
      </c>
      <c r="D60">
        <v>1</v>
      </c>
      <c r="E60" t="s">
        <v>6</v>
      </c>
      <c r="F60" s="30" t="s">
        <v>886</v>
      </c>
      <c r="G60" s="31" t="s">
        <v>887</v>
      </c>
      <c r="H60" s="3">
        <f t="shared" si="1"/>
        <v>166888.25</v>
      </c>
      <c r="I60" s="3">
        <v>26702.12</v>
      </c>
      <c r="J60" s="2"/>
    </row>
    <row r="61" spans="1:11">
      <c r="A61" t="s">
        <v>299</v>
      </c>
      <c r="B61" s="1">
        <v>41299</v>
      </c>
      <c r="C61" t="s">
        <v>300</v>
      </c>
      <c r="D61">
        <v>1</v>
      </c>
      <c r="E61" t="s">
        <v>6</v>
      </c>
      <c r="F61" s="30" t="s">
        <v>886</v>
      </c>
      <c r="G61" s="31" t="s">
        <v>887</v>
      </c>
      <c r="H61" s="3">
        <f t="shared" si="1"/>
        <v>285153.3125</v>
      </c>
      <c r="I61" s="3">
        <v>45624.53</v>
      </c>
      <c r="J61" s="2"/>
    </row>
    <row r="62" spans="1:11">
      <c r="A62" t="s">
        <v>301</v>
      </c>
      <c r="B62" s="1">
        <v>41299</v>
      </c>
      <c r="C62" t="s">
        <v>302</v>
      </c>
      <c r="D62">
        <v>1</v>
      </c>
      <c r="E62" t="s">
        <v>303</v>
      </c>
      <c r="F62" s="36" t="s">
        <v>944</v>
      </c>
      <c r="G62" s="9" t="s">
        <v>945</v>
      </c>
      <c r="H62" s="3">
        <f t="shared" si="1"/>
        <v>285153.3125</v>
      </c>
      <c r="I62" s="3">
        <v>45624.53</v>
      </c>
      <c r="J62" s="2"/>
    </row>
    <row r="63" spans="1:11">
      <c r="A63" t="s">
        <v>312</v>
      </c>
      <c r="B63" s="1">
        <v>41300</v>
      </c>
      <c r="C63" t="s">
        <v>313</v>
      </c>
      <c r="D63">
        <v>1</v>
      </c>
      <c r="E63" t="s">
        <v>6</v>
      </c>
      <c r="F63" s="30" t="s">
        <v>886</v>
      </c>
      <c r="G63" s="31" t="s">
        <v>887</v>
      </c>
      <c r="H63" s="3">
        <f t="shared" si="1"/>
        <v>179603.3125</v>
      </c>
      <c r="I63" s="3">
        <v>28736.53</v>
      </c>
      <c r="J63" s="2"/>
    </row>
    <row r="64" spans="1:11">
      <c r="A64" t="s">
        <v>314</v>
      </c>
      <c r="B64" s="1">
        <v>41300</v>
      </c>
      <c r="C64" t="s">
        <v>315</v>
      </c>
      <c r="D64">
        <v>1</v>
      </c>
      <c r="E64" t="s">
        <v>316</v>
      </c>
      <c r="F64" s="12" t="s">
        <v>745</v>
      </c>
      <c r="G64" s="13" t="s">
        <v>746</v>
      </c>
      <c r="H64" s="3">
        <f t="shared" si="1"/>
        <v>210442.6875</v>
      </c>
      <c r="I64" s="3">
        <v>33670.83</v>
      </c>
      <c r="J64" s="2"/>
      <c r="K64" s="2"/>
    </row>
    <row r="65" spans="1:11">
      <c r="A65" t="s">
        <v>350</v>
      </c>
      <c r="B65" s="1">
        <v>41302</v>
      </c>
      <c r="C65" t="s">
        <v>351</v>
      </c>
      <c r="D65">
        <v>1</v>
      </c>
      <c r="E65" t="s">
        <v>6</v>
      </c>
      <c r="F65" s="30" t="s">
        <v>886</v>
      </c>
      <c r="G65" s="31" t="s">
        <v>887</v>
      </c>
      <c r="H65" s="3">
        <f t="shared" si="1"/>
        <v>-219350.12499999997</v>
      </c>
      <c r="I65" s="3">
        <v>-35096.019999999997</v>
      </c>
      <c r="J65" s="2"/>
    </row>
    <row r="66" spans="1:11">
      <c r="A66" t="s">
        <v>352</v>
      </c>
      <c r="B66" s="1">
        <v>41302</v>
      </c>
      <c r="C66" t="s">
        <v>353</v>
      </c>
      <c r="D66">
        <v>1</v>
      </c>
      <c r="E66" t="s">
        <v>6</v>
      </c>
      <c r="F66" s="30" t="s">
        <v>886</v>
      </c>
      <c r="G66" s="31" t="s">
        <v>887</v>
      </c>
      <c r="H66" s="3">
        <f t="shared" si="1"/>
        <v>219350.12499999997</v>
      </c>
      <c r="I66" s="3">
        <v>35096.019999999997</v>
      </c>
      <c r="J66" s="2"/>
    </row>
    <row r="67" spans="1:11">
      <c r="A67" t="s">
        <v>356</v>
      </c>
      <c r="B67" s="1">
        <v>41303</v>
      </c>
      <c r="C67" t="s">
        <v>357</v>
      </c>
      <c r="D67">
        <v>1</v>
      </c>
      <c r="E67" t="s">
        <v>358</v>
      </c>
      <c r="F67" s="8" t="s">
        <v>856</v>
      </c>
      <c r="G67" s="9" t="s">
        <v>857</v>
      </c>
      <c r="H67" s="3">
        <f t="shared" si="1"/>
        <v>233357.93749999997</v>
      </c>
      <c r="I67" s="3">
        <v>37337.269999999997</v>
      </c>
      <c r="J67" s="2"/>
    </row>
    <row r="68" spans="1:11">
      <c r="A68" t="s">
        <v>359</v>
      </c>
      <c r="B68" s="1">
        <v>41303</v>
      </c>
      <c r="C68" t="s">
        <v>360</v>
      </c>
      <c r="D68">
        <v>1</v>
      </c>
      <c r="E68" t="s">
        <v>6</v>
      </c>
      <c r="F68" s="30" t="s">
        <v>886</v>
      </c>
      <c r="G68" s="31" t="s">
        <v>887</v>
      </c>
      <c r="H68" s="3">
        <f t="shared" si="1"/>
        <v>179603.3125</v>
      </c>
      <c r="I68" s="3">
        <v>28736.53</v>
      </c>
      <c r="J68" s="2"/>
    </row>
    <row r="69" spans="1:11">
      <c r="A69" t="s">
        <v>362</v>
      </c>
      <c r="B69" s="1">
        <v>41303</v>
      </c>
      <c r="C69" t="s">
        <v>58</v>
      </c>
      <c r="D69">
        <v>1</v>
      </c>
      <c r="E69" t="s">
        <v>361</v>
      </c>
      <c r="F69" s="17" t="s">
        <v>814</v>
      </c>
      <c r="G69" s="9" t="s">
        <v>815</v>
      </c>
      <c r="H69" s="3">
        <f t="shared" si="1"/>
        <v>172552.0625</v>
      </c>
      <c r="I69" s="3">
        <v>27608.33</v>
      </c>
      <c r="J69" s="2"/>
    </row>
    <row r="70" spans="1:11">
      <c r="A70" t="s">
        <v>374</v>
      </c>
      <c r="B70" s="1">
        <v>41304</v>
      </c>
      <c r="C70" t="s">
        <v>375</v>
      </c>
      <c r="D70">
        <v>1</v>
      </c>
      <c r="E70" t="s">
        <v>6</v>
      </c>
      <c r="F70" s="30" t="s">
        <v>886</v>
      </c>
      <c r="G70" s="31" t="s">
        <v>887</v>
      </c>
      <c r="H70" s="3">
        <f t="shared" si="1"/>
        <v>285153.3125</v>
      </c>
      <c r="I70" s="3">
        <v>45624.53</v>
      </c>
      <c r="J70" s="2"/>
    </row>
    <row r="71" spans="1:11">
      <c r="A71" t="s">
        <v>376</v>
      </c>
      <c r="B71" s="1">
        <v>41304</v>
      </c>
      <c r="C71" t="s">
        <v>44</v>
      </c>
      <c r="D71">
        <v>1</v>
      </c>
      <c r="E71" t="s">
        <v>377</v>
      </c>
      <c r="F71" s="12" t="s">
        <v>856</v>
      </c>
      <c r="G71" s="9" t="s">
        <v>857</v>
      </c>
      <c r="H71" s="3">
        <f t="shared" si="1"/>
        <v>219350.12499999997</v>
      </c>
      <c r="I71" s="3">
        <v>35096.019999999997</v>
      </c>
      <c r="J71" s="2"/>
    </row>
    <row r="72" spans="1:11">
      <c r="A72" t="s">
        <v>378</v>
      </c>
      <c r="B72" s="1">
        <v>41304</v>
      </c>
      <c r="C72" t="s">
        <v>379</v>
      </c>
      <c r="D72">
        <v>1</v>
      </c>
      <c r="E72" t="s">
        <v>380</v>
      </c>
      <c r="F72" s="8" t="s">
        <v>734</v>
      </c>
      <c r="G72" s="9" t="s">
        <v>735</v>
      </c>
      <c r="H72" s="3">
        <f t="shared" si="1"/>
        <v>241948.8125</v>
      </c>
      <c r="I72" s="3">
        <v>38711.81</v>
      </c>
      <c r="J72" s="2"/>
      <c r="K72" s="2"/>
    </row>
    <row r="73" spans="1:11">
      <c r="A73" t="s">
        <v>381</v>
      </c>
      <c r="B73" s="1">
        <v>41304</v>
      </c>
      <c r="C73" t="s">
        <v>382</v>
      </c>
      <c r="D73">
        <v>1</v>
      </c>
      <c r="E73" t="s">
        <v>6</v>
      </c>
      <c r="F73" s="30" t="s">
        <v>886</v>
      </c>
      <c r="G73" s="31" t="s">
        <v>887</v>
      </c>
      <c r="H73" s="3">
        <f t="shared" si="1"/>
        <v>285153.3125</v>
      </c>
      <c r="I73" s="3">
        <v>45624.53</v>
      </c>
      <c r="J73" s="2"/>
    </row>
    <row r="74" spans="1:11">
      <c r="A74" t="s">
        <v>383</v>
      </c>
      <c r="B74" s="1">
        <v>41304</v>
      </c>
      <c r="C74" t="s">
        <v>384</v>
      </c>
      <c r="D74">
        <v>1</v>
      </c>
      <c r="E74" t="s">
        <v>385</v>
      </c>
      <c r="F74" s="12" t="s">
        <v>755</v>
      </c>
      <c r="G74" s="9" t="s">
        <v>756</v>
      </c>
      <c r="H74" s="3">
        <f t="shared" ref="H74:H105" si="2">I74*100/16</f>
        <v>210442.6875</v>
      </c>
      <c r="I74" s="3">
        <v>33670.83</v>
      </c>
      <c r="J74" s="2"/>
    </row>
    <row r="75" spans="1:11">
      <c r="A75" t="s">
        <v>387</v>
      </c>
      <c r="B75" s="1">
        <v>41304</v>
      </c>
      <c r="C75" t="s">
        <v>386</v>
      </c>
      <c r="D75">
        <v>1</v>
      </c>
      <c r="E75" t="s">
        <v>388</v>
      </c>
      <c r="F75" s="12" t="s">
        <v>755</v>
      </c>
      <c r="G75" s="9" t="s">
        <v>756</v>
      </c>
      <c r="H75" s="3">
        <f t="shared" si="2"/>
        <v>210442.6875</v>
      </c>
      <c r="I75" s="3">
        <v>33670.83</v>
      </c>
      <c r="J75" s="2"/>
    </row>
    <row r="76" spans="1:11">
      <c r="A76" t="s">
        <v>397</v>
      </c>
      <c r="B76" s="1">
        <v>41305</v>
      </c>
      <c r="C76" t="s">
        <v>398</v>
      </c>
      <c r="D76">
        <v>1</v>
      </c>
      <c r="E76" t="s">
        <v>399</v>
      </c>
      <c r="F76" s="17" t="s">
        <v>814</v>
      </c>
      <c r="G76" s="9" t="s">
        <v>815</v>
      </c>
      <c r="H76" s="3">
        <f t="shared" si="2"/>
        <v>185232.3125</v>
      </c>
      <c r="I76" s="3">
        <v>29637.17</v>
      </c>
      <c r="J76" s="2"/>
    </row>
    <row r="77" spans="1:11">
      <c r="A77" t="s">
        <v>400</v>
      </c>
      <c r="B77" s="1">
        <v>41305</v>
      </c>
      <c r="C77" t="s">
        <v>401</v>
      </c>
      <c r="D77">
        <v>1</v>
      </c>
      <c r="E77" t="s">
        <v>402</v>
      </c>
      <c r="F77" s="17" t="s">
        <v>862</v>
      </c>
      <c r="G77" s="9" t="s">
        <v>402</v>
      </c>
      <c r="H77" s="3">
        <f t="shared" si="2"/>
        <v>179603.3125</v>
      </c>
      <c r="I77" s="3">
        <v>28736.53</v>
      </c>
      <c r="J77" s="2"/>
    </row>
    <row r="78" spans="1:11">
      <c r="A78" t="s">
        <v>403</v>
      </c>
      <c r="B78" s="1">
        <v>41305</v>
      </c>
      <c r="C78" t="s">
        <v>404</v>
      </c>
      <c r="D78">
        <v>1</v>
      </c>
      <c r="E78" t="s">
        <v>6</v>
      </c>
      <c r="F78" s="30" t="s">
        <v>886</v>
      </c>
      <c r="G78" s="31" t="s">
        <v>887</v>
      </c>
      <c r="H78" s="3">
        <f t="shared" si="2"/>
        <v>285153.3125</v>
      </c>
      <c r="I78" s="3">
        <v>45624.53</v>
      </c>
      <c r="J78" s="2"/>
    </row>
    <row r="79" spans="1:11">
      <c r="A79" t="s">
        <v>405</v>
      </c>
      <c r="B79" s="1">
        <v>41305</v>
      </c>
      <c r="C79" t="s">
        <v>406</v>
      </c>
      <c r="D79">
        <v>1</v>
      </c>
      <c r="E79" t="s">
        <v>407</v>
      </c>
      <c r="F79" s="8" t="s">
        <v>736</v>
      </c>
      <c r="G79" s="9" t="s">
        <v>737</v>
      </c>
      <c r="H79" s="3">
        <f t="shared" si="2"/>
        <v>166888.25</v>
      </c>
      <c r="I79" s="3">
        <v>26702.12</v>
      </c>
      <c r="J79" s="2"/>
      <c r="K79" s="2"/>
    </row>
    <row r="80" spans="1:11">
      <c r="A80" t="s">
        <v>408</v>
      </c>
      <c r="B80" s="1">
        <v>41305</v>
      </c>
      <c r="C80" t="s">
        <v>409</v>
      </c>
      <c r="D80">
        <v>1</v>
      </c>
      <c r="E80" t="s">
        <v>410</v>
      </c>
      <c r="F80" s="12" t="s">
        <v>745</v>
      </c>
      <c r="G80" s="13" t="s">
        <v>746</v>
      </c>
      <c r="H80" s="3">
        <f t="shared" si="2"/>
        <v>304261.25</v>
      </c>
      <c r="I80" s="3">
        <v>48681.8</v>
      </c>
      <c r="J80" s="2"/>
      <c r="K80" s="2"/>
    </row>
    <row r="81" spans="1:10">
      <c r="A81" t="s">
        <v>411</v>
      </c>
      <c r="B81" s="1">
        <v>41305</v>
      </c>
      <c r="C81" t="s">
        <v>412</v>
      </c>
      <c r="D81">
        <v>1</v>
      </c>
      <c r="E81" t="s">
        <v>413</v>
      </c>
      <c r="F81" s="12" t="s">
        <v>856</v>
      </c>
      <c r="G81" s="9" t="s">
        <v>857</v>
      </c>
      <c r="H81" s="3">
        <f t="shared" si="2"/>
        <v>219351.1875</v>
      </c>
      <c r="I81" s="3">
        <v>35096.19</v>
      </c>
      <c r="J81" s="2"/>
    </row>
    <row r="82" spans="1:10">
      <c r="A82" t="s">
        <v>414</v>
      </c>
      <c r="B82" s="1">
        <v>41305</v>
      </c>
      <c r="C82" t="s">
        <v>415</v>
      </c>
      <c r="D82">
        <v>1</v>
      </c>
      <c r="E82" t="s">
        <v>6</v>
      </c>
      <c r="F82" s="30" t="s">
        <v>886</v>
      </c>
      <c r="G82" s="31" t="s">
        <v>887</v>
      </c>
      <c r="H82" s="3">
        <f t="shared" si="2"/>
        <v>219350.12499999997</v>
      </c>
      <c r="I82" s="3">
        <v>35096.019999999997</v>
      </c>
      <c r="J82" s="2"/>
    </row>
    <row r="83" spans="1:10">
      <c r="A83" t="s">
        <v>416</v>
      </c>
      <c r="B83" s="1">
        <v>41305</v>
      </c>
      <c r="C83" t="s">
        <v>417</v>
      </c>
      <c r="D83">
        <v>1</v>
      </c>
      <c r="E83" t="s">
        <v>6</v>
      </c>
      <c r="F83" s="30" t="s">
        <v>886</v>
      </c>
      <c r="G83" s="31" t="s">
        <v>887</v>
      </c>
      <c r="H83" s="3">
        <f t="shared" si="2"/>
        <v>219350.12499999997</v>
      </c>
      <c r="I83" s="3">
        <v>35096.019999999997</v>
      </c>
      <c r="J83" s="2"/>
    </row>
    <row r="84" spans="1:10">
      <c r="A84" t="s">
        <v>418</v>
      </c>
      <c r="B84" s="1">
        <v>41305</v>
      </c>
      <c r="C84" t="s">
        <v>419</v>
      </c>
      <c r="D84">
        <v>1</v>
      </c>
      <c r="E84" t="s">
        <v>6</v>
      </c>
      <c r="F84" s="30" t="s">
        <v>886</v>
      </c>
      <c r="G84" s="31" t="s">
        <v>887</v>
      </c>
      <c r="H84" s="3">
        <f t="shared" si="2"/>
        <v>253938.8125</v>
      </c>
      <c r="I84" s="3">
        <v>40630.21</v>
      </c>
      <c r="J84" s="2"/>
    </row>
    <row r="85" spans="1:10">
      <c r="A85" t="s">
        <v>420</v>
      </c>
      <c r="B85" s="1">
        <v>41305</v>
      </c>
      <c r="C85" t="s">
        <v>421</v>
      </c>
      <c r="D85">
        <v>1</v>
      </c>
      <c r="E85" t="s">
        <v>6</v>
      </c>
      <c r="F85" s="30" t="s">
        <v>886</v>
      </c>
      <c r="G85" s="31" t="s">
        <v>887</v>
      </c>
      <c r="H85" s="3">
        <f t="shared" si="2"/>
        <v>253071.8125</v>
      </c>
      <c r="I85" s="3">
        <v>40491.49</v>
      </c>
      <c r="J85" s="2"/>
    </row>
    <row r="86" spans="1:10">
      <c r="A86" t="s">
        <v>422</v>
      </c>
      <c r="B86" s="1">
        <v>41305</v>
      </c>
      <c r="C86" t="s">
        <v>423</v>
      </c>
      <c r="D86">
        <v>1</v>
      </c>
      <c r="E86" t="s">
        <v>6</v>
      </c>
      <c r="F86" s="30" t="s">
        <v>886</v>
      </c>
      <c r="G86" s="31" t="s">
        <v>887</v>
      </c>
      <c r="H86" s="3">
        <f t="shared" si="2"/>
        <v>310674.625</v>
      </c>
      <c r="I86" s="3">
        <v>49707.94</v>
      </c>
      <c r="J86" s="2"/>
    </row>
    <row r="87" spans="1:10">
      <c r="A87" t="s">
        <v>424</v>
      </c>
      <c r="B87" s="1">
        <v>41305</v>
      </c>
      <c r="C87" t="s">
        <v>425</v>
      </c>
      <c r="D87">
        <v>1</v>
      </c>
      <c r="E87" t="s">
        <v>6</v>
      </c>
      <c r="F87" s="30" t="s">
        <v>886</v>
      </c>
      <c r="G87" s="31" t="s">
        <v>887</v>
      </c>
      <c r="H87" s="3">
        <f t="shared" si="2"/>
        <v>278297.4375</v>
      </c>
      <c r="I87" s="3">
        <v>44527.59</v>
      </c>
      <c r="J87" s="2"/>
    </row>
    <row r="88" spans="1:10">
      <c r="A88" t="s">
        <v>426</v>
      </c>
      <c r="B88" s="1">
        <v>41305</v>
      </c>
      <c r="C88" t="s">
        <v>427</v>
      </c>
      <c r="D88">
        <v>1</v>
      </c>
      <c r="E88" t="s">
        <v>6</v>
      </c>
      <c r="F88" s="30" t="s">
        <v>886</v>
      </c>
      <c r="G88" s="31" t="s">
        <v>887</v>
      </c>
      <c r="H88" s="3">
        <f t="shared" si="2"/>
        <v>349684.875</v>
      </c>
      <c r="I88" s="3">
        <v>55949.58</v>
      </c>
      <c r="J88" s="2"/>
    </row>
    <row r="89" spans="1:10">
      <c r="A89" t="s">
        <v>428</v>
      </c>
      <c r="B89" s="1">
        <v>41305</v>
      </c>
      <c r="C89" t="s">
        <v>429</v>
      </c>
      <c r="D89">
        <v>1</v>
      </c>
      <c r="E89" t="s">
        <v>6</v>
      </c>
      <c r="F89" s="30" t="s">
        <v>886</v>
      </c>
      <c r="G89" s="31" t="s">
        <v>887</v>
      </c>
      <c r="H89" s="3">
        <f t="shared" si="2"/>
        <v>404992.875</v>
      </c>
      <c r="I89" s="3">
        <v>64798.86</v>
      </c>
      <c r="J89" s="2"/>
    </row>
    <row r="90" spans="1:10">
      <c r="A90" t="s">
        <v>430</v>
      </c>
      <c r="B90" s="1">
        <v>41305</v>
      </c>
      <c r="C90" t="s">
        <v>431</v>
      </c>
      <c r="D90">
        <v>1</v>
      </c>
      <c r="E90" t="s">
        <v>6</v>
      </c>
      <c r="F90" s="30" t="s">
        <v>886</v>
      </c>
      <c r="G90" s="31" t="s">
        <v>887</v>
      </c>
      <c r="H90" s="3">
        <f t="shared" si="2"/>
        <v>285170.5625</v>
      </c>
      <c r="I90" s="3">
        <v>45627.29</v>
      </c>
      <c r="J90" s="2"/>
    </row>
    <row r="91" spans="1:10">
      <c r="A91" t="s">
        <v>432</v>
      </c>
      <c r="B91" s="1">
        <v>41305</v>
      </c>
      <c r="C91" t="s">
        <v>433</v>
      </c>
      <c r="D91">
        <v>1</v>
      </c>
      <c r="E91" t="s">
        <v>434</v>
      </c>
      <c r="F91" s="21" t="s">
        <v>827</v>
      </c>
      <c r="G91" s="22" t="s">
        <v>828</v>
      </c>
      <c r="H91" s="3">
        <f t="shared" si="2"/>
        <v>7237</v>
      </c>
      <c r="I91" s="3">
        <v>1157.92</v>
      </c>
      <c r="J91" s="2"/>
    </row>
    <row r="92" spans="1:10">
      <c r="A92" t="s">
        <v>0</v>
      </c>
      <c r="B92" s="1">
        <v>41275</v>
      </c>
      <c r="C92" t="s">
        <v>1</v>
      </c>
      <c r="D92">
        <v>1</v>
      </c>
      <c r="E92" t="s">
        <v>2</v>
      </c>
      <c r="F92" s="18" t="s">
        <v>843</v>
      </c>
      <c r="G92" s="19" t="s">
        <v>844</v>
      </c>
      <c r="H92" s="3">
        <f t="shared" si="2"/>
        <v>107142.875</v>
      </c>
      <c r="I92" s="3">
        <v>17142.86</v>
      </c>
      <c r="J92" s="2"/>
    </row>
    <row r="93" spans="1:10">
      <c r="A93" t="s">
        <v>3</v>
      </c>
      <c r="B93" s="1">
        <v>41275</v>
      </c>
      <c r="C93" t="s">
        <v>4</v>
      </c>
      <c r="D93">
        <v>1</v>
      </c>
      <c r="E93" t="s">
        <v>5</v>
      </c>
      <c r="F93" s="18" t="s">
        <v>816</v>
      </c>
      <c r="G93" s="19" t="s">
        <v>817</v>
      </c>
      <c r="H93" s="3">
        <f t="shared" si="2"/>
        <v>107142.875</v>
      </c>
      <c r="I93" s="3">
        <v>17142.86</v>
      </c>
      <c r="J93" s="2"/>
    </row>
    <row r="94" spans="1:10">
      <c r="A94" t="s">
        <v>435</v>
      </c>
      <c r="B94" s="1">
        <v>41305</v>
      </c>
      <c r="C94" t="s">
        <v>436</v>
      </c>
      <c r="D94">
        <v>1</v>
      </c>
      <c r="E94" t="s">
        <v>437</v>
      </c>
      <c r="F94" s="37" t="s">
        <v>948</v>
      </c>
      <c r="G94" t="s">
        <v>949</v>
      </c>
      <c r="H94" s="3">
        <f t="shared" si="2"/>
        <v>155.1875</v>
      </c>
      <c r="I94" s="3">
        <v>24.83</v>
      </c>
      <c r="J94" s="2"/>
    </row>
    <row r="95" spans="1:10">
      <c r="A95" t="s">
        <v>438</v>
      </c>
      <c r="B95" s="1">
        <v>41305</v>
      </c>
      <c r="C95" t="s">
        <v>439</v>
      </c>
      <c r="D95">
        <v>1</v>
      </c>
      <c r="E95" t="s">
        <v>440</v>
      </c>
      <c r="F95" s="23" t="s">
        <v>829</v>
      </c>
      <c r="G95" s="24" t="s">
        <v>6</v>
      </c>
      <c r="H95" s="3">
        <f t="shared" si="2"/>
        <v>522.875</v>
      </c>
      <c r="I95" s="3">
        <v>83.66</v>
      </c>
      <c r="J95" s="2"/>
    </row>
    <row r="96" spans="1:10">
      <c r="A96" t="s">
        <v>441</v>
      </c>
      <c r="B96" s="1">
        <v>41305</v>
      </c>
      <c r="C96" t="s">
        <v>442</v>
      </c>
      <c r="D96">
        <v>1</v>
      </c>
      <c r="E96" t="s">
        <v>443</v>
      </c>
      <c r="F96" s="12" t="s">
        <v>950</v>
      </c>
      <c r="G96" s="20" t="s">
        <v>951</v>
      </c>
      <c r="H96" s="3">
        <f t="shared" si="2"/>
        <v>6035.8125</v>
      </c>
      <c r="I96" s="3">
        <v>965.73</v>
      </c>
      <c r="J96" s="2"/>
    </row>
    <row r="97" spans="1:12">
      <c r="A97" t="s">
        <v>444</v>
      </c>
      <c r="B97" s="1">
        <v>41305</v>
      </c>
      <c r="C97" t="s">
        <v>445</v>
      </c>
      <c r="D97">
        <v>1</v>
      </c>
      <c r="E97" t="s">
        <v>446</v>
      </c>
      <c r="F97" s="12" t="s">
        <v>825</v>
      </c>
      <c r="G97" s="20" t="s">
        <v>826</v>
      </c>
      <c r="H97" s="3">
        <f t="shared" si="2"/>
        <v>401</v>
      </c>
      <c r="I97" s="3">
        <v>64.16</v>
      </c>
      <c r="J97" s="2"/>
    </row>
    <row r="98" spans="1:12">
      <c r="A98" t="s">
        <v>447</v>
      </c>
      <c r="B98" s="1">
        <v>41305</v>
      </c>
      <c r="C98" t="s">
        <v>448</v>
      </c>
      <c r="D98">
        <v>1</v>
      </c>
      <c r="E98" t="s">
        <v>449</v>
      </c>
      <c r="F98" s="12" t="s">
        <v>823</v>
      </c>
      <c r="G98" s="20" t="s">
        <v>824</v>
      </c>
      <c r="H98" s="3">
        <f t="shared" si="2"/>
        <v>360</v>
      </c>
      <c r="I98" s="3">
        <v>57.6</v>
      </c>
      <c r="J98" s="2" t="s">
        <v>956</v>
      </c>
    </row>
    <row r="99" spans="1:12">
      <c r="A99" t="s">
        <v>450</v>
      </c>
      <c r="B99" s="1">
        <v>41305</v>
      </c>
      <c r="C99" t="s">
        <v>451</v>
      </c>
      <c r="D99">
        <v>1</v>
      </c>
      <c r="E99" t="s">
        <v>452</v>
      </c>
      <c r="F99" s="8" t="s">
        <v>821</v>
      </c>
      <c r="G99" s="9" t="s">
        <v>822</v>
      </c>
      <c r="H99" s="3">
        <f t="shared" si="2"/>
        <v>180</v>
      </c>
      <c r="I99" s="3">
        <v>28.8</v>
      </c>
      <c r="J99" s="2"/>
    </row>
    <row r="100" spans="1:12">
      <c r="A100" t="s">
        <v>453</v>
      </c>
      <c r="B100" s="1">
        <v>41305</v>
      </c>
      <c r="C100" t="s">
        <v>454</v>
      </c>
      <c r="D100">
        <v>1</v>
      </c>
      <c r="E100" t="s">
        <v>455</v>
      </c>
      <c r="F100" s="23" t="s">
        <v>829</v>
      </c>
      <c r="G100" s="24" t="s">
        <v>6</v>
      </c>
      <c r="H100" s="3">
        <f t="shared" si="2"/>
        <v>1450.875</v>
      </c>
      <c r="I100" s="3">
        <v>232.14</v>
      </c>
      <c r="J100" s="2"/>
    </row>
    <row r="101" spans="1:12">
      <c r="A101" t="s">
        <v>456</v>
      </c>
      <c r="B101" s="1">
        <v>41305</v>
      </c>
      <c r="C101" t="s">
        <v>433</v>
      </c>
      <c r="D101">
        <v>1</v>
      </c>
      <c r="E101" t="s">
        <v>457</v>
      </c>
      <c r="F101" s="12" t="s">
        <v>830</v>
      </c>
      <c r="G101" s="20" t="s">
        <v>831</v>
      </c>
      <c r="H101" s="3">
        <f t="shared" si="2"/>
        <v>1391</v>
      </c>
      <c r="I101" s="3">
        <v>222.56</v>
      </c>
      <c r="J101" s="2"/>
    </row>
    <row r="102" spans="1:12">
      <c r="A102" t="s">
        <v>458</v>
      </c>
      <c r="B102" s="1">
        <v>41305</v>
      </c>
      <c r="C102" t="s">
        <v>433</v>
      </c>
      <c r="D102">
        <v>1</v>
      </c>
      <c r="E102" t="s">
        <v>459</v>
      </c>
      <c r="F102" s="12" t="s">
        <v>915</v>
      </c>
      <c r="G102" s="20" t="s">
        <v>916</v>
      </c>
      <c r="H102" s="3">
        <f t="shared" si="2"/>
        <v>190</v>
      </c>
      <c r="I102" s="3">
        <v>30.4</v>
      </c>
      <c r="J102" s="2"/>
    </row>
    <row r="103" spans="1:12">
      <c r="A103" t="s">
        <v>460</v>
      </c>
      <c r="B103" s="1">
        <v>41305</v>
      </c>
      <c r="C103" t="s">
        <v>461</v>
      </c>
      <c r="D103">
        <v>1</v>
      </c>
      <c r="E103" t="s">
        <v>57</v>
      </c>
      <c r="F103" s="8" t="s">
        <v>921</v>
      </c>
      <c r="G103" s="9" t="s">
        <v>922</v>
      </c>
      <c r="H103" s="3">
        <f t="shared" si="2"/>
        <v>25120.875</v>
      </c>
      <c r="I103" s="3">
        <v>4019.34</v>
      </c>
      <c r="J103" s="2"/>
    </row>
    <row r="104" spans="1:12">
      <c r="A104" t="s">
        <v>462</v>
      </c>
      <c r="B104" s="1">
        <v>41305</v>
      </c>
      <c r="C104" t="s">
        <v>463</v>
      </c>
      <c r="D104">
        <v>1</v>
      </c>
      <c r="E104" t="s">
        <v>57</v>
      </c>
      <c r="F104" s="8" t="s">
        <v>921</v>
      </c>
      <c r="G104" s="9" t="s">
        <v>922</v>
      </c>
      <c r="H104" s="3">
        <f t="shared" si="2"/>
        <v>15505.1875</v>
      </c>
      <c r="I104" s="3">
        <v>2480.83</v>
      </c>
      <c r="J104" s="2" t="e">
        <f>+H104-#REF!</f>
        <v>#REF!</v>
      </c>
      <c r="K104" s="14" t="e">
        <f>+I104-#REF!</f>
        <v>#REF!</v>
      </c>
      <c r="L104" t="s">
        <v>796</v>
      </c>
    </row>
    <row r="105" spans="1:12">
      <c r="A105" t="s">
        <v>464</v>
      </c>
      <c r="B105" s="1">
        <v>41305</v>
      </c>
      <c r="C105" t="s">
        <v>465</v>
      </c>
      <c r="D105">
        <v>1</v>
      </c>
      <c r="E105" t="s">
        <v>466</v>
      </c>
      <c r="F105" s="8" t="s">
        <v>834</v>
      </c>
      <c r="G105" s="9" t="s">
        <v>835</v>
      </c>
      <c r="H105" s="3">
        <f t="shared" si="2"/>
        <v>308</v>
      </c>
      <c r="I105" s="3">
        <v>49.28</v>
      </c>
      <c r="J105" s="2"/>
    </row>
    <row r="106" spans="1:12">
      <c r="A106" t="s">
        <v>467</v>
      </c>
      <c r="B106" s="1">
        <v>41305</v>
      </c>
      <c r="C106" t="s">
        <v>468</v>
      </c>
      <c r="D106">
        <v>1</v>
      </c>
      <c r="E106" t="s">
        <v>469</v>
      </c>
      <c r="F106" s="8" t="s">
        <v>739</v>
      </c>
      <c r="G106" s="9" t="s">
        <v>469</v>
      </c>
      <c r="H106" s="3">
        <f t="shared" ref="H106:H110" si="3">I106*100/16</f>
        <v>215.49999999999997</v>
      </c>
      <c r="I106" s="3">
        <v>34.479999999999997</v>
      </c>
      <c r="J106" s="2"/>
      <c r="K106" s="2"/>
    </row>
    <row r="107" spans="1:12">
      <c r="A107" t="s">
        <v>470</v>
      </c>
      <c r="B107" s="1">
        <v>41305</v>
      </c>
      <c r="C107" t="s">
        <v>471</v>
      </c>
      <c r="D107">
        <v>1</v>
      </c>
      <c r="E107" t="s">
        <v>472</v>
      </c>
      <c r="F107" s="8" t="s">
        <v>754</v>
      </c>
      <c r="G107" s="9" t="s">
        <v>472</v>
      </c>
      <c r="H107" s="3">
        <f t="shared" si="3"/>
        <v>550</v>
      </c>
      <c r="I107" s="3">
        <v>88</v>
      </c>
      <c r="J107" s="2"/>
    </row>
    <row r="108" spans="1:12">
      <c r="A108" t="s">
        <v>473</v>
      </c>
      <c r="B108" s="1">
        <v>41305</v>
      </c>
      <c r="C108" t="s">
        <v>474</v>
      </c>
      <c r="D108">
        <v>1</v>
      </c>
      <c r="E108" t="s">
        <v>475</v>
      </c>
      <c r="F108" s="8" t="s">
        <v>750</v>
      </c>
      <c r="G108" s="9" t="s">
        <v>475</v>
      </c>
      <c r="H108" s="3">
        <f t="shared" si="3"/>
        <v>412.93749999999994</v>
      </c>
      <c r="I108" s="3">
        <v>66.069999999999993</v>
      </c>
      <c r="J108" s="2"/>
    </row>
    <row r="109" spans="1:12">
      <c r="A109" t="s">
        <v>476</v>
      </c>
      <c r="B109" s="1">
        <v>41305</v>
      </c>
      <c r="C109" t="s">
        <v>477</v>
      </c>
      <c r="D109">
        <v>1</v>
      </c>
      <c r="E109" t="s">
        <v>478</v>
      </c>
      <c r="F109" s="8" t="s">
        <v>786</v>
      </c>
      <c r="G109" s="9" t="s">
        <v>787</v>
      </c>
      <c r="H109" s="3">
        <f t="shared" si="3"/>
        <v>216.9375</v>
      </c>
      <c r="I109" s="3">
        <v>34.71</v>
      </c>
      <c r="J109" s="2"/>
    </row>
    <row r="110" spans="1:12">
      <c r="A110" t="s">
        <v>479</v>
      </c>
      <c r="B110" s="1">
        <v>41305</v>
      </c>
      <c r="C110" t="s">
        <v>480</v>
      </c>
      <c r="D110">
        <v>1</v>
      </c>
      <c r="E110" t="s">
        <v>481</v>
      </c>
      <c r="F110" s="8" t="s">
        <v>748</v>
      </c>
      <c r="G110" s="9" t="s">
        <v>749</v>
      </c>
      <c r="H110" s="3">
        <f t="shared" si="3"/>
        <v>25.8125</v>
      </c>
      <c r="I110" s="3">
        <v>4.13</v>
      </c>
      <c r="J110" s="2"/>
    </row>
    <row r="111" spans="1:12">
      <c r="A111" t="s">
        <v>482</v>
      </c>
      <c r="B111" s="1">
        <v>41305</v>
      </c>
      <c r="C111" t="s">
        <v>483</v>
      </c>
      <c r="D111">
        <v>1</v>
      </c>
      <c r="E111" t="s">
        <v>484</v>
      </c>
      <c r="F111" s="8" t="s">
        <v>1649</v>
      </c>
      <c r="G111" s="9" t="s">
        <v>1650</v>
      </c>
      <c r="H111" s="65">
        <f t="shared" ref="H111:H123" si="4">I111/0.16</f>
        <v>81</v>
      </c>
      <c r="I111" s="131">
        <v>12.96</v>
      </c>
      <c r="J111" s="3"/>
      <c r="K111" s="3"/>
    </row>
    <row r="112" spans="1:12">
      <c r="A112" t="s">
        <v>482</v>
      </c>
      <c r="B112" s="1">
        <v>41305</v>
      </c>
      <c r="C112" t="s">
        <v>483</v>
      </c>
      <c r="D112">
        <v>1</v>
      </c>
      <c r="E112" t="s">
        <v>484</v>
      </c>
      <c r="F112" s="8" t="s">
        <v>7052</v>
      </c>
      <c r="G112" s="9" t="s">
        <v>7053</v>
      </c>
      <c r="H112" s="65">
        <f t="shared" si="4"/>
        <v>56.0625</v>
      </c>
      <c r="I112" s="131">
        <v>8.9700000000000006</v>
      </c>
      <c r="J112" s="2"/>
    </row>
    <row r="113" spans="1:12">
      <c r="A113" t="s">
        <v>482</v>
      </c>
      <c r="B113" s="1">
        <v>41305</v>
      </c>
      <c r="C113" t="s">
        <v>483</v>
      </c>
      <c r="D113">
        <v>1</v>
      </c>
      <c r="E113" t="s">
        <v>484</v>
      </c>
      <c r="F113" s="8" t="s">
        <v>7054</v>
      </c>
      <c r="G113" s="9" t="s">
        <v>7055</v>
      </c>
      <c r="H113" s="65">
        <f t="shared" si="4"/>
        <v>450.3125</v>
      </c>
      <c r="I113" s="65">
        <v>72.05</v>
      </c>
      <c r="J113" s="2"/>
    </row>
    <row r="114" spans="1:12">
      <c r="A114" t="s">
        <v>482</v>
      </c>
      <c r="B114" s="1">
        <v>41305</v>
      </c>
      <c r="C114" t="s">
        <v>483</v>
      </c>
      <c r="D114">
        <v>1</v>
      </c>
      <c r="E114" t="s">
        <v>484</v>
      </c>
      <c r="F114" s="8" t="s">
        <v>3783</v>
      </c>
      <c r="G114" s="9" t="s">
        <v>3784</v>
      </c>
      <c r="H114" s="65">
        <f t="shared" si="4"/>
        <v>258.625</v>
      </c>
      <c r="I114" s="65">
        <v>41.38</v>
      </c>
      <c r="J114" s="2"/>
    </row>
    <row r="115" spans="1:12">
      <c r="A115" t="s">
        <v>482</v>
      </c>
      <c r="B115" s="1">
        <v>41305</v>
      </c>
      <c r="C115" t="s">
        <v>483</v>
      </c>
      <c r="D115">
        <v>1</v>
      </c>
      <c r="E115" t="s">
        <v>484</v>
      </c>
      <c r="F115" s="8" t="s">
        <v>3783</v>
      </c>
      <c r="G115" s="9" t="s">
        <v>3784</v>
      </c>
      <c r="H115" s="65">
        <f t="shared" si="4"/>
        <v>100</v>
      </c>
      <c r="I115" s="65">
        <v>16</v>
      </c>
      <c r="J115" s="2"/>
    </row>
    <row r="116" spans="1:12">
      <c r="A116" t="s">
        <v>482</v>
      </c>
      <c r="B116" s="1">
        <v>41305</v>
      </c>
      <c r="C116" t="s">
        <v>483</v>
      </c>
      <c r="D116">
        <v>1</v>
      </c>
      <c r="E116" t="s">
        <v>484</v>
      </c>
      <c r="F116" s="8" t="s">
        <v>3787</v>
      </c>
      <c r="G116" s="9" t="s">
        <v>3788</v>
      </c>
      <c r="H116" s="65">
        <f t="shared" si="4"/>
        <v>416.93749999999994</v>
      </c>
      <c r="I116" s="65">
        <v>66.709999999999994</v>
      </c>
      <c r="J116" s="2"/>
    </row>
    <row r="117" spans="1:12">
      <c r="A117" t="s">
        <v>482</v>
      </c>
      <c r="B117" s="1">
        <v>41305</v>
      </c>
      <c r="C117" t="s">
        <v>483</v>
      </c>
      <c r="D117">
        <v>1</v>
      </c>
      <c r="E117" t="s">
        <v>484</v>
      </c>
      <c r="F117" s="8" t="s">
        <v>7056</v>
      </c>
      <c r="G117" s="9" t="s">
        <v>7057</v>
      </c>
      <c r="H117" s="65">
        <f t="shared" si="4"/>
        <v>81.875</v>
      </c>
      <c r="I117" s="65">
        <v>13.1</v>
      </c>
      <c r="J117" s="2"/>
    </row>
    <row r="118" spans="1:12">
      <c r="A118" t="s">
        <v>482</v>
      </c>
      <c r="B118" s="1">
        <v>41305</v>
      </c>
      <c r="C118" t="s">
        <v>483</v>
      </c>
      <c r="D118">
        <v>1</v>
      </c>
      <c r="E118" t="s">
        <v>484</v>
      </c>
      <c r="F118" s="27" t="s">
        <v>7058</v>
      </c>
      <c r="G118" s="28" t="s">
        <v>7059</v>
      </c>
      <c r="H118" s="47">
        <f t="shared" si="4"/>
        <v>433.5</v>
      </c>
      <c r="I118" s="47">
        <v>69.36</v>
      </c>
      <c r="J118" s="2"/>
    </row>
    <row r="119" spans="1:12">
      <c r="A119" t="s">
        <v>482</v>
      </c>
      <c r="B119" s="1">
        <v>41305</v>
      </c>
      <c r="C119" t="s">
        <v>483</v>
      </c>
      <c r="D119">
        <v>1</v>
      </c>
      <c r="E119" t="s">
        <v>484</v>
      </c>
      <c r="F119" s="27" t="s">
        <v>898</v>
      </c>
      <c r="G119" s="28" t="s">
        <v>899</v>
      </c>
      <c r="H119" s="47">
        <f t="shared" si="4"/>
        <v>286.875</v>
      </c>
      <c r="I119" s="47">
        <v>45.9</v>
      </c>
      <c r="J119" s="2"/>
    </row>
    <row r="120" spans="1:12">
      <c r="A120" t="s">
        <v>482</v>
      </c>
      <c r="B120" s="1">
        <v>41305</v>
      </c>
      <c r="C120" t="s">
        <v>483</v>
      </c>
      <c r="D120">
        <v>1</v>
      </c>
      <c r="E120" t="s">
        <v>484</v>
      </c>
      <c r="F120" s="37" t="s">
        <v>948</v>
      </c>
      <c r="G120" t="s">
        <v>947</v>
      </c>
      <c r="H120" s="46">
        <f t="shared" si="4"/>
        <v>193.9375</v>
      </c>
      <c r="I120" s="46">
        <v>31.03</v>
      </c>
      <c r="J120" s="2"/>
    </row>
    <row r="121" spans="1:12">
      <c r="A121" t="s">
        <v>482</v>
      </c>
      <c r="B121" s="1">
        <v>41305</v>
      </c>
      <c r="C121" t="s">
        <v>483</v>
      </c>
      <c r="D121">
        <v>1</v>
      </c>
      <c r="E121" t="s">
        <v>484</v>
      </c>
      <c r="F121" s="37" t="s">
        <v>948</v>
      </c>
      <c r="G121" t="s">
        <v>947</v>
      </c>
      <c r="H121" s="46">
        <f t="shared" si="4"/>
        <v>387.6875</v>
      </c>
      <c r="I121" s="46">
        <f>34.62+27.41</f>
        <v>62.03</v>
      </c>
      <c r="J121" s="2">
        <f>2746.81-H111-H112-H113-H114-H115-H116-H117-H118-H119-H120-H121</f>
        <v>-2.5000000000545697E-3</v>
      </c>
      <c r="K121" s="14">
        <f>439.49-I111-I112-I113-I114-I116-I115-I117-I118-I119-I120-I121</f>
        <v>0</v>
      </c>
      <c r="L121" t="s">
        <v>900</v>
      </c>
    </row>
    <row r="122" spans="1:12">
      <c r="A122" t="s">
        <v>485</v>
      </c>
      <c r="B122" s="1">
        <v>41305</v>
      </c>
      <c r="C122" t="s">
        <v>486</v>
      </c>
      <c r="D122">
        <v>1</v>
      </c>
      <c r="E122" t="s">
        <v>487</v>
      </c>
      <c r="F122" s="8" t="s">
        <v>1706</v>
      </c>
      <c r="G122" s="9" t="s">
        <v>1707</v>
      </c>
      <c r="H122" s="65">
        <f t="shared" si="4"/>
        <v>56.000000000000007</v>
      </c>
      <c r="I122" s="65">
        <v>8.9600000000000009</v>
      </c>
      <c r="J122" s="3"/>
      <c r="K122" s="3"/>
    </row>
    <row r="123" spans="1:12">
      <c r="A123" t="s">
        <v>485</v>
      </c>
      <c r="B123" s="1">
        <v>41305</v>
      </c>
      <c r="C123" t="s">
        <v>486</v>
      </c>
      <c r="D123">
        <v>1</v>
      </c>
      <c r="E123" t="s">
        <v>487</v>
      </c>
      <c r="F123" s="27" t="s">
        <v>894</v>
      </c>
      <c r="G123" s="28" t="s">
        <v>895</v>
      </c>
      <c r="H123" s="47">
        <f t="shared" si="4"/>
        <v>333.4375</v>
      </c>
      <c r="I123" s="47">
        <v>53.35</v>
      </c>
      <c r="J123" s="2"/>
      <c r="K123" s="14"/>
      <c r="L123" t="s">
        <v>900</v>
      </c>
    </row>
    <row r="124" spans="1:12">
      <c r="A124" t="s">
        <v>485</v>
      </c>
      <c r="B124" s="1">
        <v>41305</v>
      </c>
      <c r="C124" t="s">
        <v>486</v>
      </c>
      <c r="D124">
        <v>1</v>
      </c>
      <c r="E124" t="s">
        <v>487</v>
      </c>
      <c r="F124" s="37" t="s">
        <v>948</v>
      </c>
      <c r="G124" s="28" t="s">
        <v>948</v>
      </c>
      <c r="H124" s="47">
        <f>+I124/0.16</f>
        <v>11.4375</v>
      </c>
      <c r="I124" s="47">
        <v>1.83</v>
      </c>
      <c r="J124" s="2"/>
      <c r="K124" s="14"/>
    </row>
    <row r="125" spans="1:12">
      <c r="A125" t="s">
        <v>488</v>
      </c>
      <c r="B125" s="1">
        <v>41305</v>
      </c>
      <c r="C125" t="s">
        <v>489</v>
      </c>
      <c r="D125">
        <v>1</v>
      </c>
      <c r="E125" t="s">
        <v>490</v>
      </c>
      <c r="F125" s="37" t="s">
        <v>948</v>
      </c>
      <c r="G125" s="33" t="s">
        <v>947</v>
      </c>
      <c r="H125" s="46">
        <f t="shared" ref="H125:H136" si="5">I125/0.16</f>
        <v>569.25</v>
      </c>
      <c r="I125" s="46">
        <f>86.77+4.31</f>
        <v>91.08</v>
      </c>
      <c r="J125" s="3"/>
      <c r="K125" s="3"/>
    </row>
    <row r="126" spans="1:12">
      <c r="A126" t="s">
        <v>488</v>
      </c>
      <c r="B126" s="1">
        <v>41305</v>
      </c>
      <c r="C126" t="s">
        <v>489</v>
      </c>
      <c r="D126">
        <v>1</v>
      </c>
      <c r="E126" t="s">
        <v>490</v>
      </c>
      <c r="F126" s="8" t="s">
        <v>1649</v>
      </c>
      <c r="G126" s="9" t="s">
        <v>1650</v>
      </c>
      <c r="H126" s="65">
        <f t="shared" si="5"/>
        <v>69.8125</v>
      </c>
      <c r="I126" s="131">
        <v>11.17</v>
      </c>
      <c r="J126" s="2"/>
      <c r="K126" s="14"/>
    </row>
    <row r="127" spans="1:12">
      <c r="A127" t="s">
        <v>488</v>
      </c>
      <c r="B127" s="1">
        <v>41305</v>
      </c>
      <c r="C127" t="s">
        <v>489</v>
      </c>
      <c r="D127">
        <v>1</v>
      </c>
      <c r="E127" t="s">
        <v>490</v>
      </c>
      <c r="F127" s="27" t="s">
        <v>3794</v>
      </c>
      <c r="G127" s="28" t="s">
        <v>3795</v>
      </c>
      <c r="H127" s="47">
        <f t="shared" si="5"/>
        <v>541.875</v>
      </c>
      <c r="I127" s="47">
        <v>86.7</v>
      </c>
      <c r="J127" s="2"/>
      <c r="K127" s="14"/>
    </row>
    <row r="128" spans="1:12">
      <c r="A128" t="s">
        <v>488</v>
      </c>
      <c r="B128" s="1">
        <v>41305</v>
      </c>
      <c r="C128" t="s">
        <v>489</v>
      </c>
      <c r="D128">
        <v>1</v>
      </c>
      <c r="E128" t="s">
        <v>490</v>
      </c>
      <c r="F128" s="27" t="s">
        <v>923</v>
      </c>
      <c r="G128" s="28" t="s">
        <v>924</v>
      </c>
      <c r="H128" s="47">
        <f t="shared" si="5"/>
        <v>250.12500000000003</v>
      </c>
      <c r="I128" s="47">
        <v>40.020000000000003</v>
      </c>
      <c r="J128" s="2">
        <f>1431.06-H125-H126-H127-H128</f>
        <v>-2.5000000000829914E-3</v>
      </c>
      <c r="K128" s="14">
        <f>228.97-I125-I126-I127-I128</f>
        <v>0</v>
      </c>
      <c r="L128" t="s">
        <v>900</v>
      </c>
    </row>
    <row r="129" spans="1:12">
      <c r="A129" t="s">
        <v>491</v>
      </c>
      <c r="B129" s="1">
        <v>41305</v>
      </c>
      <c r="C129" t="s">
        <v>492</v>
      </c>
      <c r="D129">
        <v>1</v>
      </c>
      <c r="E129" t="s">
        <v>493</v>
      </c>
      <c r="F129" s="37" t="s">
        <v>948</v>
      </c>
      <c r="G129" t="s">
        <v>947</v>
      </c>
      <c r="H129" s="3">
        <f t="shared" si="5"/>
        <v>336.9375</v>
      </c>
      <c r="I129" s="46">
        <f>51.85+2.06</f>
        <v>53.910000000000004</v>
      </c>
      <c r="J129" s="3"/>
      <c r="K129" s="3"/>
    </row>
    <row r="130" spans="1:12">
      <c r="A130" t="s">
        <v>491</v>
      </c>
      <c r="B130" s="1">
        <v>41305</v>
      </c>
      <c r="C130" t="s">
        <v>492</v>
      </c>
      <c r="D130">
        <v>1</v>
      </c>
      <c r="E130" t="s">
        <v>493</v>
      </c>
      <c r="F130" s="27" t="s">
        <v>939</v>
      </c>
      <c r="G130" s="28" t="s">
        <v>940</v>
      </c>
      <c r="H130" s="47">
        <f t="shared" si="5"/>
        <v>375.125</v>
      </c>
      <c r="I130" s="131">
        <v>60.02</v>
      </c>
      <c r="J130" s="2">
        <f>712.06-H129-H130</f>
        <v>-2.5000000000545697E-3</v>
      </c>
      <c r="K130" s="14">
        <f>113.93-I129-I130</f>
        <v>0</v>
      </c>
      <c r="L130" t="s">
        <v>900</v>
      </c>
    </row>
    <row r="131" spans="1:12">
      <c r="A131" t="s">
        <v>494</v>
      </c>
      <c r="B131" s="1">
        <v>41305</v>
      </c>
      <c r="C131" t="s">
        <v>495</v>
      </c>
      <c r="D131">
        <v>1</v>
      </c>
      <c r="E131" t="s">
        <v>496</v>
      </c>
      <c r="F131" s="8" t="s">
        <v>2905</v>
      </c>
      <c r="G131" s="9" t="s">
        <v>2906</v>
      </c>
      <c r="H131" s="65">
        <f t="shared" si="5"/>
        <v>99.125</v>
      </c>
      <c r="I131" s="65">
        <v>15.86</v>
      </c>
      <c r="J131" s="3"/>
      <c r="K131" s="3"/>
    </row>
    <row r="132" spans="1:12">
      <c r="A132" t="s">
        <v>494</v>
      </c>
      <c r="B132" s="1">
        <v>41305</v>
      </c>
      <c r="C132" t="s">
        <v>495</v>
      </c>
      <c r="D132">
        <v>1</v>
      </c>
      <c r="E132" t="s">
        <v>496</v>
      </c>
      <c r="F132" s="27" t="s">
        <v>7060</v>
      </c>
      <c r="G132" s="28" t="s">
        <v>7061</v>
      </c>
      <c r="H132" s="47">
        <f t="shared" si="5"/>
        <v>693.9375</v>
      </c>
      <c r="I132" s="47">
        <v>111.03</v>
      </c>
      <c r="J132" s="2"/>
      <c r="K132" s="14"/>
    </row>
    <row r="133" spans="1:12">
      <c r="A133" t="s">
        <v>494</v>
      </c>
      <c r="B133" s="1">
        <v>41305</v>
      </c>
      <c r="C133" t="s">
        <v>495</v>
      </c>
      <c r="D133">
        <v>1</v>
      </c>
      <c r="E133" t="s">
        <v>496</v>
      </c>
      <c r="F133" s="27" t="s">
        <v>937</v>
      </c>
      <c r="G133" s="28" t="s">
        <v>938</v>
      </c>
      <c r="H133" s="47">
        <f t="shared" si="5"/>
        <v>225.06249999999997</v>
      </c>
      <c r="I133" s="47">
        <v>36.01</v>
      </c>
      <c r="J133" s="2"/>
      <c r="K133" s="14"/>
    </row>
    <row r="134" spans="1:12">
      <c r="A134" t="s">
        <v>494</v>
      </c>
      <c r="B134" s="1">
        <v>41305</v>
      </c>
      <c r="C134" t="s">
        <v>495</v>
      </c>
      <c r="D134">
        <v>1</v>
      </c>
      <c r="E134" t="s">
        <v>496</v>
      </c>
      <c r="F134" s="37" t="s">
        <v>948</v>
      </c>
      <c r="G134" t="s">
        <v>947</v>
      </c>
      <c r="H134" s="3">
        <f t="shared" si="5"/>
        <v>621.875</v>
      </c>
      <c r="I134" s="46">
        <f>94.51+4.99</f>
        <v>99.5</v>
      </c>
      <c r="J134" s="2">
        <f>1640-H131-H132-H133-H134</f>
        <v>0</v>
      </c>
      <c r="K134" s="14">
        <f>262.4-I131-I132-I133-I134</f>
        <v>0</v>
      </c>
      <c r="L134" t="s">
        <v>900</v>
      </c>
    </row>
    <row r="135" spans="1:12">
      <c r="A135" t="s">
        <v>497</v>
      </c>
      <c r="B135" s="1">
        <v>41305</v>
      </c>
      <c r="C135" t="s">
        <v>498</v>
      </c>
      <c r="D135">
        <v>1</v>
      </c>
      <c r="E135" t="s">
        <v>499</v>
      </c>
      <c r="F135" s="8" t="s">
        <v>1706</v>
      </c>
      <c r="G135" s="9" t="s">
        <v>1707</v>
      </c>
      <c r="H135" s="65">
        <f t="shared" si="5"/>
        <v>56.000000000000007</v>
      </c>
      <c r="I135" s="80">
        <v>8.9600000000000009</v>
      </c>
      <c r="J135" s="3"/>
      <c r="K135" s="3"/>
    </row>
    <row r="136" spans="1:12">
      <c r="A136" t="s">
        <v>497</v>
      </c>
      <c r="B136" s="1">
        <v>41305</v>
      </c>
      <c r="C136" t="s">
        <v>498</v>
      </c>
      <c r="D136">
        <v>1</v>
      </c>
      <c r="E136" t="s">
        <v>499</v>
      </c>
      <c r="F136" s="8" t="s">
        <v>901</v>
      </c>
      <c r="G136" s="9" t="s">
        <v>902</v>
      </c>
      <c r="H136" s="65">
        <f t="shared" si="5"/>
        <v>340.5</v>
      </c>
      <c r="I136" s="80">
        <v>54.48</v>
      </c>
      <c r="J136" s="2"/>
      <c r="K136" s="14"/>
      <c r="L136" t="s">
        <v>900</v>
      </c>
    </row>
    <row r="137" spans="1:12">
      <c r="A137" t="s">
        <v>497</v>
      </c>
      <c r="B137" s="1">
        <v>41305</v>
      </c>
      <c r="C137" t="s">
        <v>498</v>
      </c>
      <c r="D137">
        <v>1</v>
      </c>
      <c r="E137" t="s">
        <v>499</v>
      </c>
      <c r="F137" s="37" t="s">
        <v>948</v>
      </c>
      <c r="G137" s="9" t="s">
        <v>948</v>
      </c>
      <c r="H137" s="65">
        <f>+I137/0.16</f>
        <v>11.625</v>
      </c>
      <c r="I137" s="80">
        <v>1.86</v>
      </c>
      <c r="J137" s="2"/>
      <c r="K137" s="14"/>
    </row>
    <row r="138" spans="1:12">
      <c r="A138" t="s">
        <v>500</v>
      </c>
      <c r="B138" s="1">
        <v>41305</v>
      </c>
      <c r="C138" t="s">
        <v>501</v>
      </c>
      <c r="D138">
        <v>1</v>
      </c>
      <c r="E138" t="s">
        <v>502</v>
      </c>
      <c r="F138" s="37" t="s">
        <v>948</v>
      </c>
      <c r="G138" t="s">
        <v>947</v>
      </c>
      <c r="H138" s="3">
        <f t="shared" ref="H138:H147" si="6">I138/0.16</f>
        <v>266.3125</v>
      </c>
      <c r="I138" s="3">
        <f>28.56+14.05</f>
        <v>42.61</v>
      </c>
      <c r="J138" s="3"/>
      <c r="K138" s="3"/>
    </row>
    <row r="139" spans="1:12">
      <c r="A139" t="s">
        <v>500</v>
      </c>
      <c r="B139" s="1">
        <v>41305</v>
      </c>
      <c r="C139" t="s">
        <v>501</v>
      </c>
      <c r="D139">
        <v>1</v>
      </c>
      <c r="E139" t="s">
        <v>502</v>
      </c>
      <c r="F139" s="8" t="s">
        <v>1649</v>
      </c>
      <c r="G139" s="9" t="s">
        <v>1650</v>
      </c>
      <c r="H139" s="65">
        <f t="shared" si="6"/>
        <v>94.8125</v>
      </c>
      <c r="I139" s="131">
        <v>15.17</v>
      </c>
      <c r="J139" s="2"/>
      <c r="K139" s="14"/>
    </row>
    <row r="140" spans="1:12">
      <c r="A140" t="s">
        <v>500</v>
      </c>
      <c r="B140" s="1">
        <v>41305</v>
      </c>
      <c r="C140" t="s">
        <v>501</v>
      </c>
      <c r="D140">
        <v>1</v>
      </c>
      <c r="E140" t="s">
        <v>502</v>
      </c>
      <c r="F140" s="27" t="s">
        <v>2898</v>
      </c>
      <c r="G140" s="28" t="s">
        <v>1697</v>
      </c>
      <c r="H140" s="47">
        <f t="shared" si="6"/>
        <v>291.8125</v>
      </c>
      <c r="I140" s="47">
        <v>46.69</v>
      </c>
      <c r="J140" s="2"/>
      <c r="K140" s="14"/>
    </row>
    <row r="141" spans="1:12">
      <c r="A141" t="s">
        <v>500</v>
      </c>
      <c r="B141" s="1">
        <v>41305</v>
      </c>
      <c r="C141" t="s">
        <v>501</v>
      </c>
      <c r="D141">
        <v>1</v>
      </c>
      <c r="E141" t="s">
        <v>502</v>
      </c>
      <c r="F141" s="8" t="s">
        <v>911</v>
      </c>
      <c r="G141" s="9" t="s">
        <v>912</v>
      </c>
      <c r="H141" s="65">
        <f t="shared" si="6"/>
        <v>666.9375</v>
      </c>
      <c r="I141" s="65">
        <v>106.71</v>
      </c>
      <c r="J141" s="2"/>
      <c r="K141" s="14">
        <f>221.18-I138-I139-I140-I141</f>
        <v>10.000000000000014</v>
      </c>
      <c r="L141" t="s">
        <v>900</v>
      </c>
    </row>
    <row r="142" spans="1:12">
      <c r="A142" t="s">
        <v>503</v>
      </c>
      <c r="B142" s="1">
        <v>41305</v>
      </c>
      <c r="C142" t="s">
        <v>504</v>
      </c>
      <c r="D142">
        <v>1</v>
      </c>
      <c r="E142" t="s">
        <v>505</v>
      </c>
      <c r="F142" s="27" t="s">
        <v>1687</v>
      </c>
      <c r="G142" s="28" t="s">
        <v>1688</v>
      </c>
      <c r="H142" s="47">
        <f t="shared" si="6"/>
        <v>416.8125</v>
      </c>
      <c r="I142" s="47">
        <v>66.69</v>
      </c>
      <c r="J142" s="3"/>
      <c r="K142" s="3"/>
    </row>
    <row r="143" spans="1:12">
      <c r="A143" t="s">
        <v>503</v>
      </c>
      <c r="B143" s="1">
        <v>41305</v>
      </c>
      <c r="C143" t="s">
        <v>504</v>
      </c>
      <c r="D143">
        <v>1</v>
      </c>
      <c r="E143" t="s">
        <v>505</v>
      </c>
      <c r="F143" s="8" t="s">
        <v>933</v>
      </c>
      <c r="G143" s="9" t="s">
        <v>934</v>
      </c>
      <c r="H143" s="65">
        <f t="shared" si="6"/>
        <v>55</v>
      </c>
      <c r="I143" s="65">
        <v>8.8000000000000007</v>
      </c>
      <c r="J143" s="2"/>
      <c r="K143" s="14"/>
    </row>
    <row r="144" spans="1:12">
      <c r="A144" t="s">
        <v>503</v>
      </c>
      <c r="B144" s="1">
        <v>41305</v>
      </c>
      <c r="C144" t="s">
        <v>504</v>
      </c>
      <c r="D144">
        <v>1</v>
      </c>
      <c r="E144" t="s">
        <v>505</v>
      </c>
      <c r="F144" s="37" t="s">
        <v>948</v>
      </c>
      <c r="G144" t="s">
        <v>947</v>
      </c>
      <c r="H144" s="46">
        <f t="shared" si="6"/>
        <v>406.4375</v>
      </c>
      <c r="I144" s="46">
        <f>62.77+2.26</f>
        <v>65.03</v>
      </c>
      <c r="J144" s="2">
        <f>878.25-H142-H143-H144</f>
        <v>0</v>
      </c>
      <c r="K144" s="14">
        <f>140.52-I142-I143-I144</f>
        <v>0</v>
      </c>
      <c r="L144" t="s">
        <v>900</v>
      </c>
    </row>
    <row r="145" spans="1:12">
      <c r="A145" t="s">
        <v>506</v>
      </c>
      <c r="B145" s="1">
        <v>41305</v>
      </c>
      <c r="C145" t="s">
        <v>507</v>
      </c>
      <c r="D145">
        <v>1</v>
      </c>
      <c r="E145" t="s">
        <v>508</v>
      </c>
      <c r="F145" s="8" t="s">
        <v>941</v>
      </c>
      <c r="G145" s="9" t="s">
        <v>942</v>
      </c>
      <c r="H145" s="65">
        <f t="shared" si="6"/>
        <v>62.0625</v>
      </c>
      <c r="I145" s="131">
        <v>9.93</v>
      </c>
      <c r="J145" s="3"/>
      <c r="K145" s="3"/>
    </row>
    <row r="146" spans="1:12">
      <c r="A146" t="s">
        <v>506</v>
      </c>
      <c r="B146" s="1">
        <v>41305</v>
      </c>
      <c r="C146" t="s">
        <v>507</v>
      </c>
      <c r="D146">
        <v>1</v>
      </c>
      <c r="E146" t="s">
        <v>508</v>
      </c>
      <c r="F146" s="8" t="s">
        <v>6322</v>
      </c>
      <c r="G146" s="9" t="s">
        <v>6323</v>
      </c>
      <c r="H146" s="65">
        <f t="shared" si="6"/>
        <v>337.625</v>
      </c>
      <c r="I146" s="65">
        <v>54.02</v>
      </c>
      <c r="J146" s="2"/>
      <c r="K146" s="14"/>
    </row>
    <row r="147" spans="1:12">
      <c r="A147" t="s">
        <v>506</v>
      </c>
      <c r="B147" s="1">
        <v>41305</v>
      </c>
      <c r="C147" t="s">
        <v>507</v>
      </c>
      <c r="D147">
        <v>1</v>
      </c>
      <c r="E147" t="s">
        <v>508</v>
      </c>
      <c r="F147" s="37" t="s">
        <v>948</v>
      </c>
      <c r="G147" t="s">
        <v>947</v>
      </c>
      <c r="H147" s="46">
        <f t="shared" si="6"/>
        <v>234.8125</v>
      </c>
      <c r="I147" s="46">
        <f>35.73+1.84</f>
        <v>37.57</v>
      </c>
      <c r="J147" s="2">
        <f>634.5-H145-H146-H147</f>
        <v>0</v>
      </c>
      <c r="K147" s="14">
        <f>101.52-I145-I146-I147</f>
        <v>0</v>
      </c>
      <c r="L147" t="s">
        <v>900</v>
      </c>
    </row>
    <row r="148" spans="1:12">
      <c r="A148" t="s">
        <v>509</v>
      </c>
      <c r="B148" s="1">
        <v>41305</v>
      </c>
      <c r="C148" t="s">
        <v>510</v>
      </c>
      <c r="D148">
        <v>1</v>
      </c>
      <c r="E148" t="s">
        <v>511</v>
      </c>
      <c r="F148" s="8" t="s">
        <v>869</v>
      </c>
      <c r="G148" s="9" t="s">
        <v>870</v>
      </c>
      <c r="H148" s="3">
        <f t="shared" ref="H148:H189" si="7">I148*100/16</f>
        <v>25</v>
      </c>
      <c r="I148" s="3">
        <v>4</v>
      </c>
      <c r="J148" s="2"/>
    </row>
    <row r="149" spans="1:12">
      <c r="A149" t="s">
        <v>512</v>
      </c>
      <c r="B149" s="1">
        <v>41305</v>
      </c>
      <c r="C149" t="s">
        <v>513</v>
      </c>
      <c r="D149">
        <v>1</v>
      </c>
      <c r="E149" t="s">
        <v>514</v>
      </c>
      <c r="F149" s="8" t="s">
        <v>773</v>
      </c>
      <c r="G149" s="9" t="s">
        <v>774</v>
      </c>
      <c r="H149" s="3">
        <f t="shared" si="7"/>
        <v>44.8125</v>
      </c>
      <c r="I149" s="3">
        <v>7.17</v>
      </c>
      <c r="J149" s="2"/>
    </row>
    <row r="150" spans="1:12">
      <c r="A150" t="s">
        <v>515</v>
      </c>
      <c r="B150" s="1">
        <v>41305</v>
      </c>
      <c r="C150" t="s">
        <v>516</v>
      </c>
      <c r="D150">
        <v>1</v>
      </c>
      <c r="E150" t="s">
        <v>517</v>
      </c>
      <c r="F150" s="8" t="s">
        <v>738</v>
      </c>
      <c r="G150" s="9" t="s">
        <v>517</v>
      </c>
      <c r="H150" s="3">
        <f t="shared" si="7"/>
        <v>163.0625</v>
      </c>
      <c r="I150" s="3">
        <v>26.09</v>
      </c>
      <c r="J150" s="2"/>
      <c r="K150" s="2"/>
    </row>
    <row r="151" spans="1:12">
      <c r="A151" t="s">
        <v>518</v>
      </c>
      <c r="B151" s="1">
        <v>41305</v>
      </c>
      <c r="C151" t="s">
        <v>519</v>
      </c>
      <c r="D151">
        <v>1</v>
      </c>
      <c r="E151" t="s">
        <v>520</v>
      </c>
      <c r="F151" s="8" t="s">
        <v>837</v>
      </c>
      <c r="G151" s="9" t="s">
        <v>520</v>
      </c>
      <c r="H151" s="3">
        <f t="shared" si="7"/>
        <v>931.0625</v>
      </c>
      <c r="I151" s="3">
        <v>148.97</v>
      </c>
      <c r="J151" s="2"/>
    </row>
    <row r="152" spans="1:12">
      <c r="A152" t="s">
        <v>521</v>
      </c>
      <c r="B152" s="1">
        <v>41305</v>
      </c>
      <c r="C152" t="s">
        <v>522</v>
      </c>
      <c r="D152">
        <v>1</v>
      </c>
      <c r="E152" t="s">
        <v>523</v>
      </c>
      <c r="F152" s="8" t="s">
        <v>880</v>
      </c>
      <c r="G152" s="9" t="s">
        <v>881</v>
      </c>
      <c r="H152" s="3">
        <f t="shared" si="7"/>
        <v>52.1875</v>
      </c>
      <c r="I152" s="3">
        <v>8.35</v>
      </c>
      <c r="J152" s="2"/>
    </row>
    <row r="153" spans="1:12">
      <c r="A153" t="s">
        <v>524</v>
      </c>
      <c r="B153" s="1">
        <v>41305</v>
      </c>
      <c r="C153" t="s">
        <v>525</v>
      </c>
      <c r="D153">
        <v>1</v>
      </c>
      <c r="E153" t="s">
        <v>526</v>
      </c>
      <c r="F153" s="8" t="s">
        <v>840</v>
      </c>
      <c r="G153" s="9" t="s">
        <v>841</v>
      </c>
      <c r="H153" s="3">
        <f t="shared" si="7"/>
        <v>600</v>
      </c>
      <c r="I153" s="3">
        <v>96</v>
      </c>
      <c r="J153" s="2"/>
    </row>
    <row r="154" spans="1:12">
      <c r="A154" t="s">
        <v>527</v>
      </c>
      <c r="B154" s="1">
        <v>41305</v>
      </c>
      <c r="C154" t="s">
        <v>528</v>
      </c>
      <c r="D154">
        <v>1</v>
      </c>
      <c r="E154" t="s">
        <v>529</v>
      </c>
      <c r="F154" s="8" t="s">
        <v>871</v>
      </c>
      <c r="G154" s="9" t="s">
        <v>872</v>
      </c>
      <c r="H154" s="3">
        <f t="shared" si="7"/>
        <v>1154.3125</v>
      </c>
      <c r="I154" s="3">
        <v>184.69</v>
      </c>
      <c r="J154" s="2" t="e">
        <f>+H154-#REF!</f>
        <v>#REF!</v>
      </c>
      <c r="K154" s="14" t="e">
        <f>+I154-#REF!</f>
        <v>#REF!</v>
      </c>
      <c r="L154" t="s">
        <v>796</v>
      </c>
    </row>
    <row r="155" spans="1:12">
      <c r="A155" t="s">
        <v>530</v>
      </c>
      <c r="B155" s="1">
        <v>41305</v>
      </c>
      <c r="C155" t="s">
        <v>531</v>
      </c>
      <c r="D155">
        <v>1</v>
      </c>
      <c r="E155" t="s">
        <v>532</v>
      </c>
      <c r="F155" s="8" t="s">
        <v>809</v>
      </c>
      <c r="G155" s="9" t="s">
        <v>810</v>
      </c>
      <c r="H155" s="3">
        <f t="shared" si="7"/>
        <v>529.3125</v>
      </c>
      <c r="I155" s="3">
        <v>84.69</v>
      </c>
      <c r="J155" s="2"/>
    </row>
    <row r="156" spans="1:12">
      <c r="A156" t="s">
        <v>533</v>
      </c>
      <c r="B156" s="1">
        <v>41305</v>
      </c>
      <c r="C156" t="s">
        <v>534</v>
      </c>
      <c r="D156">
        <v>1</v>
      </c>
      <c r="E156" t="s">
        <v>535</v>
      </c>
      <c r="F156" s="8" t="s">
        <v>884</v>
      </c>
      <c r="G156" s="9" t="s">
        <v>885</v>
      </c>
      <c r="H156" s="3">
        <f t="shared" si="7"/>
        <v>689.6875</v>
      </c>
      <c r="I156" s="3">
        <v>110.35</v>
      </c>
      <c r="J156" s="2"/>
    </row>
    <row r="157" spans="1:12">
      <c r="A157" t="s">
        <v>536</v>
      </c>
      <c r="B157" s="1">
        <v>41305</v>
      </c>
      <c r="C157" t="s">
        <v>537</v>
      </c>
      <c r="D157">
        <v>1</v>
      </c>
      <c r="E157" t="s">
        <v>538</v>
      </c>
      <c r="F157" s="8" t="s">
        <v>863</v>
      </c>
      <c r="G157" s="9" t="s">
        <v>864</v>
      </c>
      <c r="H157" s="3">
        <f t="shared" si="7"/>
        <v>137.0625</v>
      </c>
      <c r="I157" s="3">
        <v>21.93</v>
      </c>
      <c r="J157" s="2"/>
    </row>
    <row r="158" spans="1:12">
      <c r="A158" t="s">
        <v>539</v>
      </c>
      <c r="B158" s="1">
        <v>41305</v>
      </c>
      <c r="C158" t="s">
        <v>540</v>
      </c>
      <c r="D158">
        <v>1</v>
      </c>
      <c r="E158" t="s">
        <v>541</v>
      </c>
      <c r="F158" s="8" t="s">
        <v>847</v>
      </c>
      <c r="G158" s="9" t="s">
        <v>848</v>
      </c>
      <c r="H158" s="3">
        <f t="shared" si="7"/>
        <v>93.125</v>
      </c>
      <c r="I158" s="3">
        <v>14.9</v>
      </c>
      <c r="J158" s="2"/>
    </row>
    <row r="159" spans="1:12">
      <c r="A159" t="s">
        <v>542</v>
      </c>
      <c r="B159" s="1">
        <v>41305</v>
      </c>
      <c r="C159" t="s">
        <v>543</v>
      </c>
      <c r="D159">
        <v>1</v>
      </c>
      <c r="E159" t="s">
        <v>544</v>
      </c>
      <c r="F159" s="8" t="s">
        <v>778</v>
      </c>
      <c r="G159" s="9" t="s">
        <v>779</v>
      </c>
      <c r="H159" s="3">
        <f t="shared" si="7"/>
        <v>1000</v>
      </c>
      <c r="I159" s="3">
        <v>160</v>
      </c>
      <c r="J159" s="2"/>
    </row>
    <row r="160" spans="1:12">
      <c r="A160" t="s">
        <v>545</v>
      </c>
      <c r="B160" s="1">
        <v>41305</v>
      </c>
      <c r="C160" t="s">
        <v>546</v>
      </c>
      <c r="D160">
        <v>1</v>
      </c>
      <c r="E160" t="s">
        <v>97</v>
      </c>
      <c r="F160" s="8" t="s">
        <v>820</v>
      </c>
      <c r="G160" s="9" t="s">
        <v>97</v>
      </c>
      <c r="H160" s="3">
        <f t="shared" si="7"/>
        <v>980.00000000000011</v>
      </c>
      <c r="I160" s="3">
        <v>156.80000000000001</v>
      </c>
      <c r="J160" s="2"/>
    </row>
    <row r="161" spans="1:11">
      <c r="A161" t="s">
        <v>547</v>
      </c>
      <c r="B161" s="1">
        <v>41305</v>
      </c>
      <c r="C161" t="s">
        <v>548</v>
      </c>
      <c r="D161">
        <v>1</v>
      </c>
      <c r="E161" t="s">
        <v>549</v>
      </c>
      <c r="F161" s="8" t="s">
        <v>767</v>
      </c>
      <c r="G161" s="9" t="s">
        <v>768</v>
      </c>
      <c r="H161" s="3">
        <f t="shared" si="7"/>
        <v>929.81250000000011</v>
      </c>
      <c r="I161" s="3">
        <v>148.77000000000001</v>
      </c>
      <c r="J161" s="2"/>
    </row>
    <row r="162" spans="1:11">
      <c r="A162" t="s">
        <v>550</v>
      </c>
      <c r="B162" s="1">
        <v>41305</v>
      </c>
      <c r="C162" t="s">
        <v>551</v>
      </c>
      <c r="D162">
        <v>1</v>
      </c>
      <c r="E162" t="s">
        <v>552</v>
      </c>
      <c r="F162" s="8" t="s">
        <v>752</v>
      </c>
      <c r="G162" s="9" t="s">
        <v>753</v>
      </c>
      <c r="H162" s="3">
        <f t="shared" si="7"/>
        <v>59.5</v>
      </c>
      <c r="I162" s="3">
        <v>9.52</v>
      </c>
      <c r="J162" s="2"/>
    </row>
    <row r="163" spans="1:11">
      <c r="A163" t="s">
        <v>553</v>
      </c>
      <c r="B163" s="1">
        <v>41305</v>
      </c>
      <c r="C163" t="s">
        <v>554</v>
      </c>
      <c r="D163">
        <v>1</v>
      </c>
      <c r="E163" t="s">
        <v>555</v>
      </c>
      <c r="F163" s="8" t="s">
        <v>751</v>
      </c>
      <c r="G163" s="9" t="s">
        <v>555</v>
      </c>
      <c r="H163" s="3">
        <f t="shared" si="7"/>
        <v>172.4375</v>
      </c>
      <c r="I163" s="3">
        <v>27.59</v>
      </c>
      <c r="J163" s="2"/>
    </row>
    <row r="164" spans="1:11">
      <c r="A164" t="s">
        <v>556</v>
      </c>
      <c r="B164" s="1">
        <v>41305</v>
      </c>
      <c r="C164" t="s">
        <v>557</v>
      </c>
      <c r="D164">
        <v>1</v>
      </c>
      <c r="E164" t="s">
        <v>558</v>
      </c>
      <c r="F164" s="8" t="s">
        <v>836</v>
      </c>
      <c r="G164" s="9" t="s">
        <v>558</v>
      </c>
      <c r="H164" s="3">
        <f t="shared" si="7"/>
        <v>40</v>
      </c>
      <c r="I164" s="3">
        <v>6.4</v>
      </c>
      <c r="J164" s="2"/>
    </row>
    <row r="165" spans="1:11">
      <c r="A165" t="s">
        <v>559</v>
      </c>
      <c r="B165" s="1">
        <v>41305</v>
      </c>
      <c r="C165" t="s">
        <v>560</v>
      </c>
      <c r="D165">
        <v>1</v>
      </c>
      <c r="E165" t="s">
        <v>561</v>
      </c>
      <c r="F165" s="15" t="s">
        <v>811</v>
      </c>
      <c r="G165" s="16" t="s">
        <v>812</v>
      </c>
      <c r="H165" s="3">
        <f t="shared" si="7"/>
        <v>1028</v>
      </c>
      <c r="I165" s="3">
        <v>164.48</v>
      </c>
      <c r="J165" s="2"/>
    </row>
    <row r="166" spans="1:11">
      <c r="A166" t="s">
        <v>562</v>
      </c>
      <c r="B166" s="1">
        <v>41305</v>
      </c>
      <c r="C166" t="s">
        <v>563</v>
      </c>
      <c r="D166">
        <v>1</v>
      </c>
      <c r="E166" t="s">
        <v>535</v>
      </c>
      <c r="F166" s="8" t="s">
        <v>884</v>
      </c>
      <c r="G166" s="9" t="s">
        <v>885</v>
      </c>
      <c r="H166" s="3">
        <f t="shared" si="7"/>
        <v>344.8125</v>
      </c>
      <c r="I166" s="3">
        <v>55.17</v>
      </c>
      <c r="J166" s="2"/>
    </row>
    <row r="167" spans="1:11">
      <c r="A167" t="s">
        <v>564</v>
      </c>
      <c r="B167" s="1">
        <v>41305</v>
      </c>
      <c r="C167" t="s">
        <v>565</v>
      </c>
      <c r="D167">
        <v>1</v>
      </c>
      <c r="E167" t="s">
        <v>566</v>
      </c>
      <c r="F167" s="8" t="s">
        <v>851</v>
      </c>
      <c r="G167" s="9" t="s">
        <v>86</v>
      </c>
      <c r="H167" s="3">
        <f t="shared" si="7"/>
        <v>341.375</v>
      </c>
      <c r="I167" s="3">
        <v>54.62</v>
      </c>
      <c r="J167" s="2"/>
    </row>
    <row r="168" spans="1:11">
      <c r="A168" t="s">
        <v>567</v>
      </c>
      <c r="B168" s="1">
        <v>41305</v>
      </c>
      <c r="C168" t="s">
        <v>568</v>
      </c>
      <c r="D168">
        <v>1</v>
      </c>
      <c r="E168" t="s">
        <v>569</v>
      </c>
      <c r="F168" s="8" t="s">
        <v>788</v>
      </c>
      <c r="G168" s="9" t="s">
        <v>569</v>
      </c>
      <c r="H168" s="3">
        <f t="shared" si="7"/>
        <v>62.9375</v>
      </c>
      <c r="I168" s="3">
        <v>10.07</v>
      </c>
      <c r="J168" s="2"/>
    </row>
    <row r="169" spans="1:11">
      <c r="A169" t="s">
        <v>570</v>
      </c>
      <c r="B169" s="1">
        <v>41305</v>
      </c>
      <c r="C169" t="s">
        <v>571</v>
      </c>
      <c r="D169">
        <v>1</v>
      </c>
      <c r="E169" t="s">
        <v>572</v>
      </c>
      <c r="F169" s="8" t="s">
        <v>740</v>
      </c>
      <c r="G169" s="9" t="s">
        <v>741</v>
      </c>
      <c r="H169" s="3">
        <f t="shared" si="7"/>
        <v>88</v>
      </c>
      <c r="I169" s="3">
        <v>14.08</v>
      </c>
      <c r="J169" s="2"/>
      <c r="K169" s="2"/>
    </row>
    <row r="170" spans="1:11">
      <c r="A170" t="s">
        <v>573</v>
      </c>
      <c r="B170" s="1">
        <v>41305</v>
      </c>
      <c r="C170" t="s">
        <v>574</v>
      </c>
      <c r="D170">
        <v>1</v>
      </c>
      <c r="E170" t="s">
        <v>575</v>
      </c>
      <c r="F170" s="8" t="s">
        <v>765</v>
      </c>
      <c r="G170" s="9" t="s">
        <v>766</v>
      </c>
      <c r="H170" s="3">
        <f t="shared" si="7"/>
        <v>172.4375</v>
      </c>
      <c r="I170" s="3">
        <v>27.59</v>
      </c>
      <c r="J170" s="2"/>
    </row>
    <row r="171" spans="1:11">
      <c r="A171" t="s">
        <v>576</v>
      </c>
      <c r="B171" s="1">
        <v>41305</v>
      </c>
      <c r="C171" t="s">
        <v>577</v>
      </c>
      <c r="D171">
        <v>1</v>
      </c>
      <c r="E171" t="s">
        <v>578</v>
      </c>
      <c r="F171" s="8" t="s">
        <v>851</v>
      </c>
      <c r="G171" s="9" t="s">
        <v>86</v>
      </c>
      <c r="H171" s="3">
        <f t="shared" si="7"/>
        <v>90.5</v>
      </c>
      <c r="I171" s="3">
        <v>14.48</v>
      </c>
      <c r="J171" s="2"/>
    </row>
    <row r="172" spans="1:11">
      <c r="A172" t="s">
        <v>579</v>
      </c>
      <c r="B172" s="1">
        <v>41305</v>
      </c>
      <c r="C172" t="s">
        <v>580</v>
      </c>
      <c r="D172">
        <v>1</v>
      </c>
      <c r="E172" t="s">
        <v>581</v>
      </c>
      <c r="F172" s="8" t="s">
        <v>866</v>
      </c>
      <c r="G172" s="9" t="s">
        <v>867</v>
      </c>
      <c r="H172" s="3">
        <f t="shared" si="7"/>
        <v>941.375</v>
      </c>
      <c r="I172" s="3">
        <v>150.62</v>
      </c>
      <c r="J172" s="2"/>
    </row>
    <row r="173" spans="1:11">
      <c r="A173" t="s">
        <v>582</v>
      </c>
      <c r="B173" s="1">
        <v>41305</v>
      </c>
      <c r="C173" t="s">
        <v>583</v>
      </c>
      <c r="D173">
        <v>1</v>
      </c>
      <c r="E173" t="s">
        <v>584</v>
      </c>
      <c r="F173" s="8" t="s">
        <v>818</v>
      </c>
      <c r="G173" s="9" t="s">
        <v>819</v>
      </c>
      <c r="H173" s="3">
        <f t="shared" si="7"/>
        <v>657.5</v>
      </c>
      <c r="I173" s="3">
        <v>105.2</v>
      </c>
      <c r="J173" s="2"/>
    </row>
    <row r="174" spans="1:11">
      <c r="A174" t="s">
        <v>585</v>
      </c>
      <c r="B174" s="1">
        <v>41305</v>
      </c>
      <c r="C174" t="s">
        <v>586</v>
      </c>
      <c r="D174">
        <v>1</v>
      </c>
      <c r="E174" t="s">
        <v>587</v>
      </c>
      <c r="F174" s="8" t="s">
        <v>770</v>
      </c>
      <c r="G174" s="9" t="s">
        <v>771</v>
      </c>
      <c r="H174" s="3">
        <f t="shared" si="7"/>
        <v>250</v>
      </c>
      <c r="I174" s="3">
        <v>40</v>
      </c>
      <c r="J174" s="2"/>
    </row>
    <row r="175" spans="1:11">
      <c r="A175" t="s">
        <v>588</v>
      </c>
      <c r="B175" s="1">
        <v>41305</v>
      </c>
      <c r="C175" t="s">
        <v>589</v>
      </c>
      <c r="D175">
        <v>1</v>
      </c>
      <c r="E175" t="s">
        <v>590</v>
      </c>
      <c r="F175" s="29" t="s">
        <v>882</v>
      </c>
      <c r="G175" t="s">
        <v>883</v>
      </c>
      <c r="H175" s="3">
        <f t="shared" si="7"/>
        <v>123.1875</v>
      </c>
      <c r="I175" s="3">
        <v>19.71</v>
      </c>
      <c r="J175" s="2"/>
    </row>
    <row r="176" spans="1:11">
      <c r="A176" t="s">
        <v>591</v>
      </c>
      <c r="B176" s="1">
        <v>41305</v>
      </c>
      <c r="C176" t="s">
        <v>592</v>
      </c>
      <c r="D176">
        <v>1</v>
      </c>
      <c r="E176" t="s">
        <v>593</v>
      </c>
      <c r="F176" s="8" t="s">
        <v>852</v>
      </c>
      <c r="G176" s="9" t="s">
        <v>853</v>
      </c>
      <c r="H176" s="3">
        <f t="shared" si="7"/>
        <v>65.5</v>
      </c>
      <c r="I176" s="3">
        <v>10.48</v>
      </c>
      <c r="J176" s="2"/>
    </row>
    <row r="177" spans="1:12">
      <c r="A177" t="s">
        <v>594</v>
      </c>
      <c r="B177" s="1">
        <v>41305</v>
      </c>
      <c r="C177" t="s">
        <v>595</v>
      </c>
      <c r="D177">
        <v>1</v>
      </c>
      <c r="E177" t="s">
        <v>596</v>
      </c>
      <c r="F177" s="8" t="s">
        <v>847</v>
      </c>
      <c r="G177" s="9" t="s">
        <v>848</v>
      </c>
      <c r="H177" s="3">
        <f t="shared" si="7"/>
        <v>102.5625</v>
      </c>
      <c r="I177" s="3">
        <v>16.41</v>
      </c>
      <c r="J177" s="2"/>
    </row>
    <row r="178" spans="1:12">
      <c r="A178" t="s">
        <v>597</v>
      </c>
      <c r="B178" s="1">
        <v>41305</v>
      </c>
      <c r="C178" t="s">
        <v>598</v>
      </c>
      <c r="D178">
        <v>1</v>
      </c>
      <c r="E178" t="s">
        <v>599</v>
      </c>
      <c r="F178" s="8" t="s">
        <v>757</v>
      </c>
      <c r="G178" s="9" t="s">
        <v>758</v>
      </c>
      <c r="H178" s="3">
        <f t="shared" si="7"/>
        <v>53.75</v>
      </c>
      <c r="I178" s="3">
        <v>8.6</v>
      </c>
      <c r="J178" s="2"/>
    </row>
    <row r="179" spans="1:12">
      <c r="A179" t="s">
        <v>600</v>
      </c>
      <c r="B179" s="1">
        <v>41305</v>
      </c>
      <c r="C179" t="s">
        <v>601</v>
      </c>
      <c r="D179">
        <v>1</v>
      </c>
      <c r="E179" t="s">
        <v>602</v>
      </c>
      <c r="F179" s="8" t="s">
        <v>742</v>
      </c>
      <c r="G179" s="9" t="s">
        <v>602</v>
      </c>
      <c r="H179" s="3">
        <f t="shared" si="7"/>
        <v>60.750000000000007</v>
      </c>
      <c r="I179" s="3">
        <v>9.7200000000000006</v>
      </c>
      <c r="J179" s="2"/>
      <c r="K179" s="2"/>
    </row>
    <row r="180" spans="1:12">
      <c r="A180" t="s">
        <v>603</v>
      </c>
      <c r="B180" s="1">
        <v>41305</v>
      </c>
      <c r="C180" t="s">
        <v>604</v>
      </c>
      <c r="D180">
        <v>1</v>
      </c>
      <c r="E180" t="s">
        <v>605</v>
      </c>
      <c r="F180" s="8" t="s">
        <v>791</v>
      </c>
      <c r="G180" s="9" t="s">
        <v>605</v>
      </c>
      <c r="H180" s="3">
        <f t="shared" si="7"/>
        <v>112.8125</v>
      </c>
      <c r="I180" s="3">
        <v>18.05</v>
      </c>
      <c r="J180" s="2"/>
    </row>
    <row r="181" spans="1:12">
      <c r="A181" t="s">
        <v>606</v>
      </c>
      <c r="B181" s="1">
        <v>41305</v>
      </c>
      <c r="C181" t="s">
        <v>607</v>
      </c>
      <c r="D181">
        <v>1</v>
      </c>
      <c r="E181" t="s">
        <v>605</v>
      </c>
      <c r="F181" s="8" t="s">
        <v>791</v>
      </c>
      <c r="G181" s="9" t="s">
        <v>605</v>
      </c>
      <c r="H181" s="3">
        <f t="shared" si="7"/>
        <v>1301.75</v>
      </c>
      <c r="I181" s="3">
        <v>208.28</v>
      </c>
      <c r="J181" s="2"/>
    </row>
    <row r="182" spans="1:12">
      <c r="A182" t="s">
        <v>608</v>
      </c>
      <c r="B182" s="1">
        <v>41305</v>
      </c>
      <c r="C182" t="s">
        <v>609</v>
      </c>
      <c r="D182">
        <v>1</v>
      </c>
      <c r="E182" t="s">
        <v>584</v>
      </c>
      <c r="F182" s="8" t="s">
        <v>818</v>
      </c>
      <c r="G182" s="9" t="s">
        <v>819</v>
      </c>
      <c r="H182" s="3">
        <f t="shared" si="7"/>
        <v>240</v>
      </c>
      <c r="I182" s="3">
        <v>38.4</v>
      </c>
      <c r="J182" s="2"/>
    </row>
    <row r="183" spans="1:12">
      <c r="A183" t="s">
        <v>610</v>
      </c>
      <c r="B183" s="1">
        <v>41305</v>
      </c>
      <c r="C183" t="s">
        <v>611</v>
      </c>
      <c r="D183">
        <v>1</v>
      </c>
      <c r="E183" t="s">
        <v>612</v>
      </c>
      <c r="F183" s="8" t="s">
        <v>794</v>
      </c>
      <c r="G183" s="9" t="s">
        <v>612</v>
      </c>
      <c r="H183" s="3">
        <f t="shared" si="7"/>
        <v>38</v>
      </c>
      <c r="I183" s="3">
        <v>6.08</v>
      </c>
      <c r="J183" s="2"/>
    </row>
    <row r="184" spans="1:12">
      <c r="A184" t="s">
        <v>613</v>
      </c>
      <c r="B184" s="1">
        <v>41305</v>
      </c>
      <c r="C184" t="s">
        <v>614</v>
      </c>
      <c r="D184">
        <v>1</v>
      </c>
      <c r="E184" t="s">
        <v>615</v>
      </c>
      <c r="F184" s="8" t="s">
        <v>808</v>
      </c>
      <c r="G184" s="9" t="s">
        <v>615</v>
      </c>
      <c r="H184" s="3">
        <f t="shared" si="7"/>
        <v>344.875</v>
      </c>
      <c r="I184" s="3">
        <v>55.18</v>
      </c>
      <c r="J184" s="2"/>
    </row>
    <row r="185" spans="1:12">
      <c r="A185" t="s">
        <v>616</v>
      </c>
      <c r="B185" s="1">
        <v>41305</v>
      </c>
      <c r="C185" t="s">
        <v>617</v>
      </c>
      <c r="D185">
        <v>1</v>
      </c>
      <c r="E185" t="s">
        <v>618</v>
      </c>
      <c r="F185" s="8" t="s">
        <v>784</v>
      </c>
      <c r="G185" s="9" t="s">
        <v>785</v>
      </c>
      <c r="H185" s="3">
        <f t="shared" si="7"/>
        <v>172.4375</v>
      </c>
      <c r="I185" s="3">
        <v>27.59</v>
      </c>
      <c r="J185" s="2"/>
    </row>
    <row r="186" spans="1:12">
      <c r="A186" t="s">
        <v>619</v>
      </c>
      <c r="B186" s="1">
        <v>41305</v>
      </c>
      <c r="C186" t="s">
        <v>620</v>
      </c>
      <c r="D186">
        <v>1</v>
      </c>
      <c r="E186" t="s">
        <v>569</v>
      </c>
      <c r="F186" s="8" t="s">
        <v>788</v>
      </c>
      <c r="G186" s="9" t="s">
        <v>569</v>
      </c>
      <c r="H186" s="3">
        <f t="shared" si="7"/>
        <v>78.4375</v>
      </c>
      <c r="I186" s="3">
        <v>12.55</v>
      </c>
      <c r="J186" s="2"/>
    </row>
    <row r="187" spans="1:12">
      <c r="A187" t="s">
        <v>621</v>
      </c>
      <c r="B187" s="1">
        <v>41305</v>
      </c>
      <c r="C187" t="s">
        <v>622</v>
      </c>
      <c r="D187">
        <v>1</v>
      </c>
      <c r="E187" t="s">
        <v>623</v>
      </c>
      <c r="F187" s="8" t="s">
        <v>860</v>
      </c>
      <c r="G187" s="9" t="s">
        <v>861</v>
      </c>
      <c r="H187" s="3">
        <f t="shared" si="7"/>
        <v>57.75</v>
      </c>
      <c r="I187" s="3">
        <v>9.24</v>
      </c>
      <c r="J187" s="2"/>
    </row>
    <row r="188" spans="1:12">
      <c r="A188" t="s">
        <v>624</v>
      </c>
      <c r="B188" s="1">
        <v>41305</v>
      </c>
      <c r="C188" t="s">
        <v>625</v>
      </c>
      <c r="D188">
        <v>1</v>
      </c>
      <c r="E188" t="s">
        <v>578</v>
      </c>
      <c r="F188" s="8" t="s">
        <v>851</v>
      </c>
      <c r="G188" s="9" t="s">
        <v>86</v>
      </c>
      <c r="H188" s="3">
        <f t="shared" si="7"/>
        <v>73.6875</v>
      </c>
      <c r="I188" s="3">
        <v>11.79</v>
      </c>
      <c r="J188" s="2"/>
    </row>
    <row r="189" spans="1:12">
      <c r="A189" t="s">
        <v>626</v>
      </c>
      <c r="B189" s="1">
        <v>41305</v>
      </c>
      <c r="C189" t="s">
        <v>627</v>
      </c>
      <c r="D189">
        <v>1</v>
      </c>
      <c r="E189" t="s">
        <v>628</v>
      </c>
      <c r="F189" s="37" t="s">
        <v>948</v>
      </c>
      <c r="G189" t="s">
        <v>947</v>
      </c>
      <c r="H189" s="3">
        <f t="shared" si="7"/>
        <v>1047.4375</v>
      </c>
      <c r="I189" s="3">
        <v>167.59</v>
      </c>
      <c r="J189" s="2"/>
    </row>
    <row r="190" spans="1:12">
      <c r="A190" t="s">
        <v>629</v>
      </c>
      <c r="B190" s="1">
        <v>41305</v>
      </c>
      <c r="C190" t="s">
        <v>630</v>
      </c>
      <c r="D190">
        <v>1</v>
      </c>
      <c r="E190" t="s">
        <v>631</v>
      </c>
      <c r="F190" s="8" t="s">
        <v>2873</v>
      </c>
      <c r="G190" s="9" t="s">
        <v>2874</v>
      </c>
      <c r="H190" s="65">
        <f t="shared" ref="H190:H201" si="8">I190/0.16</f>
        <v>83.375</v>
      </c>
      <c r="I190" s="65">
        <v>13.34</v>
      </c>
      <c r="J190" s="3"/>
      <c r="K190" s="3"/>
    </row>
    <row r="191" spans="1:12">
      <c r="A191" t="s">
        <v>629</v>
      </c>
      <c r="B191" s="1">
        <v>41305</v>
      </c>
      <c r="C191" t="s">
        <v>630</v>
      </c>
      <c r="D191">
        <v>1</v>
      </c>
      <c r="E191" t="s">
        <v>631</v>
      </c>
      <c r="F191" s="8" t="s">
        <v>909</v>
      </c>
      <c r="G191" s="9" t="s">
        <v>910</v>
      </c>
      <c r="H191" s="65">
        <f t="shared" si="8"/>
        <v>333.4375</v>
      </c>
      <c r="I191" s="65">
        <v>53.35</v>
      </c>
      <c r="J191" s="2"/>
      <c r="K191" s="14"/>
    </row>
    <row r="192" spans="1:12">
      <c r="A192" t="s">
        <v>629</v>
      </c>
      <c r="B192" s="1">
        <v>41305</v>
      </c>
      <c r="C192" t="s">
        <v>630</v>
      </c>
      <c r="D192">
        <v>1</v>
      </c>
      <c r="E192" t="s">
        <v>631</v>
      </c>
      <c r="F192" s="37" t="s">
        <v>948</v>
      </c>
      <c r="G192" t="s">
        <v>947</v>
      </c>
      <c r="H192" s="46">
        <f t="shared" si="8"/>
        <v>406.4375</v>
      </c>
      <c r="I192" s="46">
        <f>62.77+2.26</f>
        <v>65.03</v>
      </c>
      <c r="J192" s="2">
        <f>823.25-H190-H191-H192</f>
        <v>0</v>
      </c>
      <c r="K192" s="14">
        <f>131.72-I190-I191-I192</f>
        <v>0</v>
      </c>
      <c r="L192" t="s">
        <v>900</v>
      </c>
    </row>
    <row r="193" spans="1:12">
      <c r="A193" t="s">
        <v>632</v>
      </c>
      <c r="B193" s="1">
        <v>41305</v>
      </c>
      <c r="C193" t="s">
        <v>633</v>
      </c>
      <c r="D193">
        <v>1</v>
      </c>
      <c r="E193" t="s">
        <v>634</v>
      </c>
      <c r="F193" s="37" t="s">
        <v>948</v>
      </c>
      <c r="G193" s="33" t="s">
        <v>947</v>
      </c>
      <c r="H193" s="46">
        <f t="shared" si="8"/>
        <v>1118.0625</v>
      </c>
      <c r="I193" s="46">
        <f>155.3+23.59</f>
        <v>178.89000000000001</v>
      </c>
      <c r="J193" s="3"/>
      <c r="K193" s="3"/>
    </row>
    <row r="194" spans="1:12">
      <c r="A194" t="s">
        <v>632</v>
      </c>
      <c r="B194" s="1">
        <v>41305</v>
      </c>
      <c r="C194" t="s">
        <v>633</v>
      </c>
      <c r="D194">
        <v>1</v>
      </c>
      <c r="E194" t="s">
        <v>634</v>
      </c>
      <c r="F194" s="27" t="s">
        <v>5756</v>
      </c>
      <c r="G194" s="28" t="s">
        <v>7003</v>
      </c>
      <c r="H194" s="47">
        <f t="shared" si="8"/>
        <v>566.9375</v>
      </c>
      <c r="I194" s="47">
        <v>90.71</v>
      </c>
      <c r="J194" s="2"/>
      <c r="K194" s="14"/>
    </row>
    <row r="195" spans="1:12">
      <c r="A195" t="s">
        <v>632</v>
      </c>
      <c r="B195" s="1">
        <v>41305</v>
      </c>
      <c r="C195" t="s">
        <v>633</v>
      </c>
      <c r="D195">
        <v>1</v>
      </c>
      <c r="E195" t="s">
        <v>634</v>
      </c>
      <c r="F195" s="8" t="s">
        <v>2878</v>
      </c>
      <c r="G195" s="9" t="s">
        <v>2879</v>
      </c>
      <c r="H195" s="65">
        <f t="shared" si="8"/>
        <v>86.187499999999986</v>
      </c>
      <c r="I195" s="65">
        <v>13.79</v>
      </c>
      <c r="J195" s="2"/>
      <c r="K195" s="14"/>
    </row>
    <row r="196" spans="1:12">
      <c r="A196" t="s">
        <v>632</v>
      </c>
      <c r="B196" s="1">
        <v>41305</v>
      </c>
      <c r="C196" t="s">
        <v>633</v>
      </c>
      <c r="D196">
        <v>1</v>
      </c>
      <c r="E196" t="s">
        <v>634</v>
      </c>
      <c r="F196" s="27" t="s">
        <v>4776</v>
      </c>
      <c r="G196" s="28" t="s">
        <v>4777</v>
      </c>
      <c r="H196" s="47">
        <f t="shared" si="8"/>
        <v>625.25</v>
      </c>
      <c r="I196" s="47">
        <v>100.04</v>
      </c>
      <c r="J196" s="2"/>
      <c r="K196" s="14"/>
    </row>
    <row r="197" spans="1:12">
      <c r="A197" t="s">
        <v>632</v>
      </c>
      <c r="B197" s="1">
        <v>41305</v>
      </c>
      <c r="C197" t="s">
        <v>633</v>
      </c>
      <c r="D197">
        <v>1</v>
      </c>
      <c r="E197" t="s">
        <v>634</v>
      </c>
      <c r="F197" s="27" t="s">
        <v>903</v>
      </c>
      <c r="G197" s="28" t="s">
        <v>904</v>
      </c>
      <c r="H197" s="47">
        <f t="shared" si="8"/>
        <v>250.12500000000003</v>
      </c>
      <c r="I197" s="47">
        <v>40.020000000000003</v>
      </c>
      <c r="J197" s="2">
        <f>2646.56-H193-H194-H195-H196-H197</f>
        <v>-2.5000000000829914E-3</v>
      </c>
      <c r="K197" s="14">
        <f>423.45-I193-I194-I195-I196-I197</f>
        <v>0</v>
      </c>
      <c r="L197" t="s">
        <v>900</v>
      </c>
    </row>
    <row r="198" spans="1:12">
      <c r="A198" t="s">
        <v>635</v>
      </c>
      <c r="B198" s="1">
        <v>41305</v>
      </c>
      <c r="C198" t="s">
        <v>636</v>
      </c>
      <c r="D198">
        <v>1</v>
      </c>
      <c r="E198" t="s">
        <v>637</v>
      </c>
      <c r="F198" s="37" t="s">
        <v>948</v>
      </c>
      <c r="G198" t="s">
        <v>947</v>
      </c>
      <c r="H198" s="3">
        <f t="shared" si="8"/>
        <v>673.1875</v>
      </c>
      <c r="I198" s="46">
        <f>104.29+3.42</f>
        <v>107.71000000000001</v>
      </c>
      <c r="J198" s="3"/>
      <c r="K198" s="3"/>
    </row>
    <row r="199" spans="1:12">
      <c r="A199" t="s">
        <v>635</v>
      </c>
      <c r="B199" s="1">
        <v>41305</v>
      </c>
      <c r="C199" t="s">
        <v>636</v>
      </c>
      <c r="D199">
        <v>1</v>
      </c>
      <c r="E199" t="s">
        <v>637</v>
      </c>
      <c r="F199" s="27" t="s">
        <v>939</v>
      </c>
      <c r="G199" s="28" t="s">
        <v>940</v>
      </c>
      <c r="H199" s="47">
        <f t="shared" si="8"/>
        <v>250.12500000000003</v>
      </c>
      <c r="I199" s="131">
        <v>40.020000000000003</v>
      </c>
      <c r="J199" s="2"/>
      <c r="K199" s="14"/>
    </row>
    <row r="200" spans="1:12">
      <c r="A200" t="s">
        <v>635</v>
      </c>
      <c r="B200" s="1">
        <v>41305</v>
      </c>
      <c r="C200" t="s">
        <v>636</v>
      </c>
      <c r="D200">
        <v>1</v>
      </c>
      <c r="E200" t="s">
        <v>637</v>
      </c>
      <c r="F200" s="8" t="s">
        <v>1582</v>
      </c>
      <c r="G200" s="9" t="s">
        <v>1583</v>
      </c>
      <c r="H200" s="65">
        <f t="shared" si="8"/>
        <v>99.1875</v>
      </c>
      <c r="I200" s="65">
        <v>15.87</v>
      </c>
      <c r="J200" s="2"/>
      <c r="K200" s="14"/>
    </row>
    <row r="201" spans="1:12">
      <c r="A201" t="s">
        <v>635</v>
      </c>
      <c r="B201" s="1">
        <v>41305</v>
      </c>
      <c r="C201" t="s">
        <v>636</v>
      </c>
      <c r="D201">
        <v>1</v>
      </c>
      <c r="E201" t="s">
        <v>637</v>
      </c>
      <c r="F201" s="27" t="s">
        <v>913</v>
      </c>
      <c r="G201" s="28" t="s">
        <v>914</v>
      </c>
      <c r="H201" s="47">
        <f t="shared" si="8"/>
        <v>382.375</v>
      </c>
      <c r="I201" s="47">
        <v>61.18</v>
      </c>
      <c r="J201" s="2">
        <f>1404.88-H198-H199-H200-H201</f>
        <v>5.0000000001091394E-3</v>
      </c>
      <c r="K201" s="14">
        <f>224.78-I198-I199-I200-I201</f>
        <v>0</v>
      </c>
      <c r="L201" t="s">
        <v>900</v>
      </c>
    </row>
    <row r="202" spans="1:12">
      <c r="A202" t="s">
        <v>638</v>
      </c>
      <c r="B202" s="1">
        <v>41305</v>
      </c>
      <c r="C202" t="s">
        <v>639</v>
      </c>
      <c r="D202">
        <v>1</v>
      </c>
      <c r="E202" t="s">
        <v>640</v>
      </c>
      <c r="F202" s="8" t="s">
        <v>789</v>
      </c>
      <c r="G202" s="9" t="s">
        <v>790</v>
      </c>
      <c r="H202" s="3">
        <f>I202*100/16</f>
        <v>465.5</v>
      </c>
      <c r="I202" s="3">
        <v>74.48</v>
      </c>
      <c r="J202" s="2"/>
      <c r="K202" s="2"/>
    </row>
    <row r="203" spans="1:12">
      <c r="A203" t="s">
        <v>641</v>
      </c>
      <c r="B203" s="1">
        <v>41305</v>
      </c>
      <c r="C203" t="s">
        <v>642</v>
      </c>
      <c r="D203">
        <v>1</v>
      </c>
      <c r="E203" t="s">
        <v>643</v>
      </c>
      <c r="F203" s="8" t="s">
        <v>933</v>
      </c>
      <c r="G203" s="9" t="s">
        <v>934</v>
      </c>
      <c r="H203" s="65">
        <f t="shared" ref="H203:H231" si="9">I203/0.16</f>
        <v>75</v>
      </c>
      <c r="I203" s="65">
        <v>12</v>
      </c>
      <c r="J203" s="3"/>
      <c r="K203" s="3"/>
    </row>
    <row r="204" spans="1:12">
      <c r="A204" t="s">
        <v>641</v>
      </c>
      <c r="B204" s="1">
        <v>41305</v>
      </c>
      <c r="C204" t="s">
        <v>642</v>
      </c>
      <c r="D204">
        <v>1</v>
      </c>
      <c r="E204" t="s">
        <v>643</v>
      </c>
      <c r="F204" s="27" t="s">
        <v>905</v>
      </c>
      <c r="G204" s="28" t="s">
        <v>906</v>
      </c>
      <c r="H204" s="47">
        <f t="shared" si="9"/>
        <v>333.4375</v>
      </c>
      <c r="I204" s="47">
        <v>53.35</v>
      </c>
      <c r="J204" s="2"/>
      <c r="K204" s="14"/>
    </row>
    <row r="205" spans="1:12">
      <c r="A205" t="s">
        <v>641</v>
      </c>
      <c r="B205" s="1">
        <v>41305</v>
      </c>
      <c r="C205" t="s">
        <v>642</v>
      </c>
      <c r="D205">
        <v>1</v>
      </c>
      <c r="E205" t="s">
        <v>643</v>
      </c>
      <c r="F205" s="37" t="s">
        <v>948</v>
      </c>
      <c r="G205" t="s">
        <v>947</v>
      </c>
      <c r="H205" s="3">
        <f t="shared" si="9"/>
        <v>249.3125</v>
      </c>
      <c r="I205" s="46">
        <f>38.07+1.82</f>
        <v>39.89</v>
      </c>
      <c r="J205" s="2">
        <f>657-H203-H204-H205</f>
        <v>-0.75</v>
      </c>
      <c r="K205" s="14">
        <f>105.24-I203-I204-I205</f>
        <v>0</v>
      </c>
      <c r="L205" t="s">
        <v>900</v>
      </c>
    </row>
    <row r="206" spans="1:12">
      <c r="A206" t="s">
        <v>644</v>
      </c>
      <c r="B206" s="1">
        <v>41305</v>
      </c>
      <c r="C206" t="s">
        <v>645</v>
      </c>
      <c r="D206">
        <v>1</v>
      </c>
      <c r="E206" t="s">
        <v>646</v>
      </c>
      <c r="F206" s="8" t="s">
        <v>1649</v>
      </c>
      <c r="G206" s="9" t="s">
        <v>1650</v>
      </c>
      <c r="H206" s="65">
        <f t="shared" si="9"/>
        <v>73.25</v>
      </c>
      <c r="I206" s="131">
        <v>11.72</v>
      </c>
      <c r="J206" s="3"/>
      <c r="K206" s="3"/>
    </row>
    <row r="207" spans="1:12">
      <c r="A207" t="s">
        <v>644</v>
      </c>
      <c r="B207" s="1">
        <v>41305</v>
      </c>
      <c r="C207" t="s">
        <v>645</v>
      </c>
      <c r="D207">
        <v>1</v>
      </c>
      <c r="E207" t="s">
        <v>646</v>
      </c>
      <c r="F207" s="8" t="s">
        <v>925</v>
      </c>
      <c r="G207" s="9" t="s">
        <v>926</v>
      </c>
      <c r="H207" s="65">
        <f t="shared" si="9"/>
        <v>273.125</v>
      </c>
      <c r="I207" s="65">
        <v>43.7</v>
      </c>
      <c r="J207" s="2"/>
      <c r="K207" s="14"/>
    </row>
    <row r="208" spans="1:12">
      <c r="A208" t="s">
        <v>644</v>
      </c>
      <c r="B208" s="1">
        <v>41305</v>
      </c>
      <c r="C208" t="s">
        <v>645</v>
      </c>
      <c r="D208">
        <v>1</v>
      </c>
      <c r="E208" t="s">
        <v>646</v>
      </c>
      <c r="F208" s="37" t="s">
        <v>948</v>
      </c>
      <c r="G208" t="s">
        <v>947</v>
      </c>
      <c r="H208" s="46">
        <f t="shared" si="9"/>
        <v>138.625</v>
      </c>
      <c r="I208" s="46">
        <f>20.69+1.49</f>
        <v>22.18</v>
      </c>
      <c r="J208" s="2">
        <f>485-H206-H207-H208</f>
        <v>0</v>
      </c>
      <c r="K208" s="14">
        <f>77.6-I206-I207-I208</f>
        <v>0</v>
      </c>
      <c r="L208" t="s">
        <v>900</v>
      </c>
    </row>
    <row r="209" spans="1:12">
      <c r="A209" t="s">
        <v>647</v>
      </c>
      <c r="B209" s="1">
        <v>41305</v>
      </c>
      <c r="C209" t="s">
        <v>648</v>
      </c>
      <c r="D209">
        <v>1</v>
      </c>
      <c r="E209" t="s">
        <v>649</v>
      </c>
      <c r="F209" s="37" t="s">
        <v>948</v>
      </c>
      <c r="G209" t="s">
        <v>947</v>
      </c>
      <c r="H209" s="46">
        <f t="shared" si="9"/>
        <v>701.3125</v>
      </c>
      <c r="I209" s="46">
        <f>65.65+46.56</f>
        <v>112.21000000000001</v>
      </c>
      <c r="J209" s="3"/>
      <c r="K209" s="3"/>
    </row>
    <row r="210" spans="1:12">
      <c r="A210" t="s">
        <v>647</v>
      </c>
      <c r="B210" s="1">
        <v>41305</v>
      </c>
      <c r="C210" t="s">
        <v>648</v>
      </c>
      <c r="D210">
        <v>1</v>
      </c>
      <c r="E210" t="s">
        <v>649</v>
      </c>
      <c r="F210" s="8" t="s">
        <v>1649</v>
      </c>
      <c r="G210" s="9" t="s">
        <v>1650</v>
      </c>
      <c r="H210" s="65">
        <f t="shared" si="9"/>
        <v>81</v>
      </c>
      <c r="I210" s="131">
        <v>12.96</v>
      </c>
      <c r="J210" s="2"/>
      <c r="K210" s="14"/>
    </row>
    <row r="211" spans="1:12">
      <c r="A211" t="s">
        <v>647</v>
      </c>
      <c r="B211" s="1">
        <v>41305</v>
      </c>
      <c r="C211" t="s">
        <v>648</v>
      </c>
      <c r="D211">
        <v>1</v>
      </c>
      <c r="E211" t="s">
        <v>649</v>
      </c>
      <c r="F211" s="8" t="s">
        <v>7052</v>
      </c>
      <c r="G211" s="9" t="s">
        <v>7053</v>
      </c>
      <c r="H211" s="65">
        <f t="shared" si="9"/>
        <v>63.812500000000007</v>
      </c>
      <c r="I211" s="131">
        <v>10.210000000000001</v>
      </c>
      <c r="J211" s="2"/>
      <c r="K211" s="14"/>
    </row>
    <row r="212" spans="1:12">
      <c r="A212" t="s">
        <v>647</v>
      </c>
      <c r="B212" s="1">
        <v>41305</v>
      </c>
      <c r="C212" t="s">
        <v>648</v>
      </c>
      <c r="D212">
        <v>1</v>
      </c>
      <c r="E212" t="s">
        <v>649</v>
      </c>
      <c r="F212" s="8" t="s">
        <v>3783</v>
      </c>
      <c r="G212" s="9" t="s">
        <v>3784</v>
      </c>
      <c r="H212" s="65">
        <f t="shared" si="9"/>
        <v>100</v>
      </c>
      <c r="I212" s="65">
        <v>16</v>
      </c>
      <c r="J212" s="2"/>
      <c r="K212" s="14"/>
    </row>
    <row r="213" spans="1:12">
      <c r="A213" t="s">
        <v>647</v>
      </c>
      <c r="B213" s="1">
        <v>41305</v>
      </c>
      <c r="C213" t="s">
        <v>648</v>
      </c>
      <c r="D213">
        <v>1</v>
      </c>
      <c r="E213" t="s">
        <v>649</v>
      </c>
      <c r="F213" s="8" t="s">
        <v>3783</v>
      </c>
      <c r="G213" s="9" t="s">
        <v>3784</v>
      </c>
      <c r="H213" s="65">
        <f t="shared" si="9"/>
        <v>258.625</v>
      </c>
      <c r="I213" s="65">
        <v>41.38</v>
      </c>
      <c r="J213" s="2"/>
      <c r="K213" s="14"/>
    </row>
    <row r="214" spans="1:12">
      <c r="A214" t="s">
        <v>647</v>
      </c>
      <c r="B214" s="1">
        <v>41305</v>
      </c>
      <c r="C214" t="s">
        <v>648</v>
      </c>
      <c r="D214">
        <v>1</v>
      </c>
      <c r="E214" t="s">
        <v>649</v>
      </c>
      <c r="F214" s="8" t="s">
        <v>3787</v>
      </c>
      <c r="G214" s="9" t="s">
        <v>3788</v>
      </c>
      <c r="H214" s="65">
        <f t="shared" si="9"/>
        <v>583.625</v>
      </c>
      <c r="I214" s="65">
        <v>93.38</v>
      </c>
      <c r="J214" s="2"/>
      <c r="K214" s="14"/>
    </row>
    <row r="215" spans="1:12">
      <c r="A215" t="s">
        <v>647</v>
      </c>
      <c r="B215" s="1">
        <v>41305</v>
      </c>
      <c r="C215" t="s">
        <v>648</v>
      </c>
      <c r="D215">
        <v>1</v>
      </c>
      <c r="E215" t="s">
        <v>649</v>
      </c>
      <c r="F215" s="27" t="s">
        <v>1700</v>
      </c>
      <c r="G215" s="28" t="s">
        <v>7031</v>
      </c>
      <c r="H215" s="47">
        <f t="shared" si="9"/>
        <v>658.625</v>
      </c>
      <c r="I215" s="47">
        <v>105.38</v>
      </c>
      <c r="J215" s="2"/>
      <c r="K215" s="14"/>
    </row>
    <row r="216" spans="1:12">
      <c r="A216" t="s">
        <v>647</v>
      </c>
      <c r="B216" s="1">
        <v>41305</v>
      </c>
      <c r="C216" t="s">
        <v>648</v>
      </c>
      <c r="D216">
        <v>1</v>
      </c>
      <c r="E216" t="s">
        <v>649</v>
      </c>
      <c r="F216" s="8" t="s">
        <v>7056</v>
      </c>
      <c r="G216" s="9" t="s">
        <v>7057</v>
      </c>
      <c r="H216" s="65">
        <f t="shared" si="9"/>
        <v>56.0625</v>
      </c>
      <c r="I216" s="65">
        <v>8.9700000000000006</v>
      </c>
      <c r="J216" s="2"/>
      <c r="K216" s="14"/>
    </row>
    <row r="217" spans="1:12">
      <c r="A217" t="s">
        <v>647</v>
      </c>
      <c r="B217" s="1">
        <v>41305</v>
      </c>
      <c r="C217" t="s">
        <v>648</v>
      </c>
      <c r="D217">
        <v>1</v>
      </c>
      <c r="E217" t="s">
        <v>649</v>
      </c>
      <c r="F217" s="27" t="s">
        <v>3791</v>
      </c>
      <c r="G217" s="28" t="s">
        <v>7062</v>
      </c>
      <c r="H217" s="47">
        <f t="shared" si="9"/>
        <v>637.25</v>
      </c>
      <c r="I217" s="47">
        <v>101.96</v>
      </c>
      <c r="J217" s="2"/>
      <c r="K217" s="14"/>
    </row>
    <row r="218" spans="1:12">
      <c r="A218" t="s">
        <v>647</v>
      </c>
      <c r="B218" s="1">
        <v>41305</v>
      </c>
      <c r="C218" t="s">
        <v>648</v>
      </c>
      <c r="D218">
        <v>1</v>
      </c>
      <c r="E218" t="s">
        <v>649</v>
      </c>
      <c r="F218" s="8" t="s">
        <v>896</v>
      </c>
      <c r="G218" s="9" t="s">
        <v>897</v>
      </c>
      <c r="H218" s="65">
        <f t="shared" si="9"/>
        <v>460.37499999999994</v>
      </c>
      <c r="I218" s="65">
        <v>73.66</v>
      </c>
      <c r="J218" s="2">
        <f>3600.69-H209-H210-H211-H212-H213-H214-H215-H216-H217-H218</f>
        <v>2.5000000001114131E-3</v>
      </c>
      <c r="K218" s="14">
        <f>576.11-I209-I210-I211-I212-I213-I214-I215-I216-I217-I218</f>
        <v>0</v>
      </c>
      <c r="L218" t="s">
        <v>900</v>
      </c>
    </row>
    <row r="219" spans="1:12">
      <c r="A219" t="s">
        <v>650</v>
      </c>
      <c r="B219" s="1">
        <v>41305</v>
      </c>
      <c r="C219" t="s">
        <v>651</v>
      </c>
      <c r="D219">
        <v>1</v>
      </c>
      <c r="E219" t="s">
        <v>652</v>
      </c>
      <c r="F219" s="27" t="s">
        <v>1655</v>
      </c>
      <c r="G219" s="28" t="s">
        <v>1656</v>
      </c>
      <c r="H219" s="47">
        <f t="shared" si="9"/>
        <v>675.625</v>
      </c>
      <c r="I219" s="47">
        <v>108.1</v>
      </c>
      <c r="J219" s="3"/>
      <c r="K219" s="3"/>
    </row>
    <row r="220" spans="1:12">
      <c r="A220" t="s">
        <v>650</v>
      </c>
      <c r="B220" s="1">
        <v>41305</v>
      </c>
      <c r="C220" t="s">
        <v>651</v>
      </c>
      <c r="D220">
        <v>1</v>
      </c>
      <c r="E220" t="s">
        <v>652</v>
      </c>
      <c r="F220" s="8" t="s">
        <v>2878</v>
      </c>
      <c r="G220" s="9" t="s">
        <v>2879</v>
      </c>
      <c r="H220" s="65">
        <f t="shared" si="9"/>
        <v>98.25</v>
      </c>
      <c r="I220" s="65">
        <v>15.72</v>
      </c>
      <c r="J220" s="2"/>
      <c r="K220" s="14"/>
    </row>
    <row r="221" spans="1:12">
      <c r="A221" t="s">
        <v>650</v>
      </c>
      <c r="B221" s="1">
        <v>41305</v>
      </c>
      <c r="C221" t="s">
        <v>651</v>
      </c>
      <c r="D221">
        <v>1</v>
      </c>
      <c r="E221" t="s">
        <v>652</v>
      </c>
      <c r="F221" s="27" t="s">
        <v>2903</v>
      </c>
      <c r="G221" s="28" t="s">
        <v>2904</v>
      </c>
      <c r="H221" s="47">
        <f t="shared" si="9"/>
        <v>630.5625</v>
      </c>
      <c r="I221" s="47">
        <v>100.89</v>
      </c>
      <c r="J221" s="2"/>
      <c r="K221" s="14"/>
    </row>
    <row r="222" spans="1:12">
      <c r="A222" t="s">
        <v>650</v>
      </c>
      <c r="B222" s="1">
        <v>41305</v>
      </c>
      <c r="C222" t="s">
        <v>651</v>
      </c>
      <c r="D222">
        <v>1</v>
      </c>
      <c r="E222" t="s">
        <v>652</v>
      </c>
      <c r="F222" s="27" t="s">
        <v>923</v>
      </c>
      <c r="G222" s="28" t="s">
        <v>924</v>
      </c>
      <c r="H222" s="47">
        <f t="shared" si="9"/>
        <v>180.18749999999997</v>
      </c>
      <c r="I222" s="47">
        <v>28.83</v>
      </c>
      <c r="J222" s="2"/>
      <c r="K222" s="14"/>
    </row>
    <row r="223" spans="1:12">
      <c r="A223" t="s">
        <v>650</v>
      </c>
      <c r="B223" s="1">
        <v>41305</v>
      </c>
      <c r="C223" t="s">
        <v>651</v>
      </c>
      <c r="D223">
        <v>1</v>
      </c>
      <c r="E223" t="s">
        <v>652</v>
      </c>
      <c r="F223" s="37" t="s">
        <v>948</v>
      </c>
      <c r="G223" s="33" t="s">
        <v>947</v>
      </c>
      <c r="H223" s="3">
        <f t="shared" si="9"/>
        <v>641.8125</v>
      </c>
      <c r="I223" s="46">
        <f>95.2+7.49</f>
        <v>102.69</v>
      </c>
      <c r="J223" s="2">
        <f>2226.44-H219-H220-H221-H222-H223</f>
        <v>2.5000000000545697E-3</v>
      </c>
      <c r="K223" s="14">
        <f>356.23-I219-I220-I221-I222-I223</f>
        <v>0</v>
      </c>
      <c r="L223" t="s">
        <v>900</v>
      </c>
    </row>
    <row r="224" spans="1:12">
      <c r="A224" t="s">
        <v>653</v>
      </c>
      <c r="B224" s="1">
        <v>41305</v>
      </c>
      <c r="C224" t="s">
        <v>654</v>
      </c>
      <c r="D224">
        <v>1</v>
      </c>
      <c r="E224" t="s">
        <v>655</v>
      </c>
      <c r="F224" s="37" t="s">
        <v>948</v>
      </c>
      <c r="G224" t="s">
        <v>947</v>
      </c>
      <c r="H224" s="3">
        <f t="shared" si="9"/>
        <v>390.1875</v>
      </c>
      <c r="I224" s="46">
        <f>60.82+1.61</f>
        <v>62.43</v>
      </c>
      <c r="J224" s="3"/>
      <c r="K224" s="3"/>
    </row>
    <row r="225" spans="1:12">
      <c r="A225" t="s">
        <v>653</v>
      </c>
      <c r="B225" s="1">
        <v>41305</v>
      </c>
      <c r="C225" t="s">
        <v>654</v>
      </c>
      <c r="D225">
        <v>1</v>
      </c>
      <c r="E225" t="s">
        <v>655</v>
      </c>
      <c r="F225" s="27" t="s">
        <v>939</v>
      </c>
      <c r="G225" s="28" t="s">
        <v>940</v>
      </c>
      <c r="H225" s="47">
        <f t="shared" si="9"/>
        <v>291.6875</v>
      </c>
      <c r="I225" s="131">
        <v>46.67</v>
      </c>
      <c r="J225" s="2">
        <f>681.88-H224-H225</f>
        <v>4.9999999999954525E-3</v>
      </c>
      <c r="K225" s="14">
        <f>109.1-I224-I225</f>
        <v>0</v>
      </c>
      <c r="L225" t="s">
        <v>900</v>
      </c>
    </row>
    <row r="226" spans="1:12">
      <c r="A226" t="s">
        <v>656</v>
      </c>
      <c r="B226" s="1">
        <v>41305</v>
      </c>
      <c r="C226" t="s">
        <v>657</v>
      </c>
      <c r="D226">
        <v>1</v>
      </c>
      <c r="E226" t="s">
        <v>658</v>
      </c>
      <c r="F226" s="27" t="s">
        <v>1689</v>
      </c>
      <c r="G226" s="28" t="s">
        <v>5236</v>
      </c>
      <c r="H226" s="47">
        <f t="shared" si="9"/>
        <v>333.375</v>
      </c>
      <c r="I226" s="47">
        <v>53.34</v>
      </c>
      <c r="J226" s="3"/>
      <c r="K226" s="3"/>
    </row>
    <row r="227" spans="1:12">
      <c r="A227" t="s">
        <v>656</v>
      </c>
      <c r="B227" s="1">
        <v>41305</v>
      </c>
      <c r="C227" t="s">
        <v>657</v>
      </c>
      <c r="D227">
        <v>1</v>
      </c>
      <c r="E227" t="s">
        <v>658</v>
      </c>
      <c r="F227" s="8" t="s">
        <v>919</v>
      </c>
      <c r="G227" s="9" t="s">
        <v>920</v>
      </c>
      <c r="H227" s="65">
        <f t="shared" si="9"/>
        <v>57.8125</v>
      </c>
      <c r="I227" s="65">
        <v>9.25</v>
      </c>
      <c r="J227" s="2"/>
      <c r="K227" s="14"/>
    </row>
    <row r="228" spans="1:12">
      <c r="A228" t="s">
        <v>656</v>
      </c>
      <c r="B228" s="1">
        <v>41305</v>
      </c>
      <c r="C228" t="s">
        <v>657</v>
      </c>
      <c r="D228">
        <v>1</v>
      </c>
      <c r="E228" t="s">
        <v>658</v>
      </c>
      <c r="F228" s="37" t="s">
        <v>948</v>
      </c>
      <c r="G228" t="s">
        <v>947</v>
      </c>
      <c r="H228" s="46">
        <f t="shared" si="9"/>
        <v>132.0625</v>
      </c>
      <c r="I228" s="46">
        <f>19.32+1.81</f>
        <v>21.13</v>
      </c>
      <c r="J228" s="2">
        <f>523.25-H226-H227-H228</f>
        <v>0</v>
      </c>
      <c r="K228" s="14">
        <f>83.72-I226-I227-I228</f>
        <v>0</v>
      </c>
      <c r="L228" t="s">
        <v>900</v>
      </c>
    </row>
    <row r="229" spans="1:12">
      <c r="A229" t="s">
        <v>659</v>
      </c>
      <c r="B229" s="1">
        <v>41305</v>
      </c>
      <c r="C229" t="s">
        <v>660</v>
      </c>
      <c r="D229">
        <v>1</v>
      </c>
      <c r="E229" t="s">
        <v>661</v>
      </c>
      <c r="F229" s="27" t="s">
        <v>939</v>
      </c>
      <c r="G229" s="28" t="s">
        <v>940</v>
      </c>
      <c r="H229" s="47">
        <f t="shared" si="9"/>
        <v>208.4375</v>
      </c>
      <c r="I229" s="131">
        <v>33.35</v>
      </c>
      <c r="J229" s="3"/>
      <c r="K229" s="3"/>
    </row>
    <row r="230" spans="1:12">
      <c r="A230" t="s">
        <v>659</v>
      </c>
      <c r="B230" s="1">
        <v>41305</v>
      </c>
      <c r="C230" t="s">
        <v>660</v>
      </c>
      <c r="D230">
        <v>1</v>
      </c>
      <c r="E230" t="s">
        <v>661</v>
      </c>
      <c r="F230" s="8" t="s">
        <v>907</v>
      </c>
      <c r="G230" s="9" t="s">
        <v>908</v>
      </c>
      <c r="H230" s="65">
        <f t="shared" si="9"/>
        <v>525.1875</v>
      </c>
      <c r="I230" s="65">
        <v>84.03</v>
      </c>
      <c r="J230" s="2"/>
      <c r="K230" s="14"/>
    </row>
    <row r="231" spans="1:12">
      <c r="A231" t="s">
        <v>659</v>
      </c>
      <c r="B231" s="1">
        <v>41305</v>
      </c>
      <c r="C231" t="s">
        <v>660</v>
      </c>
      <c r="D231">
        <v>1</v>
      </c>
      <c r="E231" t="s">
        <v>661</v>
      </c>
      <c r="F231" s="37" t="s">
        <v>948</v>
      </c>
      <c r="G231" t="s">
        <v>947</v>
      </c>
      <c r="H231" s="46">
        <f t="shared" si="9"/>
        <v>617.25</v>
      </c>
      <c r="I231" s="46">
        <f>62.77+35.99</f>
        <v>98.76</v>
      </c>
      <c r="J231" s="2">
        <f>1350.88-H229-H230-H231</f>
        <v>5.0000000001091394E-3</v>
      </c>
      <c r="K231" s="14">
        <f>216.14-I229-I230-I231</f>
        <v>0</v>
      </c>
      <c r="L231" t="s">
        <v>900</v>
      </c>
    </row>
    <row r="232" spans="1:12">
      <c r="A232" t="s">
        <v>662</v>
      </c>
      <c r="B232" s="1">
        <v>41305</v>
      </c>
      <c r="C232" t="s">
        <v>663</v>
      </c>
      <c r="D232">
        <v>1</v>
      </c>
      <c r="E232" t="s">
        <v>664</v>
      </c>
      <c r="F232" s="27" t="s">
        <v>935</v>
      </c>
      <c r="G232" s="28" t="s">
        <v>936</v>
      </c>
      <c r="H232" s="3">
        <f>I232*100/16</f>
        <v>86.1875</v>
      </c>
      <c r="I232" s="3">
        <v>13.79</v>
      </c>
      <c r="J232" s="2"/>
    </row>
    <row r="233" spans="1:12">
      <c r="A233" t="s">
        <v>665</v>
      </c>
      <c r="B233" s="1">
        <v>41305</v>
      </c>
      <c r="C233" t="s">
        <v>666</v>
      </c>
      <c r="D233">
        <v>1</v>
      </c>
      <c r="E233" t="s">
        <v>667</v>
      </c>
      <c r="F233" s="37" t="s">
        <v>948</v>
      </c>
      <c r="G233" s="33" t="s">
        <v>947</v>
      </c>
      <c r="H233" s="3">
        <f>I233*100/16</f>
        <v>56.062500000000007</v>
      </c>
      <c r="I233" s="3">
        <v>8.9700000000000006</v>
      </c>
      <c r="J233" s="2"/>
    </row>
    <row r="234" spans="1:12">
      <c r="A234" t="s">
        <v>668</v>
      </c>
      <c r="B234" s="1">
        <v>41305</v>
      </c>
      <c r="C234" t="s">
        <v>669</v>
      </c>
      <c r="D234">
        <v>1</v>
      </c>
      <c r="E234" t="s">
        <v>670</v>
      </c>
      <c r="F234" s="37" t="s">
        <v>948</v>
      </c>
      <c r="G234" s="33" t="s">
        <v>947</v>
      </c>
      <c r="H234" s="46">
        <f t="shared" ref="H234:H243" si="10">I234/0.16</f>
        <v>379.375</v>
      </c>
      <c r="I234" s="46">
        <v>60.7</v>
      </c>
      <c r="J234" s="3"/>
      <c r="K234" s="3"/>
    </row>
    <row r="235" spans="1:12">
      <c r="A235" t="s">
        <v>668</v>
      </c>
      <c r="B235" s="1">
        <v>41305</v>
      </c>
      <c r="C235" t="s">
        <v>669</v>
      </c>
      <c r="D235">
        <v>1</v>
      </c>
      <c r="E235" t="s">
        <v>670</v>
      </c>
      <c r="F235" s="37" t="s">
        <v>948</v>
      </c>
      <c r="G235" s="33" t="s">
        <v>947</v>
      </c>
      <c r="H235" s="46">
        <f t="shared" si="10"/>
        <v>369.75</v>
      </c>
      <c r="I235" s="46">
        <f>51.85+7.31</f>
        <v>59.160000000000004</v>
      </c>
      <c r="J235" s="2"/>
      <c r="K235" s="14"/>
    </row>
    <row r="236" spans="1:12">
      <c r="A236" t="s">
        <v>668</v>
      </c>
      <c r="B236" s="1">
        <v>41305</v>
      </c>
      <c r="C236" t="s">
        <v>669</v>
      </c>
      <c r="D236">
        <v>1</v>
      </c>
      <c r="E236" t="s">
        <v>670</v>
      </c>
      <c r="F236" s="27" t="s">
        <v>1651</v>
      </c>
      <c r="G236" s="28" t="s">
        <v>3782</v>
      </c>
      <c r="H236" s="47">
        <f t="shared" si="10"/>
        <v>458.375</v>
      </c>
      <c r="I236" s="131">
        <v>73.34</v>
      </c>
      <c r="J236" s="2"/>
      <c r="K236" s="14"/>
    </row>
    <row r="237" spans="1:12">
      <c r="A237" t="s">
        <v>668</v>
      </c>
      <c r="B237" s="1">
        <v>41305</v>
      </c>
      <c r="C237" t="s">
        <v>669</v>
      </c>
      <c r="D237">
        <v>1</v>
      </c>
      <c r="E237" t="s">
        <v>670</v>
      </c>
      <c r="F237" s="8" t="s">
        <v>847</v>
      </c>
      <c r="G237" s="9" t="s">
        <v>848</v>
      </c>
      <c r="H237" s="65">
        <f t="shared" si="10"/>
        <v>38.8125</v>
      </c>
      <c r="I237" s="65">
        <v>6.21</v>
      </c>
      <c r="J237" s="2"/>
      <c r="K237" s="14"/>
    </row>
    <row r="238" spans="1:12">
      <c r="A238" t="s">
        <v>668</v>
      </c>
      <c r="B238" s="1">
        <v>41305</v>
      </c>
      <c r="C238" t="s">
        <v>669</v>
      </c>
      <c r="D238">
        <v>1</v>
      </c>
      <c r="E238" t="s">
        <v>670</v>
      </c>
      <c r="F238" s="27" t="s">
        <v>929</v>
      </c>
      <c r="G238" s="28" t="s">
        <v>930</v>
      </c>
      <c r="H238" s="47">
        <f t="shared" si="10"/>
        <v>375</v>
      </c>
      <c r="I238" s="47">
        <v>60</v>
      </c>
      <c r="J238" s="2">
        <f>1621.31-H234-H235-H236-H237-H238</f>
        <v>-2.5000000000545697E-3</v>
      </c>
      <c r="K238" s="14">
        <f>259.41-I234-I235-I236-I237-I238</f>
        <v>0</v>
      </c>
      <c r="L238" t="s">
        <v>900</v>
      </c>
    </row>
    <row r="239" spans="1:12">
      <c r="A239" t="s">
        <v>671</v>
      </c>
      <c r="B239" s="1">
        <v>41305</v>
      </c>
      <c r="C239" t="s">
        <v>672</v>
      </c>
      <c r="D239">
        <v>1</v>
      </c>
      <c r="E239" t="s">
        <v>673</v>
      </c>
      <c r="F239" s="27" t="s">
        <v>939</v>
      </c>
      <c r="G239" s="28" t="s">
        <v>940</v>
      </c>
      <c r="H239" s="47">
        <f t="shared" si="10"/>
        <v>333.4375</v>
      </c>
      <c r="I239" s="131">
        <v>53.35</v>
      </c>
      <c r="J239" s="3"/>
      <c r="K239" s="3"/>
    </row>
    <row r="240" spans="1:12">
      <c r="A240" t="s">
        <v>671</v>
      </c>
      <c r="B240" s="1">
        <v>41305</v>
      </c>
      <c r="C240" t="s">
        <v>672</v>
      </c>
      <c r="D240">
        <v>1</v>
      </c>
      <c r="E240" t="s">
        <v>673</v>
      </c>
      <c r="F240" s="8" t="s">
        <v>927</v>
      </c>
      <c r="G240" s="9" t="s">
        <v>928</v>
      </c>
      <c r="H240" s="65">
        <f t="shared" si="10"/>
        <v>60</v>
      </c>
      <c r="I240" s="65">
        <v>9.6</v>
      </c>
      <c r="J240" s="2"/>
      <c r="K240" s="14"/>
    </row>
    <row r="241" spans="1:12">
      <c r="A241" t="s">
        <v>671</v>
      </c>
      <c r="B241" s="1">
        <v>41305</v>
      </c>
      <c r="C241" t="s">
        <v>672</v>
      </c>
      <c r="D241">
        <v>1</v>
      </c>
      <c r="E241" t="s">
        <v>673</v>
      </c>
      <c r="F241" s="37" t="s">
        <v>948</v>
      </c>
      <c r="G241" s="33" t="s">
        <v>947</v>
      </c>
      <c r="H241" s="46">
        <f t="shared" si="10"/>
        <v>403.625</v>
      </c>
      <c r="I241" s="46">
        <f>62.77+1.81</f>
        <v>64.58</v>
      </c>
      <c r="J241" s="2">
        <f>797.06-H239-H240-H241</f>
        <v>-2.5000000000545697E-3</v>
      </c>
      <c r="K241" s="14">
        <f>127.53-I239-I240-I241</f>
        <v>0</v>
      </c>
      <c r="L241" t="s">
        <v>900</v>
      </c>
    </row>
    <row r="242" spans="1:12">
      <c r="A242" t="s">
        <v>674</v>
      </c>
      <c r="B242" s="1">
        <v>41305</v>
      </c>
      <c r="C242" t="s">
        <v>675</v>
      </c>
      <c r="D242">
        <v>1</v>
      </c>
      <c r="E242" t="s">
        <v>676</v>
      </c>
      <c r="F242" s="37" t="s">
        <v>948</v>
      </c>
      <c r="G242" t="s">
        <v>947</v>
      </c>
      <c r="H242" s="46">
        <f t="shared" si="10"/>
        <v>271.5</v>
      </c>
      <c r="I242" s="46">
        <f>43.46-0.02</f>
        <v>43.44</v>
      </c>
      <c r="J242" s="3"/>
      <c r="K242" s="3"/>
    </row>
    <row r="243" spans="1:12">
      <c r="A243" t="s">
        <v>674</v>
      </c>
      <c r="B243" s="1">
        <v>41305</v>
      </c>
      <c r="C243" t="s">
        <v>675</v>
      </c>
      <c r="D243">
        <v>1</v>
      </c>
      <c r="E243" t="s">
        <v>676</v>
      </c>
      <c r="F243" s="8" t="s">
        <v>919</v>
      </c>
      <c r="G243" s="9" t="s">
        <v>920</v>
      </c>
      <c r="H243" s="65">
        <f t="shared" si="10"/>
        <v>56.937499999999993</v>
      </c>
      <c r="I243" s="65">
        <v>9.11</v>
      </c>
      <c r="J243" s="2">
        <f>328.44-H242-H243</f>
        <v>2.5000000000048317E-3</v>
      </c>
      <c r="K243" s="14">
        <f>52.55-I242-I243</f>
        <v>0</v>
      </c>
      <c r="L243" t="s">
        <v>900</v>
      </c>
    </row>
    <row r="244" spans="1:12">
      <c r="A244" t="s">
        <v>677</v>
      </c>
      <c r="B244" s="1">
        <v>41305</v>
      </c>
      <c r="C244" t="s">
        <v>678</v>
      </c>
      <c r="D244">
        <v>1</v>
      </c>
      <c r="E244" t="s">
        <v>679</v>
      </c>
      <c r="F244" s="8" t="s">
        <v>789</v>
      </c>
      <c r="G244" s="9" t="s">
        <v>790</v>
      </c>
      <c r="H244" s="3">
        <f t="shared" ref="H244:H275" si="11">I244*100/16</f>
        <v>465.5</v>
      </c>
      <c r="I244" s="3">
        <v>74.48</v>
      </c>
      <c r="J244" s="2"/>
      <c r="K244" s="2"/>
    </row>
    <row r="245" spans="1:12">
      <c r="A245" t="s">
        <v>680</v>
      </c>
      <c r="B245" s="1">
        <v>41305</v>
      </c>
      <c r="C245" t="s">
        <v>681</v>
      </c>
      <c r="D245">
        <v>1</v>
      </c>
      <c r="E245" t="s">
        <v>682</v>
      </c>
      <c r="F245" s="23" t="s">
        <v>829</v>
      </c>
      <c r="G245" s="24" t="s">
        <v>6</v>
      </c>
      <c r="H245" s="3">
        <f t="shared" si="11"/>
        <v>508738.375</v>
      </c>
      <c r="I245" s="3">
        <v>81398.14</v>
      </c>
      <c r="J245" s="2"/>
    </row>
    <row r="246" spans="1:12">
      <c r="A246" t="s">
        <v>683</v>
      </c>
      <c r="B246" s="1">
        <v>41305</v>
      </c>
      <c r="C246" t="s">
        <v>684</v>
      </c>
      <c r="D246">
        <v>1</v>
      </c>
      <c r="E246" t="s">
        <v>685</v>
      </c>
      <c r="F246" s="8" t="s">
        <v>921</v>
      </c>
      <c r="G246" s="9" t="s">
        <v>922</v>
      </c>
      <c r="H246" s="3">
        <f t="shared" si="11"/>
        <v>350000</v>
      </c>
      <c r="I246" s="3">
        <v>56000</v>
      </c>
      <c r="J246" s="2"/>
    </row>
    <row r="247" spans="1:12">
      <c r="A247" t="s">
        <v>683</v>
      </c>
      <c r="B247" s="1">
        <v>41305</v>
      </c>
      <c r="C247" t="s">
        <v>684</v>
      </c>
      <c r="D247">
        <v>1</v>
      </c>
      <c r="E247" t="s">
        <v>686</v>
      </c>
      <c r="F247" s="8" t="s">
        <v>921</v>
      </c>
      <c r="G247" s="9" t="s">
        <v>922</v>
      </c>
      <c r="H247" s="3">
        <f t="shared" si="11"/>
        <v>350000</v>
      </c>
      <c r="I247" s="3">
        <v>56000</v>
      </c>
      <c r="J247" s="2"/>
    </row>
    <row r="248" spans="1:12">
      <c r="A248" t="s">
        <v>683</v>
      </c>
      <c r="B248" s="1">
        <v>41305</v>
      </c>
      <c r="C248" t="s">
        <v>684</v>
      </c>
      <c r="D248">
        <v>1</v>
      </c>
      <c r="E248" t="s">
        <v>686</v>
      </c>
      <c r="F248" s="8" t="s">
        <v>921</v>
      </c>
      <c r="G248" s="9" t="s">
        <v>922</v>
      </c>
      <c r="H248" s="3">
        <f t="shared" si="11"/>
        <v>350000</v>
      </c>
      <c r="I248" s="3">
        <v>56000</v>
      </c>
      <c r="J248" s="2"/>
    </row>
    <row r="249" spans="1:12">
      <c r="A249" t="s">
        <v>687</v>
      </c>
      <c r="B249" s="1">
        <v>41305</v>
      </c>
      <c r="C249" t="s">
        <v>688</v>
      </c>
      <c r="D249">
        <v>1</v>
      </c>
      <c r="E249" t="s">
        <v>689</v>
      </c>
      <c r="F249" s="23" t="s">
        <v>829</v>
      </c>
      <c r="G249" s="24" t="s">
        <v>6</v>
      </c>
      <c r="H249" s="3">
        <f t="shared" si="11"/>
        <v>224137.9375</v>
      </c>
      <c r="I249" s="3">
        <v>35862.07</v>
      </c>
      <c r="J249" s="2"/>
    </row>
    <row r="250" spans="1:12">
      <c r="A250" t="s">
        <v>14</v>
      </c>
      <c r="B250" s="1">
        <v>41278</v>
      </c>
      <c r="C250" t="s">
        <v>15</v>
      </c>
      <c r="D250">
        <v>1</v>
      </c>
      <c r="E250" t="s">
        <v>16</v>
      </c>
      <c r="F250" s="8" t="s">
        <v>777</v>
      </c>
      <c r="G250" s="9" t="s">
        <v>16</v>
      </c>
      <c r="H250" s="3">
        <f t="shared" si="11"/>
        <v>5000</v>
      </c>
      <c r="I250" s="3">
        <v>800</v>
      </c>
      <c r="J250" s="2"/>
    </row>
    <row r="251" spans="1:12">
      <c r="A251" t="s">
        <v>17</v>
      </c>
      <c r="B251" s="1">
        <v>41278</v>
      </c>
      <c r="C251" t="s">
        <v>18</v>
      </c>
      <c r="D251">
        <v>1</v>
      </c>
      <c r="E251" t="s">
        <v>19</v>
      </c>
      <c r="F251" s="8" t="s">
        <v>875</v>
      </c>
      <c r="G251" s="9" t="s">
        <v>19</v>
      </c>
      <c r="H251" s="3">
        <f t="shared" si="11"/>
        <v>12550</v>
      </c>
      <c r="I251" s="3">
        <v>2008</v>
      </c>
      <c r="J251" s="2"/>
    </row>
    <row r="252" spans="1:12">
      <c r="A252" t="s">
        <v>20</v>
      </c>
      <c r="B252" s="1">
        <v>41278</v>
      </c>
      <c r="C252" t="s">
        <v>21</v>
      </c>
      <c r="D252">
        <v>1</v>
      </c>
      <c r="E252" t="s">
        <v>19</v>
      </c>
      <c r="F252" s="8" t="s">
        <v>875</v>
      </c>
      <c r="G252" s="9" t="s">
        <v>19</v>
      </c>
      <c r="H252" s="3">
        <f t="shared" si="11"/>
        <v>43103.4375</v>
      </c>
      <c r="I252" s="3">
        <v>6896.55</v>
      </c>
      <c r="J252" s="2"/>
    </row>
    <row r="253" spans="1:12">
      <c r="A253" t="s">
        <v>27</v>
      </c>
      <c r="B253" s="1">
        <v>41279</v>
      </c>
      <c r="C253" t="s">
        <v>28</v>
      </c>
      <c r="D253">
        <v>1</v>
      </c>
      <c r="E253" t="s">
        <v>29</v>
      </c>
      <c r="F253" s="8" t="s">
        <v>772</v>
      </c>
      <c r="G253" s="9" t="s">
        <v>29</v>
      </c>
      <c r="H253" s="3">
        <f t="shared" si="11"/>
        <v>123649</v>
      </c>
      <c r="I253" s="3">
        <v>19783.84</v>
      </c>
      <c r="J253" s="2"/>
    </row>
    <row r="254" spans="1:12">
      <c r="A254" t="s">
        <v>30</v>
      </c>
      <c r="B254" s="1">
        <v>41279</v>
      </c>
      <c r="C254" t="s">
        <v>31</v>
      </c>
      <c r="D254">
        <v>1</v>
      </c>
      <c r="E254" t="s">
        <v>29</v>
      </c>
      <c r="F254" s="8" t="s">
        <v>772</v>
      </c>
      <c r="G254" s="9" t="s">
        <v>29</v>
      </c>
      <c r="H254" s="3">
        <f t="shared" si="11"/>
        <v>14686.5625</v>
      </c>
      <c r="I254" s="3">
        <v>2349.85</v>
      </c>
      <c r="J254" s="2"/>
    </row>
    <row r="255" spans="1:12">
      <c r="A255" t="s">
        <v>32</v>
      </c>
      <c r="B255" s="1">
        <v>41279</v>
      </c>
      <c r="C255" t="s">
        <v>33</v>
      </c>
      <c r="D255">
        <v>1</v>
      </c>
      <c r="E255" t="s">
        <v>29</v>
      </c>
      <c r="F255" s="8" t="s">
        <v>772</v>
      </c>
      <c r="G255" s="9" t="s">
        <v>29</v>
      </c>
      <c r="H255" s="3">
        <f t="shared" si="11"/>
        <v>75000</v>
      </c>
      <c r="I255" s="3">
        <v>12000</v>
      </c>
      <c r="J255" s="2"/>
    </row>
    <row r="256" spans="1:12">
      <c r="A256" t="s">
        <v>45</v>
      </c>
      <c r="B256" s="1">
        <v>41283</v>
      </c>
      <c r="C256" t="s">
        <v>46</v>
      </c>
      <c r="D256">
        <v>1</v>
      </c>
      <c r="E256" t="s">
        <v>6</v>
      </c>
      <c r="F256" s="23" t="s">
        <v>829</v>
      </c>
      <c r="G256" s="24" t="s">
        <v>6</v>
      </c>
      <c r="H256" s="3">
        <f t="shared" si="11"/>
        <v>410772.25</v>
      </c>
      <c r="I256" s="3">
        <v>65723.56</v>
      </c>
      <c r="J256" s="2"/>
    </row>
    <row r="257" spans="1:10">
      <c r="A257" t="s">
        <v>47</v>
      </c>
      <c r="B257" s="1">
        <v>41283</v>
      </c>
      <c r="C257" t="s">
        <v>48</v>
      </c>
      <c r="D257">
        <v>1</v>
      </c>
      <c r="E257" t="s">
        <v>49</v>
      </c>
      <c r="F257" s="12" t="s">
        <v>838</v>
      </c>
      <c r="G257" s="9" t="s">
        <v>49</v>
      </c>
      <c r="H257" s="3">
        <f t="shared" si="11"/>
        <v>1478.4375</v>
      </c>
      <c r="I257" s="3">
        <v>236.55</v>
      </c>
      <c r="J257" s="2"/>
    </row>
    <row r="258" spans="1:10">
      <c r="A258" t="s">
        <v>50</v>
      </c>
      <c r="B258" s="1">
        <v>41283</v>
      </c>
      <c r="C258" t="s">
        <v>51</v>
      </c>
      <c r="D258">
        <v>1</v>
      </c>
      <c r="E258" t="s">
        <v>52</v>
      </c>
      <c r="F258" s="29" t="s">
        <v>879</v>
      </c>
      <c r="G258" t="s">
        <v>52</v>
      </c>
      <c r="H258" s="3">
        <f t="shared" si="11"/>
        <v>1897.4374999999998</v>
      </c>
      <c r="I258" s="3">
        <v>303.58999999999997</v>
      </c>
      <c r="J258" s="2"/>
    </row>
    <row r="259" spans="1:10">
      <c r="A259" t="s">
        <v>69</v>
      </c>
      <c r="B259" s="1">
        <v>41284</v>
      </c>
      <c r="C259" t="s">
        <v>70</v>
      </c>
      <c r="D259">
        <v>1</v>
      </c>
      <c r="E259" t="s">
        <v>71</v>
      </c>
      <c r="F259" s="27" t="s">
        <v>943</v>
      </c>
      <c r="G259" s="35" t="s">
        <v>71</v>
      </c>
      <c r="H259" s="3">
        <f t="shared" si="11"/>
        <v>512.0625</v>
      </c>
      <c r="I259" s="3">
        <v>81.93</v>
      </c>
      <c r="J259" s="2"/>
    </row>
    <row r="260" spans="1:10">
      <c r="A260" t="s">
        <v>72</v>
      </c>
      <c r="B260" s="1">
        <v>41284</v>
      </c>
      <c r="C260" t="s">
        <v>73</v>
      </c>
      <c r="D260">
        <v>2</v>
      </c>
      <c r="E260" t="s">
        <v>74</v>
      </c>
      <c r="F260" s="8" t="s">
        <v>803</v>
      </c>
      <c r="G260" s="9" t="s">
        <v>804</v>
      </c>
      <c r="H260" s="3">
        <f t="shared" si="11"/>
        <v>6982.9375</v>
      </c>
      <c r="I260" s="3">
        <v>1117.27</v>
      </c>
      <c r="J260" s="2"/>
    </row>
    <row r="261" spans="1:10">
      <c r="A261" t="s">
        <v>75</v>
      </c>
      <c r="B261" s="1">
        <v>41284</v>
      </c>
      <c r="C261" t="s">
        <v>76</v>
      </c>
      <c r="D261">
        <v>1</v>
      </c>
      <c r="E261" t="s">
        <v>77</v>
      </c>
      <c r="F261" s="8" t="s">
        <v>798</v>
      </c>
      <c r="G261" s="9" t="s">
        <v>77</v>
      </c>
      <c r="H261" s="3">
        <f t="shared" si="11"/>
        <v>3211</v>
      </c>
      <c r="I261" s="3">
        <v>513.76</v>
      </c>
      <c r="J261" s="2"/>
    </row>
    <row r="262" spans="1:10">
      <c r="A262" t="s">
        <v>78</v>
      </c>
      <c r="B262" s="1">
        <v>41284</v>
      </c>
      <c r="C262" t="s">
        <v>79</v>
      </c>
      <c r="D262">
        <v>1</v>
      </c>
      <c r="E262" t="s">
        <v>80</v>
      </c>
      <c r="F262" s="8" t="s">
        <v>781</v>
      </c>
      <c r="G262" s="9" t="s">
        <v>80</v>
      </c>
      <c r="H262" s="3">
        <f t="shared" si="11"/>
        <v>2092</v>
      </c>
      <c r="I262" s="3">
        <v>334.72</v>
      </c>
      <c r="J262" s="2"/>
    </row>
    <row r="263" spans="1:10">
      <c r="A263" t="s">
        <v>81</v>
      </c>
      <c r="B263" s="1">
        <v>41284</v>
      </c>
      <c r="C263" t="s">
        <v>82</v>
      </c>
      <c r="D263">
        <v>1</v>
      </c>
      <c r="E263" t="s">
        <v>83</v>
      </c>
      <c r="F263" s="27" t="s">
        <v>877</v>
      </c>
      <c r="G263" s="28" t="s">
        <v>223</v>
      </c>
      <c r="H263" s="3">
        <f t="shared" si="11"/>
        <v>26203.6875</v>
      </c>
      <c r="I263" s="3">
        <v>4192.59</v>
      </c>
      <c r="J263" s="2"/>
    </row>
    <row r="264" spans="1:10">
      <c r="A264" t="s">
        <v>84</v>
      </c>
      <c r="B264" s="1">
        <v>41284</v>
      </c>
      <c r="C264" t="s">
        <v>85</v>
      </c>
      <c r="D264">
        <v>1</v>
      </c>
      <c r="E264" t="s">
        <v>86</v>
      </c>
      <c r="F264" s="8" t="s">
        <v>851</v>
      </c>
      <c r="G264" s="9" t="s">
        <v>86</v>
      </c>
      <c r="H264" s="3">
        <f t="shared" si="11"/>
        <v>2425.3125</v>
      </c>
      <c r="I264" s="3">
        <v>388.05</v>
      </c>
      <c r="J264" s="2"/>
    </row>
    <row r="265" spans="1:10">
      <c r="A265" t="s">
        <v>87</v>
      </c>
      <c r="B265" s="1">
        <v>41284</v>
      </c>
      <c r="C265" t="s">
        <v>88</v>
      </c>
      <c r="D265">
        <v>2</v>
      </c>
      <c r="E265" t="s">
        <v>89</v>
      </c>
      <c r="F265" s="8" t="s">
        <v>850</v>
      </c>
      <c r="G265" s="9" t="s">
        <v>89</v>
      </c>
      <c r="H265" s="3">
        <f t="shared" si="11"/>
        <v>13021.562499999998</v>
      </c>
      <c r="I265" s="3">
        <v>2083.4499999999998</v>
      </c>
      <c r="J265" s="2"/>
    </row>
    <row r="266" spans="1:10">
      <c r="A266" t="s">
        <v>90</v>
      </c>
      <c r="B266" s="1">
        <v>41284</v>
      </c>
      <c r="C266" t="s">
        <v>91</v>
      </c>
      <c r="D266">
        <v>1</v>
      </c>
      <c r="E266" t="s">
        <v>89</v>
      </c>
      <c r="F266" s="8" t="s">
        <v>850</v>
      </c>
      <c r="G266" s="9" t="s">
        <v>89</v>
      </c>
      <c r="H266" s="3">
        <f t="shared" si="11"/>
        <v>14300</v>
      </c>
      <c r="I266" s="3">
        <v>2288</v>
      </c>
      <c r="J266" s="2"/>
    </row>
    <row r="267" spans="1:10">
      <c r="A267" t="s">
        <v>92</v>
      </c>
      <c r="B267" s="1">
        <v>41284</v>
      </c>
      <c r="C267" t="s">
        <v>93</v>
      </c>
      <c r="D267">
        <v>2</v>
      </c>
      <c r="E267" t="s">
        <v>94</v>
      </c>
      <c r="F267" s="8" t="s">
        <v>868</v>
      </c>
      <c r="G267" s="9" t="s">
        <v>94</v>
      </c>
      <c r="H267" s="3">
        <f t="shared" si="11"/>
        <v>7700</v>
      </c>
      <c r="I267" s="3">
        <v>1232</v>
      </c>
      <c r="J267" s="2"/>
    </row>
    <row r="268" spans="1:10">
      <c r="A268" t="s">
        <v>95</v>
      </c>
      <c r="B268" s="1">
        <v>41284</v>
      </c>
      <c r="C268" t="s">
        <v>96</v>
      </c>
      <c r="D268">
        <v>1</v>
      </c>
      <c r="E268" t="s">
        <v>97</v>
      </c>
      <c r="F268" s="8" t="s">
        <v>820</v>
      </c>
      <c r="G268" s="9" t="s">
        <v>97</v>
      </c>
      <c r="H268" s="3">
        <f t="shared" si="11"/>
        <v>3678.3125</v>
      </c>
      <c r="I268" s="3">
        <v>588.53</v>
      </c>
      <c r="J268" s="2"/>
    </row>
    <row r="269" spans="1:10">
      <c r="A269" t="s">
        <v>98</v>
      </c>
      <c r="B269" s="1">
        <v>41284</v>
      </c>
      <c r="C269" t="s">
        <v>99</v>
      </c>
      <c r="D269">
        <v>1</v>
      </c>
      <c r="E269" t="s">
        <v>100</v>
      </c>
      <c r="F269" s="8" t="s">
        <v>764</v>
      </c>
      <c r="G269" s="9" t="s">
        <v>100</v>
      </c>
      <c r="H269" s="3">
        <f t="shared" si="11"/>
        <v>20019</v>
      </c>
      <c r="I269" s="3">
        <v>3203.04</v>
      </c>
      <c r="J269" s="2"/>
    </row>
    <row r="270" spans="1:10">
      <c r="A270" t="s">
        <v>110</v>
      </c>
      <c r="B270" s="1">
        <v>41285</v>
      </c>
      <c r="C270" t="s">
        <v>111</v>
      </c>
      <c r="D270">
        <v>1</v>
      </c>
      <c r="E270" t="s">
        <v>112</v>
      </c>
      <c r="F270" s="8" t="s">
        <v>805</v>
      </c>
      <c r="G270" s="9" t="s">
        <v>112</v>
      </c>
      <c r="H270" s="3">
        <f t="shared" si="11"/>
        <v>25000</v>
      </c>
      <c r="I270" s="3">
        <v>4000</v>
      </c>
      <c r="J270" s="2"/>
    </row>
    <row r="271" spans="1:10">
      <c r="A271" t="s">
        <v>113</v>
      </c>
      <c r="B271" s="1">
        <v>41285</v>
      </c>
      <c r="C271" t="s">
        <v>114</v>
      </c>
      <c r="D271">
        <v>1</v>
      </c>
      <c r="E271" t="s">
        <v>115</v>
      </c>
      <c r="F271" s="8" t="s">
        <v>952</v>
      </c>
      <c r="G271" s="9" t="s">
        <v>953</v>
      </c>
      <c r="H271" s="3">
        <f t="shared" si="11"/>
        <v>2606</v>
      </c>
      <c r="I271" s="3">
        <v>416.96</v>
      </c>
      <c r="J271" s="2"/>
    </row>
    <row r="272" spans="1:10">
      <c r="A272" t="s">
        <v>116</v>
      </c>
      <c r="B272" s="1">
        <v>41285</v>
      </c>
      <c r="C272" t="s">
        <v>117</v>
      </c>
      <c r="D272">
        <v>1</v>
      </c>
      <c r="E272" t="s">
        <v>118</v>
      </c>
      <c r="F272" s="29" t="s">
        <v>889</v>
      </c>
      <c r="G272" t="s">
        <v>118</v>
      </c>
      <c r="H272" s="3">
        <f t="shared" si="11"/>
        <v>1800</v>
      </c>
      <c r="I272" s="3">
        <v>288</v>
      </c>
      <c r="J272" s="2"/>
    </row>
    <row r="273" spans="1:11">
      <c r="A273" t="s">
        <v>119</v>
      </c>
      <c r="B273" s="1">
        <v>41285</v>
      </c>
      <c r="C273" t="s">
        <v>120</v>
      </c>
      <c r="D273">
        <v>2</v>
      </c>
      <c r="E273" t="s">
        <v>121</v>
      </c>
      <c r="F273" s="8" t="s">
        <v>858</v>
      </c>
      <c r="G273" s="9" t="s">
        <v>121</v>
      </c>
      <c r="H273" s="3">
        <f t="shared" si="11"/>
        <v>2100</v>
      </c>
      <c r="I273" s="3">
        <v>336</v>
      </c>
      <c r="J273" s="2"/>
    </row>
    <row r="274" spans="1:11">
      <c r="A274" t="s">
        <v>122</v>
      </c>
      <c r="B274" s="1">
        <v>41285</v>
      </c>
      <c r="C274" t="s">
        <v>123</v>
      </c>
      <c r="D274">
        <v>1</v>
      </c>
      <c r="E274" t="s">
        <v>124</v>
      </c>
      <c r="F274" s="8" t="s">
        <v>733</v>
      </c>
      <c r="G274" s="9" t="s">
        <v>124</v>
      </c>
      <c r="H274" s="3">
        <f t="shared" si="11"/>
        <v>12600</v>
      </c>
      <c r="I274" s="3">
        <v>2016</v>
      </c>
      <c r="J274" s="2"/>
      <c r="K274" s="2"/>
    </row>
    <row r="275" spans="1:11">
      <c r="A275" t="s">
        <v>125</v>
      </c>
      <c r="B275" s="1">
        <v>41285</v>
      </c>
      <c r="C275" t="s">
        <v>126</v>
      </c>
      <c r="D275">
        <v>2</v>
      </c>
      <c r="E275" t="s">
        <v>127</v>
      </c>
      <c r="F275" s="8" t="s">
        <v>849</v>
      </c>
      <c r="G275" s="9" t="s">
        <v>127</v>
      </c>
      <c r="H275" s="3">
        <f t="shared" si="11"/>
        <v>8200</v>
      </c>
      <c r="I275" s="3">
        <v>1312</v>
      </c>
      <c r="J275" s="2"/>
    </row>
    <row r="276" spans="1:11">
      <c r="A276" t="s">
        <v>128</v>
      </c>
      <c r="B276" s="1">
        <v>41285</v>
      </c>
      <c r="C276" t="s">
        <v>129</v>
      </c>
      <c r="D276">
        <v>1</v>
      </c>
      <c r="E276" t="s">
        <v>130</v>
      </c>
      <c r="F276" s="8" t="s">
        <v>917</v>
      </c>
      <c r="G276" s="9" t="s">
        <v>918</v>
      </c>
      <c r="H276" s="3">
        <f t="shared" ref="H276:H307" si="12">I276*100/16</f>
        <v>3145.125</v>
      </c>
      <c r="I276" s="3">
        <v>503.22</v>
      </c>
      <c r="J276" s="2"/>
    </row>
    <row r="277" spans="1:11">
      <c r="A277" t="s">
        <v>131</v>
      </c>
      <c r="B277" s="1">
        <v>41285</v>
      </c>
      <c r="C277" t="s">
        <v>132</v>
      </c>
      <c r="D277">
        <v>1</v>
      </c>
      <c r="E277" t="s">
        <v>133</v>
      </c>
      <c r="F277" s="8" t="s">
        <v>782</v>
      </c>
      <c r="G277" s="9" t="s">
        <v>783</v>
      </c>
      <c r="H277" s="3">
        <f t="shared" si="12"/>
        <v>51896.562500000007</v>
      </c>
      <c r="I277" s="3">
        <v>8303.4500000000007</v>
      </c>
      <c r="J277" s="2"/>
    </row>
    <row r="278" spans="1:11">
      <c r="A278" t="s">
        <v>134</v>
      </c>
      <c r="B278" s="1">
        <v>41285</v>
      </c>
      <c r="C278" t="s">
        <v>135</v>
      </c>
      <c r="D278">
        <v>1</v>
      </c>
      <c r="E278" t="s">
        <v>19</v>
      </c>
      <c r="F278" s="8" t="s">
        <v>875</v>
      </c>
      <c r="G278" s="9" t="s">
        <v>19</v>
      </c>
      <c r="H278" s="3">
        <f t="shared" si="12"/>
        <v>43103.4375</v>
      </c>
      <c r="I278" s="3">
        <v>6896.55</v>
      </c>
      <c r="J278" s="2"/>
    </row>
    <row r="279" spans="1:11">
      <c r="A279" t="s">
        <v>136</v>
      </c>
      <c r="B279" s="1">
        <v>41285</v>
      </c>
      <c r="C279" t="s">
        <v>137</v>
      </c>
      <c r="D279">
        <v>1</v>
      </c>
      <c r="E279" t="s">
        <v>29</v>
      </c>
      <c r="F279" s="8" t="s">
        <v>772</v>
      </c>
      <c r="G279" s="9" t="s">
        <v>29</v>
      </c>
      <c r="H279" s="3">
        <f t="shared" si="12"/>
        <v>149625.9375</v>
      </c>
      <c r="I279" s="3">
        <v>23940.15</v>
      </c>
      <c r="J279" s="2"/>
    </row>
    <row r="280" spans="1:11">
      <c r="A280" t="s">
        <v>150</v>
      </c>
      <c r="B280" s="1">
        <v>41288</v>
      </c>
      <c r="C280" t="s">
        <v>151</v>
      </c>
      <c r="D280">
        <v>1</v>
      </c>
      <c r="E280" t="s">
        <v>29</v>
      </c>
      <c r="F280" s="8" t="s">
        <v>772</v>
      </c>
      <c r="G280" s="9" t="s">
        <v>29</v>
      </c>
      <c r="H280" s="3">
        <f t="shared" si="12"/>
        <v>17750.0625</v>
      </c>
      <c r="I280" s="3">
        <v>2840.01</v>
      </c>
      <c r="J280" s="2"/>
    </row>
    <row r="281" spans="1:11">
      <c r="A281" t="s">
        <v>152</v>
      </c>
      <c r="B281" s="1">
        <v>41288</v>
      </c>
      <c r="C281" t="s">
        <v>153</v>
      </c>
      <c r="D281">
        <v>1</v>
      </c>
      <c r="E281" t="s">
        <v>29</v>
      </c>
      <c r="F281" s="8" t="s">
        <v>772</v>
      </c>
      <c r="G281" s="9" t="s">
        <v>29</v>
      </c>
      <c r="H281" s="3">
        <f t="shared" si="12"/>
        <v>2096.6875</v>
      </c>
      <c r="I281" s="3">
        <v>335.47</v>
      </c>
      <c r="J281" s="2"/>
    </row>
    <row r="282" spans="1:11">
      <c r="A282" t="s">
        <v>154</v>
      </c>
      <c r="B282" s="1">
        <v>41288</v>
      </c>
      <c r="C282" t="s">
        <v>155</v>
      </c>
      <c r="D282">
        <v>1</v>
      </c>
      <c r="E282" t="s">
        <v>29</v>
      </c>
      <c r="F282" s="8" t="s">
        <v>772</v>
      </c>
      <c r="G282" s="9" t="s">
        <v>29</v>
      </c>
      <c r="H282" s="3">
        <f t="shared" si="12"/>
        <v>9188</v>
      </c>
      <c r="I282" s="3">
        <v>1470.08</v>
      </c>
      <c r="J282" s="2"/>
    </row>
    <row r="283" spans="1:11">
      <c r="A283" t="s">
        <v>156</v>
      </c>
      <c r="B283" s="1">
        <v>41288</v>
      </c>
      <c r="C283" t="s">
        <v>157</v>
      </c>
      <c r="D283">
        <v>2</v>
      </c>
      <c r="E283" t="s">
        <v>158</v>
      </c>
      <c r="F283" s="8" t="s">
        <v>865</v>
      </c>
      <c r="G283" s="9" t="s">
        <v>158</v>
      </c>
      <c r="H283" s="3">
        <f t="shared" si="12"/>
        <v>2520</v>
      </c>
      <c r="I283" s="3">
        <v>403.2</v>
      </c>
      <c r="J283" s="2"/>
    </row>
    <row r="284" spans="1:11">
      <c r="A284" t="s">
        <v>159</v>
      </c>
      <c r="B284" s="1">
        <v>41288</v>
      </c>
      <c r="C284" t="s">
        <v>160</v>
      </c>
      <c r="D284">
        <v>1</v>
      </c>
      <c r="E284" t="s">
        <v>29</v>
      </c>
      <c r="F284" s="8" t="s">
        <v>772</v>
      </c>
      <c r="G284" s="9" t="s">
        <v>29</v>
      </c>
      <c r="H284" s="3">
        <f t="shared" si="12"/>
        <v>377267.5625</v>
      </c>
      <c r="I284" s="3">
        <v>60362.81</v>
      </c>
      <c r="J284" s="2"/>
    </row>
    <row r="285" spans="1:11">
      <c r="A285" t="s">
        <v>161</v>
      </c>
      <c r="B285" s="1">
        <v>41288</v>
      </c>
      <c r="C285" t="s">
        <v>162</v>
      </c>
      <c r="D285">
        <v>1</v>
      </c>
      <c r="E285" t="s">
        <v>29</v>
      </c>
      <c r="F285" s="8" t="s">
        <v>772</v>
      </c>
      <c r="G285" s="9" t="s">
        <v>29</v>
      </c>
      <c r="H285" s="3">
        <f t="shared" si="12"/>
        <v>2776.875</v>
      </c>
      <c r="I285" s="3">
        <v>444.3</v>
      </c>
      <c r="J285" s="2"/>
    </row>
    <row r="286" spans="1:11">
      <c r="A286" t="s">
        <v>172</v>
      </c>
      <c r="B286" s="1">
        <v>41289</v>
      </c>
      <c r="C286" t="s">
        <v>173</v>
      </c>
      <c r="D286">
        <v>1</v>
      </c>
      <c r="E286" t="s">
        <v>174</v>
      </c>
      <c r="F286" s="8" t="s">
        <v>859</v>
      </c>
      <c r="G286" s="9" t="s">
        <v>174</v>
      </c>
      <c r="H286" s="3">
        <f t="shared" si="12"/>
        <v>8597.8125</v>
      </c>
      <c r="I286" s="3">
        <v>1375.65</v>
      </c>
      <c r="J286" s="2"/>
    </row>
    <row r="287" spans="1:11">
      <c r="A287" t="s">
        <v>175</v>
      </c>
      <c r="B287" s="1">
        <v>41289</v>
      </c>
      <c r="C287" t="s">
        <v>176</v>
      </c>
      <c r="D287">
        <v>1</v>
      </c>
      <c r="E287" t="s">
        <v>177</v>
      </c>
      <c r="F287" s="27" t="s">
        <v>954</v>
      </c>
      <c r="G287" s="28" t="s">
        <v>955</v>
      </c>
      <c r="H287" s="3">
        <f t="shared" si="12"/>
        <v>168.125</v>
      </c>
      <c r="I287" s="3">
        <v>26.9</v>
      </c>
      <c r="J287" s="2"/>
    </row>
    <row r="288" spans="1:11">
      <c r="A288" t="s">
        <v>182</v>
      </c>
      <c r="B288" s="1">
        <v>41290</v>
      </c>
      <c r="C288" t="s">
        <v>183</v>
      </c>
      <c r="D288">
        <v>1</v>
      </c>
      <c r="E288" t="s">
        <v>184</v>
      </c>
      <c r="F288" s="8" t="s">
        <v>811</v>
      </c>
      <c r="G288" s="9" t="s">
        <v>813</v>
      </c>
      <c r="H288" s="3">
        <f t="shared" si="12"/>
        <v>19227</v>
      </c>
      <c r="I288" s="3">
        <v>3076.32</v>
      </c>
      <c r="J288" s="2"/>
    </row>
    <row r="289" spans="1:12">
      <c r="A289" t="s">
        <v>185</v>
      </c>
      <c r="B289" s="1">
        <v>41291</v>
      </c>
      <c r="C289" t="s">
        <v>186</v>
      </c>
      <c r="D289">
        <v>1</v>
      </c>
      <c r="E289" t="s">
        <v>29</v>
      </c>
      <c r="F289" s="8" t="s">
        <v>772</v>
      </c>
      <c r="G289" s="9" t="s">
        <v>29</v>
      </c>
      <c r="H289" s="3">
        <f t="shared" si="12"/>
        <v>123747.0625</v>
      </c>
      <c r="I289" s="3">
        <v>19799.53</v>
      </c>
      <c r="J289" s="2"/>
    </row>
    <row r="290" spans="1:12">
      <c r="A290" t="s">
        <v>187</v>
      </c>
      <c r="B290" s="1">
        <v>41291</v>
      </c>
      <c r="C290" t="s">
        <v>186</v>
      </c>
      <c r="D290">
        <v>1</v>
      </c>
      <c r="E290" t="s">
        <v>29</v>
      </c>
      <c r="F290" s="8" t="s">
        <v>772</v>
      </c>
      <c r="G290" s="9" t="s">
        <v>29</v>
      </c>
      <c r="H290" s="3">
        <f t="shared" si="12"/>
        <v>1469.125</v>
      </c>
      <c r="I290" s="3">
        <v>235.06</v>
      </c>
      <c r="J290" s="2"/>
    </row>
    <row r="291" spans="1:12">
      <c r="A291" t="s">
        <v>201</v>
      </c>
      <c r="B291" s="1">
        <v>41292</v>
      </c>
      <c r="C291" t="s">
        <v>202</v>
      </c>
      <c r="D291">
        <v>1</v>
      </c>
      <c r="E291" t="s">
        <v>19</v>
      </c>
      <c r="F291" s="8" t="s">
        <v>875</v>
      </c>
      <c r="G291" s="9" t="s">
        <v>19</v>
      </c>
      <c r="H291" s="3">
        <f t="shared" si="12"/>
        <v>43103.4375</v>
      </c>
      <c r="I291" s="3">
        <v>6896.55</v>
      </c>
      <c r="J291" s="2"/>
    </row>
    <row r="292" spans="1:12">
      <c r="A292" t="s">
        <v>203</v>
      </c>
      <c r="B292" s="1">
        <v>41292</v>
      </c>
      <c r="C292" t="s">
        <v>204</v>
      </c>
      <c r="D292">
        <v>1</v>
      </c>
      <c r="E292" t="s">
        <v>29</v>
      </c>
      <c r="F292" s="8" t="s">
        <v>772</v>
      </c>
      <c r="G292" s="9" t="s">
        <v>29</v>
      </c>
      <c r="H292" s="3">
        <f t="shared" si="12"/>
        <v>87250.0625</v>
      </c>
      <c r="I292" s="3">
        <v>13960.01</v>
      </c>
      <c r="J292" s="2"/>
    </row>
    <row r="293" spans="1:12">
      <c r="A293" t="s">
        <v>205</v>
      </c>
      <c r="B293" s="1">
        <v>41292</v>
      </c>
      <c r="C293" t="s">
        <v>206</v>
      </c>
      <c r="D293">
        <v>2</v>
      </c>
      <c r="E293" t="s">
        <v>207</v>
      </c>
      <c r="F293" s="8" t="s">
        <v>806</v>
      </c>
      <c r="G293" s="9" t="s">
        <v>807</v>
      </c>
      <c r="H293" s="3">
        <f t="shared" si="12"/>
        <v>2362.5</v>
      </c>
      <c r="I293" s="3">
        <v>378</v>
      </c>
      <c r="J293" s="2"/>
    </row>
    <row r="294" spans="1:12">
      <c r="A294" t="s">
        <v>208</v>
      </c>
      <c r="B294" s="1">
        <v>41292</v>
      </c>
      <c r="C294" t="s">
        <v>209</v>
      </c>
      <c r="D294">
        <v>1</v>
      </c>
      <c r="E294" t="s">
        <v>210</v>
      </c>
      <c r="F294" s="10" t="s">
        <v>744</v>
      </c>
      <c r="G294" s="11" t="s">
        <v>210</v>
      </c>
      <c r="H294" s="3">
        <f t="shared" si="12"/>
        <v>9929.9375</v>
      </c>
      <c r="I294" s="3">
        <v>1588.79</v>
      </c>
      <c r="J294" s="2"/>
      <c r="K294" s="2"/>
    </row>
    <row r="295" spans="1:12">
      <c r="A295" t="s">
        <v>211</v>
      </c>
      <c r="B295" s="1">
        <v>41292</v>
      </c>
      <c r="C295" t="s">
        <v>212</v>
      </c>
      <c r="D295">
        <v>1</v>
      </c>
      <c r="E295" t="s">
        <v>22</v>
      </c>
      <c r="F295" s="8" t="s">
        <v>793</v>
      </c>
      <c r="G295" s="9" t="s">
        <v>22</v>
      </c>
      <c r="H295" s="3">
        <f t="shared" si="12"/>
        <v>35437.9375</v>
      </c>
      <c r="I295" s="3">
        <v>5670.07</v>
      </c>
      <c r="J295" s="2"/>
    </row>
    <row r="296" spans="1:12">
      <c r="A296" t="s">
        <v>213</v>
      </c>
      <c r="B296" s="1">
        <v>41292</v>
      </c>
      <c r="C296" t="s">
        <v>214</v>
      </c>
      <c r="D296">
        <v>1</v>
      </c>
      <c r="E296" t="s">
        <v>215</v>
      </c>
      <c r="F296" s="8" t="s">
        <v>801</v>
      </c>
      <c r="G296" s="9" t="s">
        <v>215</v>
      </c>
      <c r="H296" s="3">
        <f t="shared" si="12"/>
        <v>10250</v>
      </c>
      <c r="I296" s="3">
        <v>1640</v>
      </c>
      <c r="J296" s="2"/>
    </row>
    <row r="297" spans="1:12">
      <c r="A297" t="s">
        <v>216</v>
      </c>
      <c r="B297" s="1">
        <v>41292</v>
      </c>
      <c r="C297" t="s">
        <v>217</v>
      </c>
      <c r="D297">
        <v>2</v>
      </c>
      <c r="E297" t="s">
        <v>94</v>
      </c>
      <c r="F297" s="8" t="s">
        <v>868</v>
      </c>
      <c r="G297" s="9" t="s">
        <v>94</v>
      </c>
      <c r="H297" s="3">
        <f t="shared" si="12"/>
        <v>7750</v>
      </c>
      <c r="I297" s="3">
        <v>1240</v>
      </c>
      <c r="J297" s="2"/>
    </row>
    <row r="298" spans="1:12">
      <c r="A298" t="s">
        <v>218</v>
      </c>
      <c r="B298" s="1">
        <v>41292</v>
      </c>
      <c r="C298" t="s">
        <v>219</v>
      </c>
      <c r="D298">
        <v>2</v>
      </c>
      <c r="E298" t="s">
        <v>220</v>
      </c>
      <c r="F298" s="8" t="s">
        <v>797</v>
      </c>
      <c r="G298" s="9" t="s">
        <v>220</v>
      </c>
      <c r="H298" s="3">
        <f t="shared" si="12"/>
        <v>9995</v>
      </c>
      <c r="I298" s="3">
        <v>1599.2</v>
      </c>
      <c r="J298" s="2"/>
    </row>
    <row r="299" spans="1:12">
      <c r="A299" t="s">
        <v>221</v>
      </c>
      <c r="B299" s="1">
        <v>41292</v>
      </c>
      <c r="C299" t="s">
        <v>222</v>
      </c>
      <c r="D299">
        <v>1</v>
      </c>
      <c r="E299" t="s">
        <v>223</v>
      </c>
      <c r="F299" s="27" t="s">
        <v>877</v>
      </c>
      <c r="G299" s="28" t="s">
        <v>223</v>
      </c>
      <c r="H299" s="3">
        <f t="shared" si="12"/>
        <v>9736.625</v>
      </c>
      <c r="I299" s="3">
        <v>1557.86</v>
      </c>
      <c r="J299" s="2"/>
    </row>
    <row r="300" spans="1:12">
      <c r="A300" t="s">
        <v>224</v>
      </c>
      <c r="B300" s="1">
        <v>41292</v>
      </c>
      <c r="C300" t="s">
        <v>225</v>
      </c>
      <c r="D300">
        <v>1</v>
      </c>
      <c r="E300" t="s">
        <v>226</v>
      </c>
      <c r="F300" s="10" t="s">
        <v>802</v>
      </c>
      <c r="G300" s="11" t="s">
        <v>226</v>
      </c>
      <c r="H300" s="3">
        <f t="shared" si="12"/>
        <v>150.5625</v>
      </c>
      <c r="I300" s="3">
        <v>24.09</v>
      </c>
      <c r="J300" s="2" t="e">
        <f>+#REF!-H300</f>
        <v>#REF!</v>
      </c>
      <c r="K300" s="14" t="e">
        <f>+#REF!-I300</f>
        <v>#REF!</v>
      </c>
      <c r="L300" t="s">
        <v>796</v>
      </c>
    </row>
    <row r="301" spans="1:12">
      <c r="A301" t="s">
        <v>227</v>
      </c>
      <c r="B301" s="1">
        <v>41292</v>
      </c>
      <c r="C301" t="s">
        <v>228</v>
      </c>
      <c r="D301">
        <v>1</v>
      </c>
      <c r="E301" t="s">
        <v>229</v>
      </c>
      <c r="F301" s="8" t="s">
        <v>839</v>
      </c>
      <c r="G301" s="9" t="s">
        <v>229</v>
      </c>
      <c r="H301" s="3">
        <f t="shared" si="12"/>
        <v>4625</v>
      </c>
      <c r="I301" s="3">
        <v>740</v>
      </c>
      <c r="J301" s="2"/>
    </row>
    <row r="302" spans="1:12">
      <c r="A302" t="s">
        <v>230</v>
      </c>
      <c r="B302" s="1">
        <v>41292</v>
      </c>
      <c r="C302" t="s">
        <v>231</v>
      </c>
      <c r="D302">
        <v>1</v>
      </c>
      <c r="E302" t="s">
        <v>80</v>
      </c>
      <c r="F302" s="8" t="s">
        <v>781</v>
      </c>
      <c r="G302" s="9" t="s">
        <v>80</v>
      </c>
      <c r="H302" s="3">
        <f t="shared" si="12"/>
        <v>2836.5</v>
      </c>
      <c r="I302" s="3">
        <v>453.84</v>
      </c>
      <c r="J302" s="2"/>
    </row>
    <row r="303" spans="1:12">
      <c r="A303" t="s">
        <v>232</v>
      </c>
      <c r="B303" s="1">
        <v>41292</v>
      </c>
      <c r="C303" t="s">
        <v>233</v>
      </c>
      <c r="D303">
        <v>1</v>
      </c>
      <c r="E303" t="s">
        <v>77</v>
      </c>
      <c r="F303" s="8" t="s">
        <v>798</v>
      </c>
      <c r="G303" s="9" t="s">
        <v>77</v>
      </c>
      <c r="H303" s="3">
        <f t="shared" si="12"/>
        <v>540</v>
      </c>
      <c r="I303" s="3">
        <v>86.4</v>
      </c>
      <c r="J303" s="2"/>
    </row>
    <row r="304" spans="1:12">
      <c r="A304" t="s">
        <v>234</v>
      </c>
      <c r="B304" s="1">
        <v>41292</v>
      </c>
      <c r="C304" t="s">
        <v>235</v>
      </c>
      <c r="D304">
        <v>2</v>
      </c>
      <c r="E304" t="s">
        <v>74</v>
      </c>
      <c r="F304" s="8" t="s">
        <v>803</v>
      </c>
      <c r="G304" s="9" t="s">
        <v>804</v>
      </c>
      <c r="H304" s="3">
        <f t="shared" si="12"/>
        <v>21798</v>
      </c>
      <c r="I304" s="3">
        <v>3487.68</v>
      </c>
      <c r="J304" s="2"/>
    </row>
    <row r="305" spans="1:11">
      <c r="A305" t="s">
        <v>253</v>
      </c>
      <c r="B305" s="1">
        <v>41293</v>
      </c>
      <c r="C305" t="s">
        <v>254</v>
      </c>
      <c r="D305">
        <v>1</v>
      </c>
      <c r="E305" t="s">
        <v>19</v>
      </c>
      <c r="F305" s="8" t="s">
        <v>875</v>
      </c>
      <c r="G305" s="9" t="s">
        <v>19</v>
      </c>
      <c r="H305" s="3">
        <f t="shared" si="12"/>
        <v>43103.4375</v>
      </c>
      <c r="I305" s="3">
        <v>6896.55</v>
      </c>
      <c r="J305" s="2"/>
    </row>
    <row r="306" spans="1:11">
      <c r="A306" t="s">
        <v>255</v>
      </c>
      <c r="B306" s="1">
        <v>41293</v>
      </c>
      <c r="C306" t="s">
        <v>256</v>
      </c>
      <c r="D306">
        <v>1</v>
      </c>
      <c r="E306" t="s">
        <v>19</v>
      </c>
      <c r="F306" s="8" t="s">
        <v>875</v>
      </c>
      <c r="G306" s="9" t="s">
        <v>19</v>
      </c>
      <c r="H306" s="3">
        <f t="shared" si="12"/>
        <v>43103.4375</v>
      </c>
      <c r="I306" s="3">
        <v>6896.55</v>
      </c>
      <c r="J306" s="2"/>
    </row>
    <row r="307" spans="1:11">
      <c r="A307" t="s">
        <v>279</v>
      </c>
      <c r="B307" s="1">
        <v>41297</v>
      </c>
      <c r="C307" t="s">
        <v>280</v>
      </c>
      <c r="D307">
        <v>2</v>
      </c>
      <c r="E307" t="s">
        <v>281</v>
      </c>
      <c r="F307" s="8" t="s">
        <v>743</v>
      </c>
      <c r="G307" s="9" t="s">
        <v>281</v>
      </c>
      <c r="H307" s="3">
        <f t="shared" si="12"/>
        <v>2000</v>
      </c>
      <c r="I307" s="3">
        <v>320</v>
      </c>
      <c r="J307" s="2"/>
      <c r="K307" s="2"/>
    </row>
    <row r="308" spans="1:11">
      <c r="A308" t="s">
        <v>282</v>
      </c>
      <c r="B308" s="1">
        <v>41297</v>
      </c>
      <c r="C308" t="s">
        <v>283</v>
      </c>
      <c r="D308">
        <v>1</v>
      </c>
      <c r="E308" t="s">
        <v>284</v>
      </c>
      <c r="F308" s="8" t="s">
        <v>763</v>
      </c>
      <c r="G308" s="9" t="s">
        <v>284</v>
      </c>
      <c r="H308" s="3">
        <f t="shared" ref="H308:H339" si="13">I308*100/16</f>
        <v>1041.125</v>
      </c>
      <c r="I308" s="3">
        <v>166.58</v>
      </c>
      <c r="J308" s="2"/>
    </row>
    <row r="309" spans="1:11">
      <c r="A309" t="s">
        <v>285</v>
      </c>
      <c r="B309" s="1">
        <v>41297</v>
      </c>
      <c r="C309" t="s">
        <v>286</v>
      </c>
      <c r="D309">
        <v>1</v>
      </c>
      <c r="E309" t="s">
        <v>287</v>
      </c>
      <c r="F309" s="8" t="s">
        <v>846</v>
      </c>
      <c r="G309" s="9" t="s">
        <v>287</v>
      </c>
      <c r="H309" s="3">
        <f t="shared" si="13"/>
        <v>439.68749999999994</v>
      </c>
      <c r="I309" s="3">
        <v>70.349999999999994</v>
      </c>
      <c r="J309" s="2"/>
    </row>
    <row r="310" spans="1:11">
      <c r="A310" t="s">
        <v>294</v>
      </c>
      <c r="B310" s="1">
        <v>41298</v>
      </c>
      <c r="C310" t="s">
        <v>295</v>
      </c>
      <c r="D310">
        <v>1</v>
      </c>
      <c r="E310" t="s">
        <v>296</v>
      </c>
      <c r="F310" s="8" t="s">
        <v>777</v>
      </c>
      <c r="G310" s="9" t="s">
        <v>296</v>
      </c>
      <c r="H310" s="3">
        <f t="shared" si="13"/>
        <v>4310.375</v>
      </c>
      <c r="I310" s="3">
        <v>689.66</v>
      </c>
      <c r="J310" s="2"/>
    </row>
    <row r="311" spans="1:11">
      <c r="A311" t="s">
        <v>297</v>
      </c>
      <c r="B311" s="1">
        <v>41298</v>
      </c>
      <c r="C311" t="s">
        <v>298</v>
      </c>
      <c r="D311">
        <v>2</v>
      </c>
      <c r="E311" t="s">
        <v>74</v>
      </c>
      <c r="F311" s="8" t="s">
        <v>803</v>
      </c>
      <c r="G311" s="9" t="s">
        <v>804</v>
      </c>
      <c r="H311" s="3">
        <f t="shared" si="13"/>
        <v>18843</v>
      </c>
      <c r="I311" s="3">
        <v>3014.88</v>
      </c>
      <c r="J311" s="2"/>
    </row>
    <row r="312" spans="1:11">
      <c r="A312" t="s">
        <v>304</v>
      </c>
      <c r="B312" s="1">
        <v>41299</v>
      </c>
      <c r="C312" t="s">
        <v>305</v>
      </c>
      <c r="D312">
        <v>1</v>
      </c>
      <c r="E312" t="s">
        <v>306</v>
      </c>
      <c r="F312" s="8" t="s">
        <v>876</v>
      </c>
      <c r="G312" s="9" t="s">
        <v>306</v>
      </c>
      <c r="H312" s="3">
        <f t="shared" si="13"/>
        <v>32839.1875</v>
      </c>
      <c r="I312" s="3">
        <v>5254.27</v>
      </c>
      <c r="J312" s="2"/>
    </row>
    <row r="313" spans="1:11">
      <c r="A313" t="s">
        <v>307</v>
      </c>
      <c r="B313" s="1">
        <v>41299</v>
      </c>
      <c r="C313" t="s">
        <v>308</v>
      </c>
      <c r="D313">
        <v>1</v>
      </c>
      <c r="E313" t="s">
        <v>29</v>
      </c>
      <c r="F313" s="8" t="s">
        <v>772</v>
      </c>
      <c r="G313" s="9" t="s">
        <v>29</v>
      </c>
      <c r="H313" s="3">
        <f t="shared" si="13"/>
        <v>107056.6875</v>
      </c>
      <c r="I313" s="3">
        <v>17129.07</v>
      </c>
      <c r="J313" s="2"/>
    </row>
    <row r="314" spans="1:11">
      <c r="A314" t="s">
        <v>317</v>
      </c>
      <c r="B314" s="1">
        <v>41300</v>
      </c>
      <c r="C314" t="s">
        <v>318</v>
      </c>
      <c r="D314">
        <v>1</v>
      </c>
      <c r="E314" t="s">
        <v>319</v>
      </c>
      <c r="F314" s="29" t="s">
        <v>878</v>
      </c>
      <c r="G314" t="s">
        <v>319</v>
      </c>
      <c r="H314" s="3">
        <f t="shared" si="13"/>
        <v>129310.375</v>
      </c>
      <c r="I314" s="3">
        <v>20689.66</v>
      </c>
      <c r="J314" s="2"/>
    </row>
    <row r="315" spans="1:11">
      <c r="A315" t="s">
        <v>320</v>
      </c>
      <c r="B315" s="1">
        <v>41300</v>
      </c>
      <c r="C315" t="s">
        <v>321</v>
      </c>
      <c r="D315">
        <v>1</v>
      </c>
      <c r="E315" t="s">
        <v>223</v>
      </c>
      <c r="F315" s="27" t="s">
        <v>877</v>
      </c>
      <c r="G315" s="28" t="s">
        <v>223</v>
      </c>
      <c r="H315" s="3">
        <f t="shared" si="13"/>
        <v>16337.812500000002</v>
      </c>
      <c r="I315" s="3">
        <v>2614.0500000000002</v>
      </c>
      <c r="J315" s="2"/>
    </row>
    <row r="316" spans="1:11">
      <c r="A316" t="s">
        <v>322</v>
      </c>
      <c r="B316" s="1">
        <v>41300</v>
      </c>
      <c r="C316" t="s">
        <v>323</v>
      </c>
      <c r="D316">
        <v>2</v>
      </c>
      <c r="E316" t="s">
        <v>220</v>
      </c>
      <c r="F316" s="8" t="s">
        <v>797</v>
      </c>
      <c r="G316" s="9" t="s">
        <v>220</v>
      </c>
      <c r="H316" s="3">
        <f t="shared" si="13"/>
        <v>6995</v>
      </c>
      <c r="I316" s="3">
        <v>1119.2</v>
      </c>
      <c r="J316" s="2"/>
    </row>
    <row r="317" spans="1:11">
      <c r="A317" t="s">
        <v>324</v>
      </c>
      <c r="B317" s="1">
        <v>41300</v>
      </c>
      <c r="C317" t="s">
        <v>325</v>
      </c>
      <c r="D317">
        <v>2</v>
      </c>
      <c r="E317" t="s">
        <v>326</v>
      </c>
      <c r="F317" s="8" t="s">
        <v>797</v>
      </c>
      <c r="G317" s="9" t="s">
        <v>220</v>
      </c>
      <c r="H317" s="3">
        <f t="shared" si="13"/>
        <v>6995</v>
      </c>
      <c r="I317" s="3">
        <v>1119.2</v>
      </c>
      <c r="J317" s="2"/>
    </row>
    <row r="318" spans="1:11">
      <c r="A318" t="s">
        <v>327</v>
      </c>
      <c r="B318" s="1">
        <v>41300</v>
      </c>
      <c r="C318" t="s">
        <v>328</v>
      </c>
      <c r="D318">
        <v>2</v>
      </c>
      <c r="E318" t="s">
        <v>89</v>
      </c>
      <c r="F318" s="8" t="s">
        <v>850</v>
      </c>
      <c r="G318" s="9" t="s">
        <v>89</v>
      </c>
      <c r="H318" s="3">
        <f t="shared" si="13"/>
        <v>6600</v>
      </c>
      <c r="I318" s="3">
        <v>1056</v>
      </c>
      <c r="J318" s="2"/>
    </row>
    <row r="319" spans="1:11">
      <c r="A319" t="s">
        <v>329</v>
      </c>
      <c r="B319" s="1">
        <v>41300</v>
      </c>
      <c r="C319" t="s">
        <v>330</v>
      </c>
      <c r="D319">
        <v>1</v>
      </c>
      <c r="E319" t="s">
        <v>89</v>
      </c>
      <c r="F319" s="8" t="s">
        <v>850</v>
      </c>
      <c r="G319" s="9" t="s">
        <v>89</v>
      </c>
      <c r="H319" s="3">
        <f t="shared" si="13"/>
        <v>14700</v>
      </c>
      <c r="I319" s="3">
        <v>2352</v>
      </c>
      <c r="J319" s="2"/>
    </row>
    <row r="320" spans="1:11">
      <c r="A320" t="s">
        <v>331</v>
      </c>
      <c r="B320" s="1">
        <v>41300</v>
      </c>
      <c r="C320" t="s">
        <v>332</v>
      </c>
      <c r="D320">
        <v>2</v>
      </c>
      <c r="E320" t="s">
        <v>94</v>
      </c>
      <c r="F320" s="8" t="s">
        <v>868</v>
      </c>
      <c r="G320" s="9" t="s">
        <v>94</v>
      </c>
      <c r="H320" s="3">
        <f t="shared" si="13"/>
        <v>9900</v>
      </c>
      <c r="I320" s="3">
        <v>1584</v>
      </c>
      <c r="J320" s="2"/>
    </row>
    <row r="321" spans="1:12">
      <c r="A321" t="s">
        <v>333</v>
      </c>
      <c r="B321" s="1">
        <v>41300</v>
      </c>
      <c r="C321" t="s">
        <v>334</v>
      </c>
      <c r="D321">
        <v>1</v>
      </c>
      <c r="E321" t="s">
        <v>22</v>
      </c>
      <c r="F321" s="8" t="s">
        <v>793</v>
      </c>
      <c r="G321" s="9" t="s">
        <v>22</v>
      </c>
      <c r="H321" s="3">
        <f t="shared" si="13"/>
        <v>40582.125</v>
      </c>
      <c r="I321" s="3">
        <v>6493.14</v>
      </c>
      <c r="J321" s="2"/>
    </row>
    <row r="322" spans="1:12">
      <c r="A322" t="s">
        <v>335</v>
      </c>
      <c r="B322" s="1">
        <v>41300</v>
      </c>
      <c r="C322" t="s">
        <v>336</v>
      </c>
      <c r="D322">
        <v>1</v>
      </c>
      <c r="E322" t="s">
        <v>86</v>
      </c>
      <c r="F322" s="8" t="s">
        <v>851</v>
      </c>
      <c r="G322" s="9" t="s">
        <v>86</v>
      </c>
      <c r="H322" s="3">
        <f t="shared" si="13"/>
        <v>608.5625</v>
      </c>
      <c r="I322" s="3">
        <v>97.37</v>
      </c>
      <c r="J322" s="2"/>
    </row>
    <row r="323" spans="1:12">
      <c r="A323" t="s">
        <v>337</v>
      </c>
      <c r="B323" s="1">
        <v>41300</v>
      </c>
      <c r="C323" t="s">
        <v>338</v>
      </c>
      <c r="D323">
        <v>1</v>
      </c>
      <c r="E323" t="s">
        <v>80</v>
      </c>
      <c r="F323" s="8" t="s">
        <v>781</v>
      </c>
      <c r="G323" s="9" t="s">
        <v>80</v>
      </c>
      <c r="H323" s="3">
        <f t="shared" si="13"/>
        <v>1718</v>
      </c>
      <c r="I323" s="3">
        <v>274.88</v>
      </c>
      <c r="J323" s="2"/>
    </row>
    <row r="324" spans="1:12">
      <c r="A324" t="s">
        <v>339</v>
      </c>
      <c r="B324" s="1">
        <v>41300</v>
      </c>
      <c r="C324" t="s">
        <v>340</v>
      </c>
      <c r="D324">
        <v>2</v>
      </c>
      <c r="E324" t="s">
        <v>207</v>
      </c>
      <c r="F324" s="8" t="s">
        <v>806</v>
      </c>
      <c r="G324" s="9" t="s">
        <v>807</v>
      </c>
      <c r="H324" s="3">
        <f t="shared" si="13"/>
        <v>1102.5</v>
      </c>
      <c r="I324" s="3">
        <v>176.4</v>
      </c>
      <c r="J324" s="2"/>
    </row>
    <row r="325" spans="1:12">
      <c r="A325" t="s">
        <v>341</v>
      </c>
      <c r="B325" s="1">
        <v>41300</v>
      </c>
      <c r="C325" t="s">
        <v>342</v>
      </c>
      <c r="D325">
        <v>2</v>
      </c>
      <c r="E325" t="s">
        <v>343</v>
      </c>
      <c r="F325" s="8" t="s">
        <v>806</v>
      </c>
      <c r="G325" s="9" t="s">
        <v>807</v>
      </c>
      <c r="H325" s="3">
        <f t="shared" si="13"/>
        <v>770</v>
      </c>
      <c r="I325" s="3">
        <v>123.2</v>
      </c>
      <c r="J325" s="2"/>
    </row>
    <row r="326" spans="1:12">
      <c r="A326" t="s">
        <v>344</v>
      </c>
      <c r="B326" s="1">
        <v>41300</v>
      </c>
      <c r="C326" t="s">
        <v>345</v>
      </c>
      <c r="D326">
        <v>1</v>
      </c>
      <c r="E326" t="s">
        <v>346</v>
      </c>
      <c r="F326" s="8" t="s">
        <v>792</v>
      </c>
      <c r="G326" s="9" t="s">
        <v>346</v>
      </c>
      <c r="H326" s="3">
        <f t="shared" si="13"/>
        <v>12111.375</v>
      </c>
      <c r="I326" s="3">
        <v>1937.82</v>
      </c>
      <c r="J326" s="2"/>
    </row>
    <row r="327" spans="1:12">
      <c r="A327" t="s">
        <v>347</v>
      </c>
      <c r="B327" s="1">
        <v>41300</v>
      </c>
      <c r="C327" t="s">
        <v>348</v>
      </c>
      <c r="D327">
        <v>1</v>
      </c>
      <c r="E327" t="s">
        <v>349</v>
      </c>
      <c r="F327" s="8" t="s">
        <v>769</v>
      </c>
      <c r="G327" s="9" t="s">
        <v>349</v>
      </c>
      <c r="H327" s="3">
        <f t="shared" si="13"/>
        <v>6000</v>
      </c>
      <c r="I327" s="3">
        <v>960</v>
      </c>
      <c r="J327" s="2"/>
    </row>
    <row r="328" spans="1:12">
      <c r="A328" t="s">
        <v>363</v>
      </c>
      <c r="B328" s="1">
        <v>41303</v>
      </c>
      <c r="C328" t="s">
        <v>364</v>
      </c>
      <c r="D328">
        <v>1</v>
      </c>
      <c r="E328" t="s">
        <v>174</v>
      </c>
      <c r="F328" s="8" t="s">
        <v>859</v>
      </c>
      <c r="G328" s="9" t="s">
        <v>174</v>
      </c>
      <c r="H328" s="3">
        <f t="shared" si="13"/>
        <v>6318.8125</v>
      </c>
      <c r="I328" s="3">
        <v>1011.01</v>
      </c>
      <c r="J328" s="2"/>
    </row>
    <row r="329" spans="1:12">
      <c r="A329" t="s">
        <v>365</v>
      </c>
      <c r="B329" s="1">
        <v>41303</v>
      </c>
      <c r="C329" t="s">
        <v>366</v>
      </c>
      <c r="D329">
        <v>1</v>
      </c>
      <c r="E329" t="s">
        <v>367</v>
      </c>
      <c r="F329" s="8" t="s">
        <v>832</v>
      </c>
      <c r="G329" s="9" t="s">
        <v>833</v>
      </c>
      <c r="H329" s="3">
        <f t="shared" si="13"/>
        <v>8500</v>
      </c>
      <c r="I329" s="3">
        <v>1360</v>
      </c>
      <c r="J329" s="2"/>
    </row>
    <row r="330" spans="1:12">
      <c r="A330" t="s">
        <v>368</v>
      </c>
      <c r="B330" s="1">
        <v>41303</v>
      </c>
      <c r="C330" t="s">
        <v>369</v>
      </c>
      <c r="D330">
        <v>1</v>
      </c>
      <c r="E330" t="s">
        <v>370</v>
      </c>
      <c r="F330" s="29" t="s">
        <v>888</v>
      </c>
      <c r="G330" t="s">
        <v>370</v>
      </c>
      <c r="H330" s="3">
        <f t="shared" si="13"/>
        <v>12500</v>
      </c>
      <c r="I330" s="3">
        <v>2000</v>
      </c>
      <c r="J330" s="2"/>
    </row>
    <row r="331" spans="1:12">
      <c r="A331" t="s">
        <v>389</v>
      </c>
      <c r="B331" s="1">
        <v>41304</v>
      </c>
      <c r="C331" t="s">
        <v>390</v>
      </c>
      <c r="D331">
        <v>1</v>
      </c>
      <c r="E331" t="s">
        <v>29</v>
      </c>
      <c r="F331" s="8" t="s">
        <v>772</v>
      </c>
      <c r="G331" s="9" t="s">
        <v>29</v>
      </c>
      <c r="H331" s="3">
        <f t="shared" si="13"/>
        <v>1148.5</v>
      </c>
      <c r="I331" s="3">
        <v>183.76</v>
      </c>
      <c r="J331" s="2"/>
    </row>
    <row r="332" spans="1:12">
      <c r="A332" t="s">
        <v>391</v>
      </c>
      <c r="B332" s="1">
        <v>41304</v>
      </c>
      <c r="C332" t="s">
        <v>392</v>
      </c>
      <c r="D332">
        <v>2</v>
      </c>
      <c r="E332" t="s">
        <v>94</v>
      </c>
      <c r="F332" s="8" t="s">
        <v>868</v>
      </c>
      <c r="G332" s="9" t="s">
        <v>94</v>
      </c>
      <c r="H332" s="3">
        <f t="shared" si="13"/>
        <v>33400</v>
      </c>
      <c r="I332" s="3">
        <v>5344</v>
      </c>
      <c r="J332" s="2"/>
    </row>
    <row r="333" spans="1:12">
      <c r="A333" t="s">
        <v>393</v>
      </c>
      <c r="B333" s="1">
        <v>41304</v>
      </c>
      <c r="C333" t="s">
        <v>394</v>
      </c>
      <c r="D333">
        <v>1</v>
      </c>
      <c r="E333" t="s">
        <v>29</v>
      </c>
      <c r="F333" s="8" t="s">
        <v>772</v>
      </c>
      <c r="G333" s="9" t="s">
        <v>29</v>
      </c>
      <c r="H333" s="3">
        <f t="shared" si="13"/>
        <v>133791.9375</v>
      </c>
      <c r="I333" s="3">
        <v>21406.71</v>
      </c>
      <c r="J333" s="2"/>
    </row>
    <row r="334" spans="1:12">
      <c r="A334" t="s">
        <v>395</v>
      </c>
      <c r="B334" s="1">
        <v>41304</v>
      </c>
      <c r="C334" t="s">
        <v>396</v>
      </c>
      <c r="D334">
        <v>1</v>
      </c>
      <c r="E334" t="s">
        <v>29</v>
      </c>
      <c r="F334" s="8" t="s">
        <v>772</v>
      </c>
      <c r="G334" s="9" t="s">
        <v>29</v>
      </c>
      <c r="H334" s="3">
        <f t="shared" si="13"/>
        <v>4200</v>
      </c>
      <c r="I334" s="3">
        <v>672</v>
      </c>
      <c r="J334" s="2"/>
    </row>
    <row r="335" spans="1:12">
      <c r="A335" t="s">
        <v>690</v>
      </c>
      <c r="B335" s="1">
        <v>41305</v>
      </c>
      <c r="C335" t="s">
        <v>691</v>
      </c>
      <c r="D335">
        <v>1</v>
      </c>
      <c r="E335" t="s">
        <v>29</v>
      </c>
      <c r="F335" s="8" t="s">
        <v>772</v>
      </c>
      <c r="G335" s="9" t="s">
        <v>29</v>
      </c>
      <c r="H335" s="3">
        <f t="shared" si="13"/>
        <v>1500.9375</v>
      </c>
      <c r="I335" s="3">
        <v>240.15</v>
      </c>
      <c r="J335" s="2"/>
    </row>
    <row r="336" spans="1:12">
      <c r="A336" t="s">
        <v>692</v>
      </c>
      <c r="B336" s="1">
        <v>41305</v>
      </c>
      <c r="C336" t="s">
        <v>693</v>
      </c>
      <c r="D336">
        <v>1</v>
      </c>
      <c r="E336" t="s">
        <v>694</v>
      </c>
      <c r="F336" s="8" t="s">
        <v>931</v>
      </c>
      <c r="G336" s="9" t="s">
        <v>932</v>
      </c>
      <c r="H336" s="3">
        <f t="shared" si="13"/>
        <v>14660.375</v>
      </c>
      <c r="I336" s="3">
        <v>2345.66</v>
      </c>
      <c r="J336" s="2" t="e">
        <f>+H336-#REF!</f>
        <v>#REF!</v>
      </c>
      <c r="K336" s="14" t="e">
        <f>+I336-#REF!</f>
        <v>#REF!</v>
      </c>
      <c r="L336" t="s">
        <v>796</v>
      </c>
    </row>
    <row r="337" spans="1:12">
      <c r="A337" t="s">
        <v>695</v>
      </c>
      <c r="B337" s="1">
        <v>41305</v>
      </c>
      <c r="C337" t="s">
        <v>696</v>
      </c>
      <c r="D337">
        <v>1</v>
      </c>
      <c r="E337" t="s">
        <v>210</v>
      </c>
      <c r="F337" s="10" t="s">
        <v>744</v>
      </c>
      <c r="G337" s="11" t="s">
        <v>210</v>
      </c>
      <c r="H337" s="3">
        <f t="shared" si="13"/>
        <v>10669.4375</v>
      </c>
      <c r="I337" s="3">
        <v>1707.11</v>
      </c>
      <c r="J337" s="2"/>
      <c r="K337" s="2"/>
    </row>
    <row r="338" spans="1:12">
      <c r="A338" t="s">
        <v>697</v>
      </c>
      <c r="B338" s="1">
        <v>41305</v>
      </c>
      <c r="C338" t="s">
        <v>698</v>
      </c>
      <c r="D338">
        <v>1</v>
      </c>
      <c r="E338" t="s">
        <v>207</v>
      </c>
      <c r="F338" s="8" t="s">
        <v>806</v>
      </c>
      <c r="G338" s="9" t="s">
        <v>807</v>
      </c>
      <c r="H338" s="3">
        <f t="shared" si="13"/>
        <v>660</v>
      </c>
      <c r="I338" s="3">
        <v>105.6</v>
      </c>
      <c r="J338" s="2"/>
    </row>
    <row r="339" spans="1:12">
      <c r="A339" t="s">
        <v>699</v>
      </c>
      <c r="B339" s="1">
        <v>41305</v>
      </c>
      <c r="C339" t="s">
        <v>700</v>
      </c>
      <c r="D339">
        <v>2</v>
      </c>
      <c r="E339" t="s">
        <v>74</v>
      </c>
      <c r="F339" s="8" t="s">
        <v>803</v>
      </c>
      <c r="G339" s="9" t="s">
        <v>804</v>
      </c>
      <c r="H339" s="3">
        <f t="shared" si="13"/>
        <v>12006.25</v>
      </c>
      <c r="I339" s="3">
        <v>1921</v>
      </c>
      <c r="J339" s="2"/>
    </row>
    <row r="340" spans="1:12">
      <c r="A340" t="s">
        <v>701</v>
      </c>
      <c r="B340" s="1">
        <v>41305</v>
      </c>
      <c r="C340" t="s">
        <v>702</v>
      </c>
      <c r="D340">
        <v>1</v>
      </c>
      <c r="E340" t="s">
        <v>86</v>
      </c>
      <c r="F340" s="8" t="s">
        <v>851</v>
      </c>
      <c r="G340" s="9" t="s">
        <v>86</v>
      </c>
      <c r="H340" s="3">
        <f t="shared" ref="H340:H354" si="14">I340*100/16</f>
        <v>2525.3125</v>
      </c>
      <c r="I340" s="3">
        <v>404.05</v>
      </c>
      <c r="J340" s="2"/>
    </row>
    <row r="341" spans="1:12">
      <c r="A341" t="s">
        <v>703</v>
      </c>
      <c r="B341" s="1">
        <v>41305</v>
      </c>
      <c r="C341" t="s">
        <v>704</v>
      </c>
      <c r="D341">
        <v>1</v>
      </c>
      <c r="E341" t="s">
        <v>22</v>
      </c>
      <c r="F341" s="8" t="s">
        <v>793</v>
      </c>
      <c r="G341" s="9" t="s">
        <v>22</v>
      </c>
      <c r="H341" s="3">
        <f t="shared" si="14"/>
        <v>27359.5625</v>
      </c>
      <c r="I341" s="3">
        <v>4377.53</v>
      </c>
      <c r="J341" s="2"/>
    </row>
    <row r="342" spans="1:12">
      <c r="A342" t="s">
        <v>705</v>
      </c>
      <c r="B342" s="1">
        <v>41305</v>
      </c>
      <c r="C342" t="s">
        <v>706</v>
      </c>
      <c r="D342">
        <v>1</v>
      </c>
      <c r="E342" t="s">
        <v>83</v>
      </c>
      <c r="F342" s="27" t="s">
        <v>877</v>
      </c>
      <c r="G342" s="28" t="s">
        <v>223</v>
      </c>
      <c r="H342" s="3">
        <f t="shared" si="14"/>
        <v>19321.8125</v>
      </c>
      <c r="I342" s="3">
        <v>3091.49</v>
      </c>
      <c r="J342" s="2"/>
    </row>
    <row r="343" spans="1:12">
      <c r="A343" t="s">
        <v>707</v>
      </c>
      <c r="B343" s="1">
        <v>41305</v>
      </c>
      <c r="C343" t="s">
        <v>708</v>
      </c>
      <c r="D343">
        <v>1</v>
      </c>
      <c r="E343" t="s">
        <v>77</v>
      </c>
      <c r="F343" s="8" t="s">
        <v>798</v>
      </c>
      <c r="G343" s="9" t="s">
        <v>77</v>
      </c>
      <c r="H343" s="3">
        <f t="shared" si="14"/>
        <v>2959.625</v>
      </c>
      <c r="I343" s="3">
        <v>473.54</v>
      </c>
      <c r="J343" s="2"/>
    </row>
    <row r="344" spans="1:12">
      <c r="A344" t="s">
        <v>709</v>
      </c>
      <c r="B344" s="1">
        <v>41305</v>
      </c>
      <c r="C344" t="s">
        <v>710</v>
      </c>
      <c r="D344">
        <v>1</v>
      </c>
      <c r="E344" t="s">
        <v>80</v>
      </c>
      <c r="F344" s="8" t="s">
        <v>781</v>
      </c>
      <c r="G344" s="9" t="s">
        <v>80</v>
      </c>
      <c r="H344" s="3">
        <f t="shared" si="14"/>
        <v>910</v>
      </c>
      <c r="I344" s="3">
        <v>145.6</v>
      </c>
      <c r="J344" s="2"/>
    </row>
    <row r="345" spans="1:12">
      <c r="A345" t="s">
        <v>711</v>
      </c>
      <c r="B345" s="1">
        <v>41305</v>
      </c>
      <c r="C345" t="s">
        <v>712</v>
      </c>
      <c r="D345">
        <v>1</v>
      </c>
      <c r="E345" t="s">
        <v>713</v>
      </c>
      <c r="F345" s="8" t="s">
        <v>795</v>
      </c>
      <c r="G345" s="9" t="s">
        <v>713</v>
      </c>
      <c r="H345" s="3">
        <f t="shared" si="14"/>
        <v>75065.875</v>
      </c>
      <c r="I345" s="3">
        <v>12010.54</v>
      </c>
      <c r="J345" s="2" t="e">
        <f>+H345-#REF!</f>
        <v>#REF!</v>
      </c>
      <c r="K345" s="14" t="e">
        <f>+I345-#REF!</f>
        <v>#REF!</v>
      </c>
      <c r="L345" t="s">
        <v>796</v>
      </c>
    </row>
    <row r="346" spans="1:12">
      <c r="A346" t="s">
        <v>714</v>
      </c>
      <c r="B346" s="1">
        <v>41305</v>
      </c>
      <c r="C346" t="s">
        <v>715</v>
      </c>
      <c r="D346">
        <v>2</v>
      </c>
      <c r="E346" t="s">
        <v>716</v>
      </c>
      <c r="F346" s="8" t="s">
        <v>842</v>
      </c>
      <c r="G346" s="9" t="s">
        <v>716</v>
      </c>
      <c r="H346" s="3">
        <f t="shared" si="14"/>
        <v>2100</v>
      </c>
      <c r="I346" s="3">
        <v>336</v>
      </c>
      <c r="J346" s="2"/>
    </row>
    <row r="347" spans="1:12">
      <c r="A347" t="s">
        <v>236</v>
      </c>
      <c r="B347" s="1">
        <v>41292</v>
      </c>
      <c r="C347" t="s">
        <v>237</v>
      </c>
      <c r="D347">
        <v>1</v>
      </c>
      <c r="E347" t="s">
        <v>238</v>
      </c>
      <c r="F347" s="8" t="s">
        <v>800</v>
      </c>
      <c r="G347" s="9" t="s">
        <v>238</v>
      </c>
      <c r="H347" s="3">
        <f t="shared" si="14"/>
        <v>1900</v>
      </c>
      <c r="I347" s="3">
        <v>304</v>
      </c>
      <c r="J347" s="2"/>
    </row>
    <row r="348" spans="1:12">
      <c r="A348" t="s">
        <v>268</v>
      </c>
      <c r="B348" s="1">
        <v>41296</v>
      </c>
      <c r="C348" t="s">
        <v>269</v>
      </c>
      <c r="D348">
        <v>1</v>
      </c>
      <c r="E348" t="s">
        <v>270</v>
      </c>
      <c r="F348" s="8" t="s">
        <v>799</v>
      </c>
      <c r="G348" s="9" t="s">
        <v>270</v>
      </c>
      <c r="H348" s="3">
        <f t="shared" si="14"/>
        <v>25701.125</v>
      </c>
      <c r="I348" s="3">
        <v>4112.18</v>
      </c>
      <c r="J348" s="2" t="e">
        <f>+#REF!-H348</f>
        <v>#REF!</v>
      </c>
      <c r="K348" s="14" t="e">
        <f>+#REF!-I348</f>
        <v>#REF!</v>
      </c>
      <c r="L348" t="s">
        <v>796</v>
      </c>
    </row>
    <row r="349" spans="1:12">
      <c r="A349" t="s">
        <v>354</v>
      </c>
      <c r="B349" s="1">
        <v>41302</v>
      </c>
      <c r="C349" t="s">
        <v>355</v>
      </c>
      <c r="D349">
        <v>1</v>
      </c>
      <c r="E349" t="s">
        <v>174</v>
      </c>
      <c r="F349" s="8" t="s">
        <v>859</v>
      </c>
      <c r="G349" s="9" t="s">
        <v>174</v>
      </c>
      <c r="H349" s="3">
        <f t="shared" si="14"/>
        <v>18665.375</v>
      </c>
      <c r="I349" s="3">
        <v>2986.46</v>
      </c>
      <c r="J349" s="2"/>
    </row>
    <row r="350" spans="1:12">
      <c r="A350" t="s">
        <v>309</v>
      </c>
      <c r="B350" s="1">
        <v>41299</v>
      </c>
      <c r="C350" t="s">
        <v>310</v>
      </c>
      <c r="D350">
        <v>1</v>
      </c>
      <c r="E350" t="s">
        <v>311</v>
      </c>
      <c r="F350" s="8" t="s">
        <v>845</v>
      </c>
      <c r="G350" s="9" t="s">
        <v>311</v>
      </c>
      <c r="H350" s="3">
        <f t="shared" si="14"/>
        <v>8235.875</v>
      </c>
      <c r="I350" s="3">
        <v>1317.74</v>
      </c>
      <c r="J350" s="2"/>
    </row>
    <row r="351" spans="1:12">
      <c r="A351" t="s">
        <v>271</v>
      </c>
      <c r="B351" s="1">
        <v>41296</v>
      </c>
      <c r="C351" t="s">
        <v>272</v>
      </c>
      <c r="D351">
        <v>2</v>
      </c>
      <c r="E351" t="s">
        <v>273</v>
      </c>
      <c r="F351" s="8" t="s">
        <v>747</v>
      </c>
      <c r="G351" s="9" t="s">
        <v>273</v>
      </c>
      <c r="H351" s="3">
        <f t="shared" si="14"/>
        <v>1307.4375</v>
      </c>
      <c r="I351" s="3">
        <v>209.19</v>
      </c>
      <c r="J351" s="2"/>
    </row>
    <row r="352" spans="1:12">
      <c r="A352" t="s">
        <v>371</v>
      </c>
      <c r="B352" s="1">
        <v>41303</v>
      </c>
      <c r="C352" t="s">
        <v>372</v>
      </c>
      <c r="D352">
        <v>1</v>
      </c>
      <c r="E352" t="s">
        <v>373</v>
      </c>
      <c r="F352" s="8" t="s">
        <v>780</v>
      </c>
      <c r="G352" s="9" t="s">
        <v>373</v>
      </c>
      <c r="H352" s="3">
        <f t="shared" si="14"/>
        <v>7000</v>
      </c>
      <c r="I352" s="3">
        <v>1120</v>
      </c>
      <c r="J352" s="2"/>
    </row>
    <row r="353" spans="1:12">
      <c r="A353" t="s">
        <v>717</v>
      </c>
      <c r="B353" s="1">
        <v>41305</v>
      </c>
      <c r="C353" t="s">
        <v>718</v>
      </c>
      <c r="D353">
        <v>2</v>
      </c>
      <c r="E353" t="s">
        <v>74</v>
      </c>
      <c r="F353" s="8" t="s">
        <v>803</v>
      </c>
      <c r="G353" s="9" t="s">
        <v>804</v>
      </c>
      <c r="H353" s="3">
        <f t="shared" si="14"/>
        <v>12421.5625</v>
      </c>
      <c r="I353" s="3">
        <v>1987.45</v>
      </c>
      <c r="J353" s="2" t="e">
        <f>+#REF!-H353</f>
        <v>#REF!</v>
      </c>
      <c r="K353" s="14" t="e">
        <f>+#REF!-I353</f>
        <v>#REF!</v>
      </c>
      <c r="L353" t="s">
        <v>796</v>
      </c>
    </row>
    <row r="354" spans="1:12">
      <c r="A354" t="s">
        <v>719</v>
      </c>
      <c r="B354" s="1">
        <v>41305</v>
      </c>
      <c r="C354" t="s">
        <v>720</v>
      </c>
      <c r="D354">
        <v>1</v>
      </c>
      <c r="E354" t="s">
        <v>223</v>
      </c>
      <c r="F354" s="27" t="s">
        <v>877</v>
      </c>
      <c r="G354" s="28" t="s">
        <v>223</v>
      </c>
      <c r="H354" s="3">
        <f t="shared" si="14"/>
        <v>9607.4375</v>
      </c>
      <c r="I354" s="3">
        <v>1537.19</v>
      </c>
      <c r="J354" s="2"/>
    </row>
    <row r="355" spans="1:12">
      <c r="H355" s="3">
        <f>SUM(H10:H354)</f>
        <v>19261624.625</v>
      </c>
      <c r="I355" s="3">
        <f>SUM(I10:I354)</f>
        <v>3081859.9399999972</v>
      </c>
      <c r="J355" s="2"/>
    </row>
    <row r="356" spans="1:12">
      <c r="I356" s="3">
        <f>4725557.42-1643697.48</f>
        <v>3081859.94</v>
      </c>
      <c r="J356" s="2"/>
    </row>
    <row r="357" spans="1:12">
      <c r="I357" s="3">
        <f>+I355-I356</f>
        <v>0</v>
      </c>
    </row>
    <row r="364" spans="1:12">
      <c r="A364" s="151"/>
      <c r="B364" s="151"/>
      <c r="C364" s="151"/>
      <c r="D364" s="151"/>
      <c r="E364" s="151"/>
      <c r="F364" s="151" t="s">
        <v>724</v>
      </c>
      <c r="G364" s="151" t="s">
        <v>725</v>
      </c>
      <c r="H364" s="152" t="s">
        <v>732</v>
      </c>
      <c r="I364" s="151" t="s">
        <v>726</v>
      </c>
      <c r="J364" s="151" t="s">
        <v>7073</v>
      </c>
    </row>
    <row r="365" spans="1:12">
      <c r="A365" s="172" t="s">
        <v>7099</v>
      </c>
      <c r="B365" s="171">
        <v>85</v>
      </c>
      <c r="F365" s="8" t="s">
        <v>750</v>
      </c>
      <c r="G365" s="9" t="s">
        <v>475</v>
      </c>
      <c r="H365" s="3">
        <f>+I365/0.16</f>
        <v>412.93749999999994</v>
      </c>
      <c r="I365" s="3">
        <f>+SUMIF($F$10:$F$354,F365,$I$10:$I$354)</f>
        <v>66.069999999999993</v>
      </c>
      <c r="J365" s="14"/>
    </row>
    <row r="366" spans="1:12">
      <c r="A366" s="172" t="s">
        <v>7099</v>
      </c>
      <c r="B366" s="171">
        <v>85</v>
      </c>
      <c r="F366" s="8" t="s">
        <v>747</v>
      </c>
      <c r="G366" s="9" t="s">
        <v>273</v>
      </c>
      <c r="H366" s="3">
        <f t="shared" ref="H366:H429" si="15">+I366/0.16</f>
        <v>1307.4375</v>
      </c>
      <c r="I366" s="3">
        <f t="shared" ref="I366:I429" si="16">+SUMIF($F$10:$F$354,F366,$I$10:$I$354)</f>
        <v>209.19</v>
      </c>
    </row>
    <row r="367" spans="1:12">
      <c r="A367" s="172" t="s">
        <v>7099</v>
      </c>
      <c r="B367" s="171">
        <v>85</v>
      </c>
      <c r="F367" s="8" t="s">
        <v>871</v>
      </c>
      <c r="G367" s="9" t="s">
        <v>872</v>
      </c>
      <c r="H367" s="3">
        <f t="shared" si="15"/>
        <v>1154.3125</v>
      </c>
      <c r="I367" s="3">
        <f t="shared" si="16"/>
        <v>184.69</v>
      </c>
    </row>
    <row r="368" spans="1:12">
      <c r="A368" s="172" t="s">
        <v>7099</v>
      </c>
      <c r="B368" s="171">
        <v>85</v>
      </c>
      <c r="F368" s="27" t="s">
        <v>939</v>
      </c>
      <c r="G368" s="28" t="s">
        <v>940</v>
      </c>
      <c r="H368" s="3">
        <f t="shared" si="15"/>
        <v>1458.8125</v>
      </c>
      <c r="I368" s="3">
        <f t="shared" si="16"/>
        <v>233.41</v>
      </c>
    </row>
    <row r="369" spans="1:10">
      <c r="A369" s="172" t="s">
        <v>7099</v>
      </c>
      <c r="B369" s="171">
        <v>85</v>
      </c>
      <c r="F369" s="8" t="s">
        <v>809</v>
      </c>
      <c r="G369" s="9" t="s">
        <v>810</v>
      </c>
      <c r="H369" s="3">
        <f t="shared" si="15"/>
        <v>529.3125</v>
      </c>
      <c r="I369" s="3">
        <f t="shared" si="16"/>
        <v>84.69</v>
      </c>
    </row>
    <row r="370" spans="1:10">
      <c r="A370" s="172" t="s">
        <v>7099</v>
      </c>
      <c r="B370" s="171">
        <v>85</v>
      </c>
      <c r="F370" s="8" t="s">
        <v>1649</v>
      </c>
      <c r="G370" s="9" t="s">
        <v>1650</v>
      </c>
      <c r="H370" s="3">
        <f t="shared" si="15"/>
        <v>399.875</v>
      </c>
      <c r="I370" s="3">
        <f t="shared" si="16"/>
        <v>63.980000000000004</v>
      </c>
    </row>
    <row r="371" spans="1:10">
      <c r="A371" s="172" t="s">
        <v>7099</v>
      </c>
      <c r="B371" s="171">
        <v>85</v>
      </c>
      <c r="F371" s="8" t="s">
        <v>748</v>
      </c>
      <c r="G371" s="9" t="s">
        <v>749</v>
      </c>
      <c r="H371" s="3">
        <f t="shared" si="15"/>
        <v>25.8125</v>
      </c>
      <c r="I371" s="3">
        <f t="shared" si="16"/>
        <v>4.13</v>
      </c>
    </row>
    <row r="372" spans="1:10">
      <c r="A372" s="172" t="s">
        <v>7099</v>
      </c>
      <c r="B372" s="171">
        <v>85</v>
      </c>
      <c r="F372" s="8" t="s">
        <v>941</v>
      </c>
      <c r="G372" s="9" t="s">
        <v>942</v>
      </c>
      <c r="H372" s="3">
        <f t="shared" si="15"/>
        <v>62.0625</v>
      </c>
      <c r="I372" s="3">
        <f t="shared" si="16"/>
        <v>9.93</v>
      </c>
    </row>
    <row r="373" spans="1:10">
      <c r="A373" s="172" t="s">
        <v>7099</v>
      </c>
      <c r="B373" s="171">
        <v>85</v>
      </c>
      <c r="F373" s="8" t="s">
        <v>743</v>
      </c>
      <c r="G373" s="9" t="s">
        <v>281</v>
      </c>
      <c r="H373" s="3">
        <f t="shared" si="15"/>
        <v>2000</v>
      </c>
      <c r="I373" s="3">
        <f t="shared" si="16"/>
        <v>320</v>
      </c>
    </row>
    <row r="374" spans="1:10">
      <c r="A374" s="172" t="s">
        <v>7099</v>
      </c>
      <c r="B374" s="171">
        <v>85</v>
      </c>
      <c r="F374" s="12" t="s">
        <v>745</v>
      </c>
      <c r="G374" s="13" t="s">
        <v>746</v>
      </c>
      <c r="H374" s="3">
        <f t="shared" si="15"/>
        <v>514703.9375</v>
      </c>
      <c r="I374" s="3">
        <f t="shared" si="16"/>
        <v>82352.63</v>
      </c>
    </row>
    <row r="375" spans="1:10">
      <c r="A375" s="172" t="s">
        <v>7099</v>
      </c>
      <c r="B375" s="171">
        <v>85</v>
      </c>
      <c r="F375" s="8" t="s">
        <v>736</v>
      </c>
      <c r="G375" s="9" t="s">
        <v>737</v>
      </c>
      <c r="H375" s="3">
        <f t="shared" si="15"/>
        <v>326328.25</v>
      </c>
      <c r="I375" s="3">
        <f t="shared" si="16"/>
        <v>52212.520000000004</v>
      </c>
    </row>
    <row r="376" spans="1:10">
      <c r="A376" s="172" t="s">
        <v>7099</v>
      </c>
      <c r="B376" s="171">
        <v>85</v>
      </c>
      <c r="F376" s="8" t="s">
        <v>734</v>
      </c>
      <c r="G376" s="9" t="s">
        <v>735</v>
      </c>
      <c r="H376" s="3">
        <f t="shared" si="15"/>
        <v>439818.49999999994</v>
      </c>
      <c r="I376" s="3">
        <f t="shared" si="16"/>
        <v>70370.959999999992</v>
      </c>
    </row>
    <row r="377" spans="1:10">
      <c r="A377" s="172" t="s">
        <v>7099</v>
      </c>
      <c r="B377" s="171">
        <v>85</v>
      </c>
      <c r="F377" s="27" t="s">
        <v>1651</v>
      </c>
      <c r="G377" s="28" t="s">
        <v>3782</v>
      </c>
      <c r="H377" s="3">
        <f t="shared" si="15"/>
        <v>458.375</v>
      </c>
      <c r="I377" s="3">
        <f t="shared" si="16"/>
        <v>73.34</v>
      </c>
    </row>
    <row r="378" spans="1:10">
      <c r="A378" s="172" t="s">
        <v>7099</v>
      </c>
      <c r="B378" s="171">
        <v>6</v>
      </c>
      <c r="F378" s="10" t="s">
        <v>744</v>
      </c>
      <c r="G378" s="11" t="s">
        <v>210</v>
      </c>
      <c r="H378" s="3">
        <f t="shared" si="15"/>
        <v>20599.374999999996</v>
      </c>
      <c r="I378" s="3">
        <f t="shared" si="16"/>
        <v>3295.8999999999996</v>
      </c>
      <c r="J378">
        <f>426.78+162.86</f>
        <v>589.64</v>
      </c>
    </row>
    <row r="379" spans="1:10">
      <c r="A379" s="172" t="s">
        <v>7099</v>
      </c>
      <c r="B379" s="171">
        <v>85</v>
      </c>
      <c r="F379" s="8" t="s">
        <v>840</v>
      </c>
      <c r="G379" s="9" t="s">
        <v>841</v>
      </c>
      <c r="H379" s="3">
        <f t="shared" si="15"/>
        <v>600</v>
      </c>
      <c r="I379" s="3">
        <f t="shared" si="16"/>
        <v>96</v>
      </c>
    </row>
    <row r="380" spans="1:10">
      <c r="A380" s="172" t="s">
        <v>7099</v>
      </c>
      <c r="B380" s="171">
        <v>85</v>
      </c>
      <c r="F380" s="8" t="s">
        <v>821</v>
      </c>
      <c r="G380" s="9" t="s">
        <v>822</v>
      </c>
      <c r="H380" s="3">
        <f t="shared" si="15"/>
        <v>180</v>
      </c>
      <c r="I380" s="3">
        <f t="shared" si="16"/>
        <v>28.8</v>
      </c>
    </row>
    <row r="381" spans="1:10">
      <c r="A381" s="172" t="s">
        <v>7099</v>
      </c>
      <c r="B381" s="171">
        <v>85</v>
      </c>
      <c r="F381" s="21" t="s">
        <v>827</v>
      </c>
      <c r="G381" s="22" t="s">
        <v>828</v>
      </c>
      <c r="H381" s="3">
        <f t="shared" si="15"/>
        <v>7237</v>
      </c>
      <c r="I381" s="3">
        <f t="shared" si="16"/>
        <v>1157.92</v>
      </c>
    </row>
    <row r="382" spans="1:10">
      <c r="A382" s="172" t="s">
        <v>7099</v>
      </c>
      <c r="B382" s="171">
        <v>85</v>
      </c>
      <c r="F382" s="8" t="s">
        <v>7052</v>
      </c>
      <c r="G382" s="9" t="s">
        <v>7053</v>
      </c>
      <c r="H382" s="3">
        <f t="shared" si="15"/>
        <v>119.875</v>
      </c>
      <c r="I382" s="3">
        <f t="shared" si="16"/>
        <v>19.18</v>
      </c>
    </row>
    <row r="383" spans="1:10">
      <c r="A383" s="172" t="s">
        <v>7099</v>
      </c>
      <c r="B383" s="171">
        <v>85</v>
      </c>
      <c r="F383" s="12" t="s">
        <v>823</v>
      </c>
      <c r="G383" s="20" t="s">
        <v>824</v>
      </c>
      <c r="H383" s="3">
        <f t="shared" si="15"/>
        <v>360</v>
      </c>
      <c r="I383" s="3">
        <f t="shared" si="16"/>
        <v>57.6</v>
      </c>
    </row>
    <row r="384" spans="1:10">
      <c r="A384" s="172" t="s">
        <v>7099</v>
      </c>
      <c r="B384" s="171">
        <v>85</v>
      </c>
      <c r="F384" s="12" t="s">
        <v>950</v>
      </c>
      <c r="G384" s="20" t="s">
        <v>951</v>
      </c>
      <c r="H384" s="3">
        <f t="shared" si="15"/>
        <v>6035.8125</v>
      </c>
      <c r="I384" s="3">
        <f t="shared" si="16"/>
        <v>965.73</v>
      </c>
    </row>
    <row r="385" spans="1:9">
      <c r="A385" s="172" t="s">
        <v>7099</v>
      </c>
      <c r="B385" s="171">
        <v>85</v>
      </c>
      <c r="F385" s="8" t="s">
        <v>751</v>
      </c>
      <c r="G385" s="9" t="s">
        <v>555</v>
      </c>
      <c r="H385" s="3">
        <f t="shared" si="15"/>
        <v>172.4375</v>
      </c>
      <c r="I385" s="3">
        <f t="shared" si="16"/>
        <v>27.59</v>
      </c>
    </row>
    <row r="386" spans="1:9">
      <c r="A386" s="172" t="s">
        <v>7099</v>
      </c>
      <c r="B386" s="171">
        <v>85</v>
      </c>
      <c r="F386" s="12" t="s">
        <v>825</v>
      </c>
      <c r="G386" s="20" t="s">
        <v>826</v>
      </c>
      <c r="H386" s="3">
        <f t="shared" si="15"/>
        <v>400.99999999999994</v>
      </c>
      <c r="I386" s="3">
        <f t="shared" si="16"/>
        <v>64.16</v>
      </c>
    </row>
    <row r="387" spans="1:9">
      <c r="A387" s="172" t="s">
        <v>7099</v>
      </c>
      <c r="B387" s="171">
        <v>85</v>
      </c>
      <c r="F387" s="8" t="s">
        <v>772</v>
      </c>
      <c r="G387" s="9" t="s">
        <v>29</v>
      </c>
      <c r="H387" s="3">
        <f t="shared" si="15"/>
        <v>1232205</v>
      </c>
      <c r="I387" s="3">
        <f t="shared" si="16"/>
        <v>197152.80000000002</v>
      </c>
    </row>
    <row r="388" spans="1:9">
      <c r="A388" s="172" t="s">
        <v>7099</v>
      </c>
      <c r="B388" s="171">
        <v>85</v>
      </c>
      <c r="F388" s="12" t="s">
        <v>755</v>
      </c>
      <c r="G388" s="9" t="s">
        <v>756</v>
      </c>
      <c r="H388" s="3">
        <f t="shared" si="15"/>
        <v>580325.375</v>
      </c>
      <c r="I388" s="3">
        <f t="shared" si="16"/>
        <v>92852.06</v>
      </c>
    </row>
    <row r="389" spans="1:9">
      <c r="A389" s="172" t="s">
        <v>7099</v>
      </c>
      <c r="B389" s="171">
        <v>85</v>
      </c>
      <c r="F389" s="8" t="s">
        <v>2878</v>
      </c>
      <c r="G389" s="9" t="s">
        <v>2879</v>
      </c>
      <c r="H389" s="3">
        <f t="shared" si="15"/>
        <v>184.43749999999997</v>
      </c>
      <c r="I389" s="3">
        <f t="shared" si="16"/>
        <v>29.509999999999998</v>
      </c>
    </row>
    <row r="390" spans="1:9">
      <c r="A390" s="172" t="s">
        <v>7099</v>
      </c>
      <c r="B390" s="171">
        <v>85</v>
      </c>
      <c r="F390" s="8" t="s">
        <v>7054</v>
      </c>
      <c r="G390" s="9" t="s">
        <v>7055</v>
      </c>
      <c r="H390" s="3">
        <f t="shared" si="15"/>
        <v>450.3125</v>
      </c>
      <c r="I390" s="3">
        <f t="shared" si="16"/>
        <v>72.05</v>
      </c>
    </row>
    <row r="391" spans="1:9">
      <c r="A391" s="172" t="s">
        <v>7099</v>
      </c>
      <c r="B391" s="171">
        <v>85</v>
      </c>
      <c r="F391" s="8" t="s">
        <v>763</v>
      </c>
      <c r="G391" s="9" t="s">
        <v>284</v>
      </c>
      <c r="H391" s="3">
        <f t="shared" si="15"/>
        <v>1041.125</v>
      </c>
      <c r="I391" s="3">
        <f t="shared" si="16"/>
        <v>166.58</v>
      </c>
    </row>
    <row r="392" spans="1:9">
      <c r="A392" s="172" t="s">
        <v>7099</v>
      </c>
      <c r="B392" s="171">
        <v>85</v>
      </c>
      <c r="F392" s="8" t="s">
        <v>764</v>
      </c>
      <c r="G392" s="9" t="s">
        <v>100</v>
      </c>
      <c r="H392" s="3">
        <f t="shared" si="15"/>
        <v>20019</v>
      </c>
      <c r="I392" s="3">
        <f t="shared" si="16"/>
        <v>3203.04</v>
      </c>
    </row>
    <row r="393" spans="1:9">
      <c r="A393" s="172" t="s">
        <v>7099</v>
      </c>
      <c r="B393" s="171">
        <v>85</v>
      </c>
      <c r="F393" s="27" t="s">
        <v>7060</v>
      </c>
      <c r="G393" s="28" t="s">
        <v>7061</v>
      </c>
      <c r="H393" s="3">
        <f t="shared" si="15"/>
        <v>693.9375</v>
      </c>
      <c r="I393" s="3">
        <f t="shared" si="16"/>
        <v>111.03</v>
      </c>
    </row>
    <row r="394" spans="1:9">
      <c r="A394" s="172" t="s">
        <v>7099</v>
      </c>
      <c r="B394" s="171">
        <v>85</v>
      </c>
      <c r="F394" s="27" t="s">
        <v>3794</v>
      </c>
      <c r="G394" s="28" t="s">
        <v>3795</v>
      </c>
      <c r="H394" s="3">
        <f t="shared" si="15"/>
        <v>541.875</v>
      </c>
      <c r="I394" s="3">
        <f t="shared" si="16"/>
        <v>86.7</v>
      </c>
    </row>
    <row r="395" spans="1:9">
      <c r="A395" s="172" t="s">
        <v>7099</v>
      </c>
      <c r="B395" s="171">
        <v>85</v>
      </c>
      <c r="F395" s="27" t="s">
        <v>1689</v>
      </c>
      <c r="G395" s="28" t="s">
        <v>5236</v>
      </c>
      <c r="H395" s="3">
        <f t="shared" si="15"/>
        <v>333.375</v>
      </c>
      <c r="I395" s="3">
        <f t="shared" si="16"/>
        <v>53.34</v>
      </c>
    </row>
    <row r="396" spans="1:9">
      <c r="A396" s="172" t="s">
        <v>7099</v>
      </c>
      <c r="B396" s="171">
        <v>85</v>
      </c>
      <c r="F396" s="8" t="s">
        <v>770</v>
      </c>
      <c r="G396" s="9" t="s">
        <v>771</v>
      </c>
      <c r="H396" s="3">
        <f t="shared" si="15"/>
        <v>250</v>
      </c>
      <c r="I396" s="3">
        <f t="shared" si="16"/>
        <v>40</v>
      </c>
    </row>
    <row r="397" spans="1:9">
      <c r="A397" s="172" t="s">
        <v>7099</v>
      </c>
      <c r="B397" s="171">
        <v>85</v>
      </c>
      <c r="F397" s="8" t="s">
        <v>759</v>
      </c>
      <c r="G397" s="9" t="s">
        <v>760</v>
      </c>
      <c r="H397" s="3">
        <f t="shared" si="15"/>
        <v>558045.375</v>
      </c>
      <c r="I397" s="3">
        <f t="shared" si="16"/>
        <v>89287.260000000009</v>
      </c>
    </row>
    <row r="398" spans="1:9">
      <c r="A398" s="172" t="s">
        <v>7099</v>
      </c>
      <c r="B398" s="171">
        <v>85</v>
      </c>
      <c r="F398" s="8" t="s">
        <v>757</v>
      </c>
      <c r="G398" s="9" t="s">
        <v>758</v>
      </c>
      <c r="H398" s="3">
        <f t="shared" si="15"/>
        <v>53.75</v>
      </c>
      <c r="I398" s="3">
        <f t="shared" si="16"/>
        <v>8.6</v>
      </c>
    </row>
    <row r="399" spans="1:9">
      <c r="A399" s="172" t="s">
        <v>7099</v>
      </c>
      <c r="B399" s="171">
        <v>85</v>
      </c>
      <c r="F399" s="8" t="s">
        <v>773</v>
      </c>
      <c r="G399" s="9" t="s">
        <v>774</v>
      </c>
      <c r="H399" s="3">
        <f t="shared" si="15"/>
        <v>44.8125</v>
      </c>
      <c r="I399" s="3">
        <f t="shared" si="16"/>
        <v>7.17</v>
      </c>
    </row>
    <row r="400" spans="1:9">
      <c r="A400" s="172" t="s">
        <v>7099</v>
      </c>
      <c r="B400" s="171">
        <v>85</v>
      </c>
      <c r="F400" s="8" t="s">
        <v>765</v>
      </c>
      <c r="G400" s="9" t="s">
        <v>766</v>
      </c>
      <c r="H400" s="3">
        <f t="shared" si="15"/>
        <v>172.4375</v>
      </c>
      <c r="I400" s="3">
        <f t="shared" si="16"/>
        <v>27.59</v>
      </c>
    </row>
    <row r="401" spans="1:9">
      <c r="A401" s="172" t="s">
        <v>7099</v>
      </c>
      <c r="B401" s="171">
        <v>85</v>
      </c>
      <c r="F401" s="8" t="s">
        <v>767</v>
      </c>
      <c r="G401" s="9" t="s">
        <v>768</v>
      </c>
      <c r="H401" s="3">
        <f t="shared" si="15"/>
        <v>929.8125</v>
      </c>
      <c r="I401" s="3">
        <f t="shared" si="16"/>
        <v>148.77000000000001</v>
      </c>
    </row>
    <row r="402" spans="1:9">
      <c r="A402" s="172" t="s">
        <v>7099</v>
      </c>
      <c r="B402" s="171">
        <v>85</v>
      </c>
      <c r="F402" s="8" t="s">
        <v>769</v>
      </c>
      <c r="G402" s="9" t="s">
        <v>349</v>
      </c>
      <c r="H402" s="3">
        <f t="shared" si="15"/>
        <v>6000</v>
      </c>
      <c r="I402" s="3">
        <f t="shared" si="16"/>
        <v>960</v>
      </c>
    </row>
    <row r="403" spans="1:9">
      <c r="A403" s="172" t="s">
        <v>7099</v>
      </c>
      <c r="B403" s="171">
        <v>85</v>
      </c>
      <c r="F403" s="27" t="s">
        <v>937</v>
      </c>
      <c r="G403" s="28" t="s">
        <v>938</v>
      </c>
      <c r="H403" s="3">
        <f t="shared" si="15"/>
        <v>225.06249999999997</v>
      </c>
      <c r="I403" s="3">
        <f t="shared" si="16"/>
        <v>36.01</v>
      </c>
    </row>
    <row r="404" spans="1:9">
      <c r="A404" s="172" t="s">
        <v>7099</v>
      </c>
      <c r="B404" s="171">
        <v>85</v>
      </c>
      <c r="F404" s="8" t="s">
        <v>2905</v>
      </c>
      <c r="G404" s="9" t="s">
        <v>2906</v>
      </c>
      <c r="H404" s="3">
        <f t="shared" si="15"/>
        <v>99.125</v>
      </c>
      <c r="I404" s="3">
        <f t="shared" si="16"/>
        <v>15.86</v>
      </c>
    </row>
    <row r="405" spans="1:9">
      <c r="A405" s="172" t="s">
        <v>7099</v>
      </c>
      <c r="B405" s="171">
        <v>85</v>
      </c>
      <c r="F405" s="8" t="s">
        <v>752</v>
      </c>
      <c r="G405" s="9" t="s">
        <v>753</v>
      </c>
      <c r="H405" s="3">
        <f t="shared" si="15"/>
        <v>59.499999999999993</v>
      </c>
      <c r="I405" s="3">
        <f t="shared" si="16"/>
        <v>9.52</v>
      </c>
    </row>
    <row r="406" spans="1:9">
      <c r="A406" s="172" t="s">
        <v>7099</v>
      </c>
      <c r="B406" s="171">
        <v>85</v>
      </c>
      <c r="F406" s="36" t="s">
        <v>944</v>
      </c>
      <c r="G406" s="9" t="s">
        <v>945</v>
      </c>
      <c r="H406" s="3">
        <f t="shared" si="15"/>
        <v>285153.3125</v>
      </c>
      <c r="I406" s="3">
        <f t="shared" si="16"/>
        <v>45624.53</v>
      </c>
    </row>
    <row r="407" spans="1:9">
      <c r="A407" s="172" t="s">
        <v>7099</v>
      </c>
      <c r="B407" s="171">
        <v>85</v>
      </c>
      <c r="F407" s="8" t="s">
        <v>761</v>
      </c>
      <c r="G407" s="9" t="s">
        <v>762</v>
      </c>
      <c r="H407" s="3">
        <f t="shared" si="15"/>
        <v>-203859.5625</v>
      </c>
      <c r="I407" s="3">
        <f t="shared" si="16"/>
        <v>-32617.53</v>
      </c>
    </row>
    <row r="408" spans="1:9">
      <c r="A408" s="172" t="s">
        <v>7099</v>
      </c>
      <c r="B408" s="171">
        <v>85</v>
      </c>
      <c r="F408" s="8" t="s">
        <v>777</v>
      </c>
      <c r="G408" s="9" t="s">
        <v>16</v>
      </c>
      <c r="H408" s="3">
        <f t="shared" si="15"/>
        <v>9310.3749999999982</v>
      </c>
      <c r="I408" s="3">
        <f t="shared" si="16"/>
        <v>1489.6599999999999</v>
      </c>
    </row>
    <row r="409" spans="1:9">
      <c r="A409" s="172" t="s">
        <v>7099</v>
      </c>
      <c r="B409" s="171">
        <v>85</v>
      </c>
      <c r="F409" s="8" t="s">
        <v>6322</v>
      </c>
      <c r="G409" s="9" t="s">
        <v>6323</v>
      </c>
      <c r="H409" s="3">
        <f t="shared" si="15"/>
        <v>337.625</v>
      </c>
      <c r="I409" s="3">
        <f t="shared" si="16"/>
        <v>54.02</v>
      </c>
    </row>
    <row r="410" spans="1:9">
      <c r="A410" s="172" t="s">
        <v>7099</v>
      </c>
      <c r="B410" s="171">
        <v>85</v>
      </c>
      <c r="F410" s="8" t="s">
        <v>3783</v>
      </c>
      <c r="G410" s="9" t="s">
        <v>3784</v>
      </c>
      <c r="H410" s="3">
        <f t="shared" si="15"/>
        <v>717.24999999999989</v>
      </c>
      <c r="I410" s="3">
        <f t="shared" si="16"/>
        <v>114.75999999999999</v>
      </c>
    </row>
    <row r="411" spans="1:9">
      <c r="A411" s="172" t="s">
        <v>7099</v>
      </c>
      <c r="B411" s="171">
        <v>85</v>
      </c>
      <c r="F411" s="12" t="s">
        <v>775</v>
      </c>
      <c r="G411" s="9" t="s">
        <v>776</v>
      </c>
      <c r="H411" s="3">
        <f t="shared" si="15"/>
        <v>401116.5</v>
      </c>
      <c r="I411" s="3">
        <f t="shared" si="16"/>
        <v>64178.64</v>
      </c>
    </row>
    <row r="412" spans="1:9">
      <c r="A412" s="172" t="s">
        <v>7099</v>
      </c>
      <c r="B412" s="171">
        <v>85</v>
      </c>
      <c r="F412" s="8" t="s">
        <v>781</v>
      </c>
      <c r="G412" s="9" t="s">
        <v>80</v>
      </c>
      <c r="H412" s="3">
        <f t="shared" si="15"/>
        <v>7556.5</v>
      </c>
      <c r="I412" s="3">
        <f t="shared" si="16"/>
        <v>1209.04</v>
      </c>
    </row>
    <row r="413" spans="1:9">
      <c r="A413" s="172" t="s">
        <v>7099</v>
      </c>
      <c r="B413" s="171">
        <v>85</v>
      </c>
      <c r="F413" s="8" t="s">
        <v>782</v>
      </c>
      <c r="G413" s="9" t="s">
        <v>783</v>
      </c>
      <c r="H413" s="3">
        <f t="shared" si="15"/>
        <v>51896.5625</v>
      </c>
      <c r="I413" s="3">
        <f t="shared" si="16"/>
        <v>8303.4500000000007</v>
      </c>
    </row>
    <row r="414" spans="1:9">
      <c r="A414" s="172" t="s">
        <v>7099</v>
      </c>
      <c r="B414" s="171">
        <v>85</v>
      </c>
      <c r="F414" s="8" t="s">
        <v>780</v>
      </c>
      <c r="G414" s="9" t="s">
        <v>373</v>
      </c>
      <c r="H414" s="3">
        <f t="shared" si="15"/>
        <v>7000</v>
      </c>
      <c r="I414" s="3">
        <f t="shared" si="16"/>
        <v>1120</v>
      </c>
    </row>
    <row r="415" spans="1:9">
      <c r="A415" s="172" t="s">
        <v>7099</v>
      </c>
      <c r="B415" s="171">
        <v>85</v>
      </c>
      <c r="F415" s="27" t="s">
        <v>935</v>
      </c>
      <c r="G415" s="28" t="s">
        <v>936</v>
      </c>
      <c r="H415" s="3">
        <f t="shared" si="15"/>
        <v>86.187499999999986</v>
      </c>
      <c r="I415" s="3">
        <f t="shared" si="16"/>
        <v>13.79</v>
      </c>
    </row>
    <row r="416" spans="1:9">
      <c r="A416" s="172" t="s">
        <v>7099</v>
      </c>
      <c r="B416" s="171">
        <v>85</v>
      </c>
      <c r="F416" s="8" t="s">
        <v>784</v>
      </c>
      <c r="G416" s="9" t="s">
        <v>785</v>
      </c>
      <c r="H416" s="3">
        <f t="shared" si="15"/>
        <v>172.4375</v>
      </c>
      <c r="I416" s="3">
        <f t="shared" si="16"/>
        <v>27.59</v>
      </c>
    </row>
    <row r="417" spans="1:9">
      <c r="A417" s="172" t="s">
        <v>7099</v>
      </c>
      <c r="B417" s="171">
        <v>85</v>
      </c>
      <c r="F417" s="8" t="s">
        <v>739</v>
      </c>
      <c r="G417" s="9" t="s">
        <v>469</v>
      </c>
      <c r="H417" s="3">
        <f t="shared" si="15"/>
        <v>215.49999999999997</v>
      </c>
      <c r="I417" s="3">
        <f t="shared" si="16"/>
        <v>34.479999999999997</v>
      </c>
    </row>
    <row r="418" spans="1:9">
      <c r="A418" s="172" t="s">
        <v>7099</v>
      </c>
      <c r="B418" s="171">
        <v>85</v>
      </c>
      <c r="F418" s="8" t="s">
        <v>786</v>
      </c>
      <c r="G418" s="9" t="s">
        <v>787</v>
      </c>
      <c r="H418" s="3">
        <f t="shared" si="15"/>
        <v>216.9375</v>
      </c>
      <c r="I418" s="3">
        <f t="shared" si="16"/>
        <v>34.71</v>
      </c>
    </row>
    <row r="419" spans="1:9">
      <c r="A419" s="172" t="s">
        <v>7099</v>
      </c>
      <c r="B419" s="171">
        <v>85</v>
      </c>
      <c r="F419" s="8" t="s">
        <v>788</v>
      </c>
      <c r="G419" s="9" t="s">
        <v>569</v>
      </c>
      <c r="H419" s="3">
        <f t="shared" si="15"/>
        <v>141.375</v>
      </c>
      <c r="I419" s="3">
        <f t="shared" si="16"/>
        <v>22.62</v>
      </c>
    </row>
    <row r="420" spans="1:9">
      <c r="A420" s="172" t="s">
        <v>7099</v>
      </c>
      <c r="B420" s="171">
        <v>85</v>
      </c>
      <c r="F420" s="8" t="s">
        <v>792</v>
      </c>
      <c r="G420" s="9" t="s">
        <v>346</v>
      </c>
      <c r="H420" s="3">
        <f t="shared" si="15"/>
        <v>12111.375</v>
      </c>
      <c r="I420" s="3">
        <f t="shared" si="16"/>
        <v>1937.82</v>
      </c>
    </row>
    <row r="421" spans="1:9">
      <c r="A421" s="172" t="s">
        <v>7099</v>
      </c>
      <c r="B421" s="171">
        <v>85</v>
      </c>
      <c r="F421" s="8" t="s">
        <v>789</v>
      </c>
      <c r="G421" s="9" t="s">
        <v>790</v>
      </c>
      <c r="H421" s="3">
        <f t="shared" si="15"/>
        <v>931</v>
      </c>
      <c r="I421" s="3">
        <f t="shared" si="16"/>
        <v>148.96</v>
      </c>
    </row>
    <row r="422" spans="1:9">
      <c r="A422" s="172" t="s">
        <v>7099</v>
      </c>
      <c r="B422" s="171">
        <v>85</v>
      </c>
      <c r="F422" s="8" t="s">
        <v>791</v>
      </c>
      <c r="G422" s="9" t="s">
        <v>605</v>
      </c>
      <c r="H422" s="3">
        <f t="shared" si="15"/>
        <v>1414.5625</v>
      </c>
      <c r="I422" s="3">
        <f t="shared" si="16"/>
        <v>226.33</v>
      </c>
    </row>
    <row r="423" spans="1:9">
      <c r="A423" s="172" t="s">
        <v>7099</v>
      </c>
      <c r="B423" s="171">
        <v>85</v>
      </c>
      <c r="F423" s="27" t="s">
        <v>5756</v>
      </c>
      <c r="G423" s="28" t="s">
        <v>7003</v>
      </c>
      <c r="H423" s="3">
        <f t="shared" si="15"/>
        <v>566.9375</v>
      </c>
      <c r="I423" s="3">
        <f t="shared" si="16"/>
        <v>90.71</v>
      </c>
    </row>
    <row r="424" spans="1:9">
      <c r="A424" s="172" t="s">
        <v>7099</v>
      </c>
      <c r="B424" s="171">
        <v>85</v>
      </c>
      <c r="F424" s="27" t="s">
        <v>954</v>
      </c>
      <c r="G424" s="28" t="s">
        <v>955</v>
      </c>
      <c r="H424" s="3">
        <f t="shared" si="15"/>
        <v>168.125</v>
      </c>
      <c r="I424" s="3">
        <f t="shared" si="16"/>
        <v>26.9</v>
      </c>
    </row>
    <row r="425" spans="1:9">
      <c r="A425" s="172" t="s">
        <v>7099</v>
      </c>
      <c r="B425" s="171">
        <v>85</v>
      </c>
      <c r="F425" s="27" t="s">
        <v>1655</v>
      </c>
      <c r="G425" s="28" t="s">
        <v>1656</v>
      </c>
      <c r="H425" s="3">
        <f t="shared" si="15"/>
        <v>675.625</v>
      </c>
      <c r="I425" s="3">
        <f t="shared" si="16"/>
        <v>108.1</v>
      </c>
    </row>
    <row r="426" spans="1:9">
      <c r="A426" s="172" t="s">
        <v>7099</v>
      </c>
      <c r="B426" s="171">
        <v>85</v>
      </c>
      <c r="F426" s="8" t="s">
        <v>794</v>
      </c>
      <c r="G426" s="9" t="s">
        <v>612</v>
      </c>
      <c r="H426" s="3">
        <f t="shared" si="15"/>
        <v>38</v>
      </c>
      <c r="I426" s="3">
        <f t="shared" si="16"/>
        <v>6.08</v>
      </c>
    </row>
    <row r="427" spans="1:9">
      <c r="A427" s="172" t="s">
        <v>7099</v>
      </c>
      <c r="B427" s="171">
        <v>85</v>
      </c>
      <c r="F427" s="8" t="s">
        <v>834</v>
      </c>
      <c r="G427" s="9" t="s">
        <v>835</v>
      </c>
      <c r="H427" s="3">
        <f t="shared" si="15"/>
        <v>308</v>
      </c>
      <c r="I427" s="3">
        <f t="shared" si="16"/>
        <v>49.28</v>
      </c>
    </row>
    <row r="428" spans="1:9">
      <c r="A428" s="172" t="s">
        <v>7099</v>
      </c>
      <c r="B428" s="171">
        <v>85</v>
      </c>
      <c r="F428" s="8" t="s">
        <v>793</v>
      </c>
      <c r="G428" s="9" t="s">
        <v>22</v>
      </c>
      <c r="H428" s="3">
        <f t="shared" si="15"/>
        <v>103379.62499999999</v>
      </c>
      <c r="I428" s="3">
        <f t="shared" si="16"/>
        <v>16540.739999999998</v>
      </c>
    </row>
    <row r="429" spans="1:9">
      <c r="A429" s="172" t="s">
        <v>7099</v>
      </c>
      <c r="B429" s="171">
        <v>85</v>
      </c>
      <c r="F429" s="8" t="s">
        <v>778</v>
      </c>
      <c r="G429" s="9" t="s">
        <v>779</v>
      </c>
      <c r="H429" s="3">
        <f t="shared" si="15"/>
        <v>1000</v>
      </c>
      <c r="I429" s="3">
        <f t="shared" si="16"/>
        <v>160</v>
      </c>
    </row>
    <row r="430" spans="1:9">
      <c r="A430" s="172" t="s">
        <v>7099</v>
      </c>
      <c r="B430" s="171">
        <v>85</v>
      </c>
      <c r="F430" s="8" t="s">
        <v>800</v>
      </c>
      <c r="G430" s="9" t="s">
        <v>238</v>
      </c>
      <c r="H430" s="3">
        <f t="shared" ref="H430:H493" si="17">+I430/0.16</f>
        <v>1900</v>
      </c>
      <c r="I430" s="3">
        <f t="shared" ref="I430:I493" si="18">+SUMIF($F$10:$F$354,F430,$I$10:$I$354)</f>
        <v>304</v>
      </c>
    </row>
    <row r="431" spans="1:9">
      <c r="A431" s="172" t="s">
        <v>7099</v>
      </c>
      <c r="B431" s="171">
        <v>85</v>
      </c>
      <c r="F431" s="8" t="s">
        <v>795</v>
      </c>
      <c r="G431" s="9" t="s">
        <v>713</v>
      </c>
      <c r="H431" s="3">
        <f t="shared" si="17"/>
        <v>75065.875</v>
      </c>
      <c r="I431" s="3">
        <f t="shared" si="18"/>
        <v>12010.54</v>
      </c>
    </row>
    <row r="432" spans="1:9">
      <c r="A432" s="172" t="s">
        <v>7099</v>
      </c>
      <c r="B432" s="171">
        <v>85</v>
      </c>
      <c r="F432" s="8" t="s">
        <v>798</v>
      </c>
      <c r="G432" s="9" t="s">
        <v>77</v>
      </c>
      <c r="H432" s="3">
        <f t="shared" si="17"/>
        <v>6710.625</v>
      </c>
      <c r="I432" s="3">
        <f t="shared" si="18"/>
        <v>1073.7</v>
      </c>
    </row>
    <row r="433" spans="1:10">
      <c r="A433" s="172" t="s">
        <v>7099</v>
      </c>
      <c r="B433" s="171">
        <v>85</v>
      </c>
      <c r="F433" s="37" t="s">
        <v>948</v>
      </c>
      <c r="G433" t="s">
        <v>947</v>
      </c>
      <c r="H433" s="3">
        <f t="shared" si="17"/>
        <v>10791.500000000004</v>
      </c>
      <c r="I433" s="3">
        <f t="shared" si="18"/>
        <v>1726.6400000000006</v>
      </c>
    </row>
    <row r="434" spans="1:10">
      <c r="A434" s="172" t="s">
        <v>7099</v>
      </c>
      <c r="B434" s="171">
        <v>85</v>
      </c>
      <c r="F434" s="27" t="s">
        <v>1687</v>
      </c>
      <c r="G434" s="28" t="s">
        <v>1688</v>
      </c>
      <c r="H434" s="3">
        <f t="shared" si="17"/>
        <v>416.8125</v>
      </c>
      <c r="I434" s="3">
        <f t="shared" si="18"/>
        <v>66.69</v>
      </c>
    </row>
    <row r="435" spans="1:10">
      <c r="A435" s="172" t="s">
        <v>7099</v>
      </c>
      <c r="B435" s="171">
        <v>85</v>
      </c>
      <c r="F435" s="27" t="s">
        <v>2898</v>
      </c>
      <c r="G435" s="28" t="s">
        <v>1697</v>
      </c>
      <c r="H435" s="3">
        <f t="shared" si="17"/>
        <v>291.8125</v>
      </c>
      <c r="I435" s="3">
        <f t="shared" si="18"/>
        <v>46.69</v>
      </c>
    </row>
    <row r="436" spans="1:10">
      <c r="A436" s="172" t="s">
        <v>7099</v>
      </c>
      <c r="B436" s="171">
        <v>85</v>
      </c>
      <c r="F436" s="8" t="s">
        <v>797</v>
      </c>
      <c r="G436" s="9" t="s">
        <v>220</v>
      </c>
      <c r="H436" s="3">
        <f t="shared" si="17"/>
        <v>23985</v>
      </c>
      <c r="I436" s="3">
        <f t="shared" si="18"/>
        <v>3837.6000000000004</v>
      </c>
    </row>
    <row r="437" spans="1:10">
      <c r="A437" s="172" t="s">
        <v>7099</v>
      </c>
      <c r="B437" s="171">
        <v>85</v>
      </c>
      <c r="F437" s="8" t="s">
        <v>799</v>
      </c>
      <c r="G437" s="9" t="s">
        <v>270</v>
      </c>
      <c r="H437" s="3">
        <f t="shared" si="17"/>
        <v>25701.125</v>
      </c>
      <c r="I437" s="3">
        <f t="shared" si="18"/>
        <v>4112.18</v>
      </c>
    </row>
    <row r="438" spans="1:10">
      <c r="A438" s="172" t="s">
        <v>7099</v>
      </c>
      <c r="B438" s="171">
        <v>85</v>
      </c>
      <c r="F438" s="8" t="s">
        <v>3787</v>
      </c>
      <c r="G438" s="9" t="s">
        <v>3788</v>
      </c>
      <c r="H438" s="3">
        <f t="shared" si="17"/>
        <v>1000.5624999999998</v>
      </c>
      <c r="I438" s="3">
        <f t="shared" si="18"/>
        <v>160.08999999999997</v>
      </c>
    </row>
    <row r="439" spans="1:10">
      <c r="A439" s="172" t="s">
        <v>7099</v>
      </c>
      <c r="B439" s="171">
        <v>85</v>
      </c>
      <c r="F439" s="12" t="s">
        <v>830</v>
      </c>
      <c r="G439" s="20" t="s">
        <v>831</v>
      </c>
      <c r="H439" s="3">
        <f t="shared" si="17"/>
        <v>1391</v>
      </c>
      <c r="I439" s="3">
        <f t="shared" si="18"/>
        <v>222.56</v>
      </c>
    </row>
    <row r="440" spans="1:10">
      <c r="A440" s="172" t="s">
        <v>7099</v>
      </c>
      <c r="B440" s="171">
        <v>85</v>
      </c>
      <c r="F440" s="8" t="s">
        <v>803</v>
      </c>
      <c r="G440" s="9" t="s">
        <v>804</v>
      </c>
      <c r="H440" s="3">
        <f t="shared" si="17"/>
        <v>72051.75</v>
      </c>
      <c r="I440" s="3">
        <f t="shared" si="18"/>
        <v>11528.28</v>
      </c>
    </row>
    <row r="441" spans="1:10">
      <c r="A441" s="172" t="s">
        <v>7099</v>
      </c>
      <c r="B441" s="171">
        <v>85</v>
      </c>
      <c r="F441" s="8" t="s">
        <v>801</v>
      </c>
      <c r="G441" s="9" t="s">
        <v>215</v>
      </c>
      <c r="H441" s="3">
        <f t="shared" si="17"/>
        <v>10250</v>
      </c>
      <c r="I441" s="3">
        <f t="shared" si="18"/>
        <v>1640</v>
      </c>
    </row>
    <row r="442" spans="1:10">
      <c r="A442" s="172" t="s">
        <v>7099</v>
      </c>
      <c r="B442" s="171">
        <v>85</v>
      </c>
      <c r="F442" s="8" t="s">
        <v>805</v>
      </c>
      <c r="G442" s="9" t="s">
        <v>112</v>
      </c>
      <c r="H442" s="3">
        <f t="shared" si="17"/>
        <v>25000</v>
      </c>
      <c r="I442" s="3">
        <f t="shared" si="18"/>
        <v>4000</v>
      </c>
    </row>
    <row r="443" spans="1:10">
      <c r="A443" s="172" t="s">
        <v>7099</v>
      </c>
      <c r="B443" s="171">
        <v>6</v>
      </c>
      <c r="F443" s="10" t="s">
        <v>802</v>
      </c>
      <c r="G443" s="11" t="s">
        <v>226</v>
      </c>
      <c r="H443" s="3">
        <f t="shared" si="17"/>
        <v>150.5625</v>
      </c>
      <c r="I443" s="3">
        <f t="shared" si="18"/>
        <v>24.09</v>
      </c>
      <c r="J443">
        <v>8.44</v>
      </c>
    </row>
    <row r="444" spans="1:10">
      <c r="A444" s="172" t="s">
        <v>7099</v>
      </c>
      <c r="B444" s="171">
        <v>85</v>
      </c>
      <c r="F444" s="8" t="s">
        <v>806</v>
      </c>
      <c r="G444" s="9" t="s">
        <v>807</v>
      </c>
      <c r="H444" s="3">
        <f t="shared" si="17"/>
        <v>4895</v>
      </c>
      <c r="I444" s="3">
        <f t="shared" si="18"/>
        <v>783.2</v>
      </c>
    </row>
    <row r="445" spans="1:10">
      <c r="A445" s="172" t="s">
        <v>7099</v>
      </c>
      <c r="B445" s="171">
        <v>85</v>
      </c>
      <c r="F445" s="15" t="s">
        <v>811</v>
      </c>
      <c r="G445" s="16" t="s">
        <v>812</v>
      </c>
      <c r="H445" s="3">
        <f t="shared" si="17"/>
        <v>20255</v>
      </c>
      <c r="I445" s="3">
        <f t="shared" si="18"/>
        <v>3240.8</v>
      </c>
    </row>
    <row r="446" spans="1:10">
      <c r="A446" s="172" t="s">
        <v>7099</v>
      </c>
      <c r="B446" s="171">
        <v>85</v>
      </c>
      <c r="F446" s="17" t="s">
        <v>814</v>
      </c>
      <c r="G446" s="9" t="s">
        <v>815</v>
      </c>
      <c r="H446" s="3">
        <f t="shared" si="17"/>
        <v>611724.125</v>
      </c>
      <c r="I446" s="3">
        <f t="shared" si="18"/>
        <v>97875.86</v>
      </c>
    </row>
    <row r="447" spans="1:10">
      <c r="A447" s="172" t="s">
        <v>7099</v>
      </c>
      <c r="B447" s="171">
        <v>85</v>
      </c>
      <c r="F447" s="8" t="s">
        <v>754</v>
      </c>
      <c r="G447" s="9" t="s">
        <v>472</v>
      </c>
      <c r="H447" s="3">
        <f t="shared" si="17"/>
        <v>550</v>
      </c>
      <c r="I447" s="3">
        <f t="shared" si="18"/>
        <v>88</v>
      </c>
    </row>
    <row r="448" spans="1:10">
      <c r="A448" s="172" t="s">
        <v>7099</v>
      </c>
      <c r="B448" s="172">
        <v>6</v>
      </c>
      <c r="F448" s="18" t="s">
        <v>816</v>
      </c>
      <c r="G448" s="19" t="s">
        <v>817</v>
      </c>
      <c r="H448" s="3">
        <f t="shared" si="17"/>
        <v>107142.875</v>
      </c>
      <c r="I448" s="3">
        <f t="shared" si="18"/>
        <v>17142.86</v>
      </c>
      <c r="J448">
        <v>11428.57</v>
      </c>
    </row>
    <row r="449" spans="1:10">
      <c r="A449" s="172" t="s">
        <v>7099</v>
      </c>
      <c r="B449" s="171">
        <v>85</v>
      </c>
      <c r="F449" s="8" t="s">
        <v>1582</v>
      </c>
      <c r="G449" s="9" t="s">
        <v>1583</v>
      </c>
      <c r="H449" s="3">
        <f t="shared" si="17"/>
        <v>99.1875</v>
      </c>
      <c r="I449" s="3">
        <f t="shared" si="18"/>
        <v>15.87</v>
      </c>
    </row>
    <row r="450" spans="1:10">
      <c r="A450" s="172" t="s">
        <v>7099</v>
      </c>
      <c r="B450" s="171">
        <v>85</v>
      </c>
      <c r="F450" s="8" t="s">
        <v>738</v>
      </c>
      <c r="G450" s="9" t="s">
        <v>517</v>
      </c>
      <c r="H450" s="3">
        <f t="shared" si="17"/>
        <v>163.0625</v>
      </c>
      <c r="I450" s="3">
        <f t="shared" si="18"/>
        <v>26.09</v>
      </c>
    </row>
    <row r="451" spans="1:10">
      <c r="A451" s="172" t="s">
        <v>7099</v>
      </c>
      <c r="B451" s="171">
        <v>85</v>
      </c>
      <c r="F451" s="8" t="s">
        <v>952</v>
      </c>
      <c r="G451" s="9" t="s">
        <v>953</v>
      </c>
      <c r="H451" s="3">
        <f t="shared" si="17"/>
        <v>2606</v>
      </c>
      <c r="I451" s="3">
        <f t="shared" si="18"/>
        <v>416.96</v>
      </c>
    </row>
    <row r="452" spans="1:10">
      <c r="A452" s="172" t="s">
        <v>7099</v>
      </c>
      <c r="B452" s="171">
        <v>85</v>
      </c>
      <c r="F452" s="8" t="s">
        <v>836</v>
      </c>
      <c r="G452" s="9" t="s">
        <v>558</v>
      </c>
      <c r="H452" s="3">
        <f t="shared" si="17"/>
        <v>40</v>
      </c>
      <c r="I452" s="3">
        <f t="shared" si="18"/>
        <v>6.4</v>
      </c>
    </row>
    <row r="453" spans="1:10">
      <c r="A453" s="172" t="s">
        <v>7099</v>
      </c>
      <c r="B453" s="171">
        <v>85</v>
      </c>
      <c r="F453" s="8" t="s">
        <v>820</v>
      </c>
      <c r="G453" s="9" t="s">
        <v>97</v>
      </c>
      <c r="H453" s="3">
        <f t="shared" si="17"/>
        <v>4658.3124999999991</v>
      </c>
      <c r="I453" s="3">
        <f t="shared" si="18"/>
        <v>745.32999999999993</v>
      </c>
    </row>
    <row r="454" spans="1:10">
      <c r="A454" s="172" t="s">
        <v>7099</v>
      </c>
      <c r="B454" s="171">
        <v>85</v>
      </c>
      <c r="F454" s="8" t="s">
        <v>917</v>
      </c>
      <c r="G454" s="9" t="s">
        <v>918</v>
      </c>
      <c r="H454" s="3">
        <f t="shared" si="17"/>
        <v>3145.125</v>
      </c>
      <c r="I454" s="3">
        <f t="shared" si="18"/>
        <v>503.22</v>
      </c>
    </row>
    <row r="455" spans="1:10">
      <c r="A455" s="172" t="s">
        <v>7099</v>
      </c>
      <c r="B455" s="171">
        <v>85</v>
      </c>
      <c r="F455" s="8" t="s">
        <v>1706</v>
      </c>
      <c r="G455" s="9" t="s">
        <v>1707</v>
      </c>
      <c r="H455" s="3">
        <f t="shared" si="17"/>
        <v>112.00000000000001</v>
      </c>
      <c r="I455" s="3">
        <f t="shared" si="18"/>
        <v>17.920000000000002</v>
      </c>
    </row>
    <row r="456" spans="1:10">
      <c r="A456" s="172" t="s">
        <v>7099</v>
      </c>
      <c r="B456" s="171">
        <v>85</v>
      </c>
      <c r="F456" s="8" t="s">
        <v>832</v>
      </c>
      <c r="G456" s="9" t="s">
        <v>833</v>
      </c>
      <c r="H456" s="3">
        <f t="shared" si="17"/>
        <v>8500</v>
      </c>
      <c r="I456" s="3">
        <f t="shared" si="18"/>
        <v>1360</v>
      </c>
    </row>
    <row r="457" spans="1:10">
      <c r="A457" s="172" t="s">
        <v>7099</v>
      </c>
      <c r="B457" s="171">
        <v>85</v>
      </c>
      <c r="F457" s="8" t="s">
        <v>818</v>
      </c>
      <c r="G457" s="9" t="s">
        <v>819</v>
      </c>
      <c r="H457" s="3">
        <f t="shared" si="17"/>
        <v>897.5</v>
      </c>
      <c r="I457" s="3">
        <f t="shared" si="18"/>
        <v>143.6</v>
      </c>
    </row>
    <row r="458" spans="1:10">
      <c r="A458" s="172" t="s">
        <v>7099</v>
      </c>
      <c r="B458" s="171">
        <v>85</v>
      </c>
      <c r="F458" s="8" t="s">
        <v>733</v>
      </c>
      <c r="G458" s="9" t="s">
        <v>124</v>
      </c>
      <c r="H458" s="3">
        <f t="shared" si="17"/>
        <v>12600</v>
      </c>
      <c r="I458" s="3">
        <f t="shared" si="18"/>
        <v>2016</v>
      </c>
    </row>
    <row r="459" spans="1:10">
      <c r="A459" s="172" t="s">
        <v>7099</v>
      </c>
      <c r="B459" s="171">
        <v>85</v>
      </c>
      <c r="F459" s="8" t="s">
        <v>839</v>
      </c>
      <c r="G459" s="9" t="s">
        <v>229</v>
      </c>
      <c r="H459" s="3">
        <f t="shared" si="17"/>
        <v>4625</v>
      </c>
      <c r="I459" s="3">
        <f t="shared" si="18"/>
        <v>740</v>
      </c>
    </row>
    <row r="460" spans="1:10">
      <c r="A460" s="172" t="s">
        <v>7099</v>
      </c>
      <c r="B460" s="171">
        <v>85</v>
      </c>
      <c r="F460" s="8" t="s">
        <v>842</v>
      </c>
      <c r="G460" s="9" t="s">
        <v>716</v>
      </c>
      <c r="H460" s="3">
        <f t="shared" si="17"/>
        <v>2100</v>
      </c>
      <c r="I460" s="3">
        <f t="shared" si="18"/>
        <v>336</v>
      </c>
    </row>
    <row r="461" spans="1:10">
      <c r="A461" s="172" t="s">
        <v>7099</v>
      </c>
      <c r="B461" s="171">
        <v>85</v>
      </c>
      <c r="F461" s="27" t="s">
        <v>1700</v>
      </c>
      <c r="G461" s="28" t="s">
        <v>7031</v>
      </c>
      <c r="H461" s="3">
        <f t="shared" si="17"/>
        <v>658.625</v>
      </c>
      <c r="I461" s="3">
        <f t="shared" si="18"/>
        <v>105.38</v>
      </c>
    </row>
    <row r="462" spans="1:10">
      <c r="A462" s="172" t="s">
        <v>7099</v>
      </c>
      <c r="B462" s="171">
        <v>85</v>
      </c>
      <c r="F462" s="12" t="s">
        <v>838</v>
      </c>
      <c r="G462" s="9" t="s">
        <v>49</v>
      </c>
      <c r="H462" s="3">
        <f t="shared" si="17"/>
        <v>1478.4375</v>
      </c>
      <c r="I462" s="3">
        <f t="shared" si="18"/>
        <v>236.55</v>
      </c>
    </row>
    <row r="463" spans="1:10">
      <c r="A463" s="172" t="s">
        <v>7099</v>
      </c>
      <c r="B463" s="172">
        <v>6</v>
      </c>
      <c r="F463" s="18" t="s">
        <v>843</v>
      </c>
      <c r="G463" s="19" t="s">
        <v>844</v>
      </c>
      <c r="H463" s="3">
        <f t="shared" si="17"/>
        <v>107142.875</v>
      </c>
      <c r="I463" s="3">
        <f t="shared" si="18"/>
        <v>17142.86</v>
      </c>
      <c r="J463">
        <v>11428.57</v>
      </c>
    </row>
    <row r="464" spans="1:10">
      <c r="A464" s="172" t="s">
        <v>7099</v>
      </c>
      <c r="B464" s="171">
        <v>85</v>
      </c>
      <c r="F464" s="8" t="s">
        <v>846</v>
      </c>
      <c r="G464" s="9" t="s">
        <v>287</v>
      </c>
      <c r="H464" s="3">
        <f t="shared" si="17"/>
        <v>439.68749999999994</v>
      </c>
      <c r="I464" s="3">
        <f t="shared" si="18"/>
        <v>70.349999999999994</v>
      </c>
    </row>
    <row r="465" spans="1:9">
      <c r="A465" s="172" t="s">
        <v>7099</v>
      </c>
      <c r="B465" s="171">
        <v>85</v>
      </c>
      <c r="F465" s="8" t="s">
        <v>845</v>
      </c>
      <c r="G465" s="9" t="s">
        <v>311</v>
      </c>
      <c r="H465" s="3">
        <f t="shared" si="17"/>
        <v>8235.875</v>
      </c>
      <c r="I465" s="3">
        <f t="shared" si="18"/>
        <v>1317.74</v>
      </c>
    </row>
    <row r="466" spans="1:9">
      <c r="A466" s="172" t="s">
        <v>7099</v>
      </c>
      <c r="B466" s="171">
        <v>85</v>
      </c>
      <c r="F466" s="8" t="s">
        <v>847</v>
      </c>
      <c r="G466" s="9" t="s">
        <v>848</v>
      </c>
      <c r="H466" s="3">
        <f t="shared" si="17"/>
        <v>234.50000000000003</v>
      </c>
      <c r="I466" s="3">
        <f t="shared" si="18"/>
        <v>37.520000000000003</v>
      </c>
    </row>
    <row r="467" spans="1:9">
      <c r="A467" s="172" t="s">
        <v>7099</v>
      </c>
      <c r="B467" s="171">
        <v>85</v>
      </c>
      <c r="F467" s="12" t="s">
        <v>854</v>
      </c>
      <c r="G467" s="9" t="s">
        <v>855</v>
      </c>
      <c r="H467" s="3">
        <f t="shared" si="17"/>
        <v>233357.93749999997</v>
      </c>
      <c r="I467" s="3">
        <f t="shared" si="18"/>
        <v>37337.269999999997</v>
      </c>
    </row>
    <row r="468" spans="1:9">
      <c r="A468" s="172" t="s">
        <v>7099</v>
      </c>
      <c r="B468" s="171">
        <v>85</v>
      </c>
      <c r="F468" s="8" t="s">
        <v>852</v>
      </c>
      <c r="G468" s="9" t="s">
        <v>853</v>
      </c>
      <c r="H468" s="3">
        <f t="shared" si="17"/>
        <v>65.5</v>
      </c>
      <c r="I468" s="3">
        <f t="shared" si="18"/>
        <v>10.48</v>
      </c>
    </row>
    <row r="469" spans="1:9">
      <c r="A469" s="172" t="s">
        <v>7099</v>
      </c>
      <c r="B469" s="171">
        <v>85</v>
      </c>
      <c r="F469" s="8" t="s">
        <v>931</v>
      </c>
      <c r="G469" s="9" t="s">
        <v>932</v>
      </c>
      <c r="H469" s="3">
        <f t="shared" si="17"/>
        <v>14660.374999999998</v>
      </c>
      <c r="I469" s="3">
        <f t="shared" si="18"/>
        <v>2345.66</v>
      </c>
    </row>
    <row r="470" spans="1:9">
      <c r="A470" s="172" t="s">
        <v>7099</v>
      </c>
      <c r="B470" s="171">
        <v>85</v>
      </c>
      <c r="F470" s="8" t="s">
        <v>856</v>
      </c>
      <c r="G470" s="9" t="s">
        <v>857</v>
      </c>
      <c r="H470" s="3">
        <f t="shared" si="17"/>
        <v>672059.25</v>
      </c>
      <c r="I470" s="3">
        <f t="shared" si="18"/>
        <v>107529.48</v>
      </c>
    </row>
    <row r="471" spans="1:9">
      <c r="A471" s="172" t="s">
        <v>7099</v>
      </c>
      <c r="B471" s="171">
        <v>85</v>
      </c>
      <c r="F471" s="8" t="s">
        <v>851</v>
      </c>
      <c r="G471" s="9" t="s">
        <v>86</v>
      </c>
      <c r="H471" s="3">
        <f t="shared" si="17"/>
        <v>6064.7499999999991</v>
      </c>
      <c r="I471" s="3">
        <f t="shared" si="18"/>
        <v>970.3599999999999</v>
      </c>
    </row>
    <row r="472" spans="1:9">
      <c r="A472" s="172" t="s">
        <v>7099</v>
      </c>
      <c r="B472" s="171">
        <v>85</v>
      </c>
      <c r="F472" s="27" t="s">
        <v>2903</v>
      </c>
      <c r="G472" s="28" t="s">
        <v>2904</v>
      </c>
      <c r="H472" s="3">
        <f t="shared" si="17"/>
        <v>630.5625</v>
      </c>
      <c r="I472" s="3">
        <f t="shared" si="18"/>
        <v>100.89</v>
      </c>
    </row>
    <row r="473" spans="1:9">
      <c r="A473" s="172" t="s">
        <v>7099</v>
      </c>
      <c r="B473" s="171">
        <v>85</v>
      </c>
      <c r="F473" s="8" t="s">
        <v>2873</v>
      </c>
      <c r="G473" s="9" t="s">
        <v>2874</v>
      </c>
      <c r="H473" s="3">
        <f t="shared" si="17"/>
        <v>83.375</v>
      </c>
      <c r="I473" s="3">
        <f t="shared" si="18"/>
        <v>13.34</v>
      </c>
    </row>
    <row r="474" spans="1:9">
      <c r="A474" s="172" t="s">
        <v>7099</v>
      </c>
      <c r="B474" s="171">
        <v>85</v>
      </c>
      <c r="F474" s="8" t="s">
        <v>925</v>
      </c>
      <c r="G474" s="9" t="s">
        <v>926</v>
      </c>
      <c r="H474" s="3">
        <f t="shared" si="17"/>
        <v>273.125</v>
      </c>
      <c r="I474" s="3">
        <f t="shared" si="18"/>
        <v>43.7</v>
      </c>
    </row>
    <row r="475" spans="1:9">
      <c r="A475" s="172" t="s">
        <v>7099</v>
      </c>
      <c r="B475" s="171">
        <v>85</v>
      </c>
      <c r="F475" s="8" t="s">
        <v>849</v>
      </c>
      <c r="G475" s="9" t="s">
        <v>127</v>
      </c>
      <c r="H475" s="3">
        <f t="shared" si="17"/>
        <v>8200</v>
      </c>
      <c r="I475" s="3">
        <f t="shared" si="18"/>
        <v>1312</v>
      </c>
    </row>
    <row r="476" spans="1:9">
      <c r="A476" s="172" t="s">
        <v>7099</v>
      </c>
      <c r="B476" s="171">
        <v>85</v>
      </c>
      <c r="F476" s="8" t="s">
        <v>850</v>
      </c>
      <c r="G476" s="9" t="s">
        <v>89</v>
      </c>
      <c r="H476" s="3">
        <f t="shared" si="17"/>
        <v>48621.5625</v>
      </c>
      <c r="I476" s="3">
        <f t="shared" si="18"/>
        <v>7779.45</v>
      </c>
    </row>
    <row r="477" spans="1:9">
      <c r="A477" s="172" t="s">
        <v>7099</v>
      </c>
      <c r="B477" s="171">
        <v>85</v>
      </c>
      <c r="F477" s="27" t="s">
        <v>929</v>
      </c>
      <c r="G477" s="28" t="s">
        <v>930</v>
      </c>
      <c r="H477" s="3">
        <f t="shared" si="17"/>
        <v>375</v>
      </c>
      <c r="I477" s="3">
        <f t="shared" si="18"/>
        <v>60</v>
      </c>
    </row>
    <row r="478" spans="1:9">
      <c r="A478" s="172" t="s">
        <v>7099</v>
      </c>
      <c r="B478" s="171">
        <v>85</v>
      </c>
      <c r="F478" s="8" t="s">
        <v>858</v>
      </c>
      <c r="G478" s="9" t="s">
        <v>121</v>
      </c>
      <c r="H478" s="3">
        <f t="shared" si="17"/>
        <v>2100</v>
      </c>
      <c r="I478" s="3">
        <f t="shared" si="18"/>
        <v>336</v>
      </c>
    </row>
    <row r="479" spans="1:9">
      <c r="A479" s="172" t="s">
        <v>7099</v>
      </c>
      <c r="B479" s="171">
        <v>85</v>
      </c>
      <c r="F479" s="8" t="s">
        <v>927</v>
      </c>
      <c r="G479" s="9" t="s">
        <v>928</v>
      </c>
      <c r="H479" s="3">
        <f t="shared" si="17"/>
        <v>60</v>
      </c>
      <c r="I479" s="3">
        <f t="shared" si="18"/>
        <v>9.6</v>
      </c>
    </row>
    <row r="480" spans="1:9">
      <c r="A480" s="172" t="s">
        <v>7099</v>
      </c>
      <c r="B480" s="171">
        <v>85</v>
      </c>
      <c r="F480" s="17" t="s">
        <v>862</v>
      </c>
      <c r="G480" s="9" t="s">
        <v>402</v>
      </c>
      <c r="H480" s="3">
        <f t="shared" si="17"/>
        <v>179603.3125</v>
      </c>
      <c r="I480" s="3">
        <f t="shared" si="18"/>
        <v>28736.53</v>
      </c>
    </row>
    <row r="481" spans="1:9">
      <c r="A481" s="172" t="s">
        <v>7099</v>
      </c>
      <c r="B481" s="171">
        <v>85</v>
      </c>
      <c r="F481" s="8" t="s">
        <v>859</v>
      </c>
      <c r="G481" s="9" t="s">
        <v>174</v>
      </c>
      <c r="H481" s="3">
        <f t="shared" si="17"/>
        <v>33582</v>
      </c>
      <c r="I481" s="3">
        <f t="shared" si="18"/>
        <v>5373.12</v>
      </c>
    </row>
    <row r="482" spans="1:9">
      <c r="A482" s="172" t="s">
        <v>7099</v>
      </c>
      <c r="B482" s="171">
        <v>85</v>
      </c>
      <c r="F482" s="27" t="s">
        <v>923</v>
      </c>
      <c r="G482" s="28" t="s">
        <v>924</v>
      </c>
      <c r="H482" s="3">
        <f t="shared" si="17"/>
        <v>430.31249999999994</v>
      </c>
      <c r="I482" s="3">
        <f t="shared" si="18"/>
        <v>68.849999999999994</v>
      </c>
    </row>
    <row r="483" spans="1:9">
      <c r="A483" s="172" t="s">
        <v>7099</v>
      </c>
      <c r="B483" s="171">
        <v>85</v>
      </c>
      <c r="F483" s="8" t="s">
        <v>7056</v>
      </c>
      <c r="G483" s="9" t="s">
        <v>7057</v>
      </c>
      <c r="H483" s="3">
        <f t="shared" si="17"/>
        <v>137.9375</v>
      </c>
      <c r="I483" s="3">
        <f t="shared" si="18"/>
        <v>22.07</v>
      </c>
    </row>
    <row r="484" spans="1:9">
      <c r="A484" s="172" t="s">
        <v>7099</v>
      </c>
      <c r="B484" s="171">
        <v>85</v>
      </c>
      <c r="F484" s="8" t="s">
        <v>860</v>
      </c>
      <c r="G484" s="9" t="s">
        <v>861</v>
      </c>
      <c r="H484" s="3">
        <f t="shared" si="17"/>
        <v>57.75</v>
      </c>
      <c r="I484" s="3">
        <f t="shared" si="18"/>
        <v>9.24</v>
      </c>
    </row>
    <row r="485" spans="1:9">
      <c r="A485" s="172" t="s">
        <v>7099</v>
      </c>
      <c r="B485" s="171">
        <v>85</v>
      </c>
      <c r="F485" s="8" t="s">
        <v>921</v>
      </c>
      <c r="G485" s="9" t="s">
        <v>922</v>
      </c>
      <c r="H485" s="3">
        <f t="shared" si="17"/>
        <v>1090777</v>
      </c>
      <c r="I485" s="3">
        <f t="shared" si="18"/>
        <v>174524.32</v>
      </c>
    </row>
    <row r="486" spans="1:9">
      <c r="A486" s="172" t="s">
        <v>7099</v>
      </c>
      <c r="B486" s="171">
        <v>85</v>
      </c>
      <c r="F486" s="8" t="s">
        <v>808</v>
      </c>
      <c r="G486" s="9" t="s">
        <v>615</v>
      </c>
      <c r="H486" s="3">
        <f t="shared" si="17"/>
        <v>344.875</v>
      </c>
      <c r="I486" s="3">
        <f t="shared" si="18"/>
        <v>55.18</v>
      </c>
    </row>
    <row r="487" spans="1:9">
      <c r="A487" s="172" t="s">
        <v>7099</v>
      </c>
      <c r="B487" s="171">
        <v>85</v>
      </c>
      <c r="F487" s="8" t="s">
        <v>866</v>
      </c>
      <c r="G487" s="9" t="s">
        <v>867</v>
      </c>
      <c r="H487" s="3">
        <f t="shared" si="17"/>
        <v>941.375</v>
      </c>
      <c r="I487" s="3">
        <f t="shared" si="18"/>
        <v>150.62</v>
      </c>
    </row>
    <row r="488" spans="1:9">
      <c r="A488" s="172" t="s">
        <v>7099</v>
      </c>
      <c r="B488" s="171">
        <v>85</v>
      </c>
      <c r="F488" s="8" t="s">
        <v>869</v>
      </c>
      <c r="G488" s="9" t="s">
        <v>870</v>
      </c>
      <c r="H488" s="3">
        <f t="shared" si="17"/>
        <v>25</v>
      </c>
      <c r="I488" s="3">
        <f t="shared" si="18"/>
        <v>4</v>
      </c>
    </row>
    <row r="489" spans="1:9">
      <c r="A489" s="172" t="s">
        <v>7099</v>
      </c>
      <c r="B489" s="171">
        <v>85</v>
      </c>
      <c r="F489" s="8" t="s">
        <v>868</v>
      </c>
      <c r="G489" s="9" t="s">
        <v>94</v>
      </c>
      <c r="H489" s="3">
        <f t="shared" si="17"/>
        <v>58750</v>
      </c>
      <c r="I489" s="3">
        <f t="shared" si="18"/>
        <v>9400</v>
      </c>
    </row>
    <row r="490" spans="1:9">
      <c r="A490" s="172" t="s">
        <v>7099</v>
      </c>
      <c r="B490" s="171">
        <v>85</v>
      </c>
      <c r="F490" s="8" t="s">
        <v>837</v>
      </c>
      <c r="G490" s="9" t="s">
        <v>520</v>
      </c>
      <c r="H490" s="3">
        <f t="shared" si="17"/>
        <v>931.0625</v>
      </c>
      <c r="I490" s="3">
        <f t="shared" si="18"/>
        <v>148.97</v>
      </c>
    </row>
    <row r="491" spans="1:9">
      <c r="A491" s="172" t="s">
        <v>7099</v>
      </c>
      <c r="B491" s="171">
        <v>85</v>
      </c>
      <c r="F491" s="8" t="s">
        <v>742</v>
      </c>
      <c r="G491" s="9" t="s">
        <v>602</v>
      </c>
      <c r="H491" s="3">
        <f t="shared" si="17"/>
        <v>60.75</v>
      </c>
      <c r="I491" s="3">
        <f t="shared" si="18"/>
        <v>9.7200000000000006</v>
      </c>
    </row>
    <row r="492" spans="1:9">
      <c r="A492" s="172" t="s">
        <v>7099</v>
      </c>
      <c r="B492" s="171">
        <v>85</v>
      </c>
      <c r="F492" s="8" t="s">
        <v>919</v>
      </c>
      <c r="G492" s="9" t="s">
        <v>920</v>
      </c>
      <c r="H492" s="3">
        <f t="shared" si="17"/>
        <v>114.75</v>
      </c>
      <c r="I492" s="3">
        <f t="shared" si="18"/>
        <v>18.36</v>
      </c>
    </row>
    <row r="493" spans="1:9">
      <c r="A493" s="172" t="s">
        <v>7099</v>
      </c>
      <c r="B493" s="171">
        <v>85</v>
      </c>
      <c r="F493" s="8" t="s">
        <v>863</v>
      </c>
      <c r="G493" s="9" t="s">
        <v>864</v>
      </c>
      <c r="H493" s="3">
        <f t="shared" si="17"/>
        <v>137.0625</v>
      </c>
      <c r="I493" s="3">
        <f t="shared" si="18"/>
        <v>21.93</v>
      </c>
    </row>
    <row r="494" spans="1:9">
      <c r="A494" s="172" t="s">
        <v>7099</v>
      </c>
      <c r="B494" s="171">
        <v>85</v>
      </c>
      <c r="F494" s="8" t="s">
        <v>865</v>
      </c>
      <c r="G494" s="9" t="s">
        <v>158</v>
      </c>
      <c r="H494" s="3">
        <f t="shared" ref="H494:H526" si="19">+I494/0.16</f>
        <v>2520</v>
      </c>
      <c r="I494" s="3">
        <f t="shared" ref="I494:I526" si="20">+SUMIF($F$10:$F$354,F494,$I$10:$I$354)</f>
        <v>403.2</v>
      </c>
    </row>
    <row r="495" spans="1:9">
      <c r="A495" s="172" t="s">
        <v>7099</v>
      </c>
      <c r="B495" s="171">
        <v>85</v>
      </c>
      <c r="F495" s="27" t="s">
        <v>7058</v>
      </c>
      <c r="G495" s="28" t="s">
        <v>7059</v>
      </c>
      <c r="H495" s="3">
        <f t="shared" si="19"/>
        <v>433.5</v>
      </c>
      <c r="I495" s="3">
        <f t="shared" si="20"/>
        <v>69.36</v>
      </c>
    </row>
    <row r="496" spans="1:9">
      <c r="A496" s="172" t="s">
        <v>7099</v>
      </c>
      <c r="B496" s="171">
        <v>85</v>
      </c>
      <c r="F496" s="8" t="s">
        <v>875</v>
      </c>
      <c r="G496" s="9" t="s">
        <v>19</v>
      </c>
      <c r="H496" s="3">
        <f t="shared" si="19"/>
        <v>228067.1875</v>
      </c>
      <c r="I496" s="3">
        <f t="shared" si="20"/>
        <v>36490.75</v>
      </c>
    </row>
    <row r="497" spans="1:9">
      <c r="A497" s="172" t="s">
        <v>7099</v>
      </c>
      <c r="B497" s="171">
        <v>85</v>
      </c>
      <c r="F497" s="27" t="s">
        <v>943</v>
      </c>
      <c r="G497" s="35" t="s">
        <v>71</v>
      </c>
      <c r="H497" s="3">
        <f t="shared" si="19"/>
        <v>512.0625</v>
      </c>
      <c r="I497" s="3">
        <f t="shared" si="20"/>
        <v>81.93</v>
      </c>
    </row>
    <row r="498" spans="1:9">
      <c r="A498" s="172" t="s">
        <v>7099</v>
      </c>
      <c r="B498" s="171">
        <v>85</v>
      </c>
      <c r="F498" s="27" t="s">
        <v>3791</v>
      </c>
      <c r="G498" s="28" t="s">
        <v>7062</v>
      </c>
      <c r="H498" s="3">
        <f t="shared" si="19"/>
        <v>637.25</v>
      </c>
      <c r="I498" s="3">
        <f t="shared" si="20"/>
        <v>101.96</v>
      </c>
    </row>
    <row r="499" spans="1:9">
      <c r="A499" s="172" t="s">
        <v>7099</v>
      </c>
      <c r="B499" s="171">
        <v>85</v>
      </c>
      <c r="F499" s="29" t="s">
        <v>878</v>
      </c>
      <c r="G499" t="s">
        <v>319</v>
      </c>
      <c r="H499" s="3">
        <f t="shared" si="19"/>
        <v>129310.375</v>
      </c>
      <c r="I499" s="3">
        <f t="shared" si="20"/>
        <v>20689.66</v>
      </c>
    </row>
    <row r="500" spans="1:9">
      <c r="A500" s="172" t="s">
        <v>7099</v>
      </c>
      <c r="B500" s="171">
        <v>85</v>
      </c>
      <c r="F500" s="27" t="s">
        <v>877</v>
      </c>
      <c r="G500" s="28" t="s">
        <v>223</v>
      </c>
      <c r="H500" s="3">
        <f t="shared" si="19"/>
        <v>81207.375</v>
      </c>
      <c r="I500" s="3">
        <f t="shared" si="20"/>
        <v>12993.18</v>
      </c>
    </row>
    <row r="501" spans="1:9">
      <c r="A501" s="172" t="s">
        <v>7099</v>
      </c>
      <c r="B501" s="171">
        <v>85</v>
      </c>
      <c r="F501" s="27" t="s">
        <v>905</v>
      </c>
      <c r="G501" s="28" t="s">
        <v>906</v>
      </c>
      <c r="H501" s="3">
        <f t="shared" si="19"/>
        <v>333.4375</v>
      </c>
      <c r="I501" s="3">
        <f t="shared" si="20"/>
        <v>53.35</v>
      </c>
    </row>
    <row r="502" spans="1:9">
      <c r="A502" s="172" t="s">
        <v>7099</v>
      </c>
      <c r="B502" s="171">
        <v>85</v>
      </c>
      <c r="F502" s="12" t="s">
        <v>915</v>
      </c>
      <c r="G502" s="20" t="s">
        <v>916</v>
      </c>
      <c r="H502" s="3">
        <f t="shared" si="19"/>
        <v>190</v>
      </c>
      <c r="I502" s="3">
        <f t="shared" si="20"/>
        <v>30.4</v>
      </c>
    </row>
    <row r="503" spans="1:9">
      <c r="A503" s="172" t="s">
        <v>7099</v>
      </c>
      <c r="B503" s="171">
        <v>85</v>
      </c>
      <c r="F503" s="27" t="s">
        <v>4776</v>
      </c>
      <c r="G503" s="28" t="s">
        <v>4777</v>
      </c>
      <c r="H503" s="3">
        <f t="shared" si="19"/>
        <v>625.25</v>
      </c>
      <c r="I503" s="3">
        <f t="shared" si="20"/>
        <v>100.04</v>
      </c>
    </row>
    <row r="504" spans="1:9">
      <c r="A504" s="172" t="s">
        <v>7099</v>
      </c>
      <c r="B504" s="171">
        <v>85</v>
      </c>
      <c r="F504" s="27" t="s">
        <v>913</v>
      </c>
      <c r="G504" s="28" t="s">
        <v>914</v>
      </c>
      <c r="H504" s="3">
        <f t="shared" si="19"/>
        <v>382.375</v>
      </c>
      <c r="I504" s="3">
        <f t="shared" si="20"/>
        <v>61.18</v>
      </c>
    </row>
    <row r="505" spans="1:9">
      <c r="A505" s="172" t="s">
        <v>7099</v>
      </c>
      <c r="B505" s="171">
        <v>85</v>
      </c>
      <c r="F505" s="25" t="s">
        <v>873</v>
      </c>
      <c r="G505" s="26" t="s">
        <v>874</v>
      </c>
      <c r="H505" s="3">
        <f t="shared" si="19"/>
        <v>180844.5625</v>
      </c>
      <c r="I505" s="3">
        <f t="shared" si="20"/>
        <v>28935.13</v>
      </c>
    </row>
    <row r="506" spans="1:9">
      <c r="A506" s="172" t="s">
        <v>7099</v>
      </c>
      <c r="B506" s="171">
        <v>85</v>
      </c>
      <c r="F506" s="8" t="s">
        <v>909</v>
      </c>
      <c r="G506" s="9" t="s">
        <v>910</v>
      </c>
      <c r="H506" s="3">
        <f t="shared" si="19"/>
        <v>333.4375</v>
      </c>
      <c r="I506" s="3">
        <f t="shared" si="20"/>
        <v>53.35</v>
      </c>
    </row>
    <row r="507" spans="1:9">
      <c r="A507" s="172" t="s">
        <v>7099</v>
      </c>
      <c r="B507" s="171">
        <v>85</v>
      </c>
      <c r="F507" s="8" t="s">
        <v>740</v>
      </c>
      <c r="G507" s="9" t="s">
        <v>741</v>
      </c>
      <c r="H507" s="3">
        <f t="shared" si="19"/>
        <v>88</v>
      </c>
      <c r="I507" s="3">
        <f t="shared" si="20"/>
        <v>14.08</v>
      </c>
    </row>
    <row r="508" spans="1:9">
      <c r="A508" s="172" t="s">
        <v>7099</v>
      </c>
      <c r="B508" s="171">
        <v>85</v>
      </c>
      <c r="F508" s="8" t="s">
        <v>884</v>
      </c>
      <c r="G508" s="9" t="s">
        <v>885</v>
      </c>
      <c r="H508" s="3">
        <f t="shared" si="19"/>
        <v>1034.4999999999998</v>
      </c>
      <c r="I508" s="3">
        <f t="shared" si="20"/>
        <v>165.51999999999998</v>
      </c>
    </row>
    <row r="509" spans="1:9">
      <c r="A509" s="172" t="s">
        <v>7099</v>
      </c>
      <c r="B509" s="171">
        <v>85</v>
      </c>
      <c r="F509" s="8" t="s">
        <v>933</v>
      </c>
      <c r="G509" s="9" t="s">
        <v>934</v>
      </c>
      <c r="H509" s="3">
        <f t="shared" si="19"/>
        <v>130</v>
      </c>
      <c r="I509" s="3">
        <f t="shared" si="20"/>
        <v>20.8</v>
      </c>
    </row>
    <row r="510" spans="1:9">
      <c r="A510" s="172" t="s">
        <v>7099</v>
      </c>
      <c r="B510" s="171">
        <v>85</v>
      </c>
      <c r="F510" s="8" t="s">
        <v>911</v>
      </c>
      <c r="G510" s="9" t="s">
        <v>912</v>
      </c>
      <c r="H510" s="3">
        <f t="shared" si="19"/>
        <v>666.9375</v>
      </c>
      <c r="I510" s="3">
        <f t="shared" si="20"/>
        <v>106.71</v>
      </c>
    </row>
    <row r="511" spans="1:9">
      <c r="A511" s="172" t="s">
        <v>7099</v>
      </c>
      <c r="B511" s="171">
        <v>85</v>
      </c>
      <c r="F511" s="8" t="s">
        <v>876</v>
      </c>
      <c r="G511" s="9" t="s">
        <v>306</v>
      </c>
      <c r="H511" s="3">
        <f t="shared" si="19"/>
        <v>32839.1875</v>
      </c>
      <c r="I511" s="3">
        <f t="shared" si="20"/>
        <v>5254.27</v>
      </c>
    </row>
    <row r="512" spans="1:9">
      <c r="A512" s="172" t="s">
        <v>7099</v>
      </c>
      <c r="B512" s="171">
        <v>85</v>
      </c>
      <c r="F512" s="8" t="s">
        <v>896</v>
      </c>
      <c r="G512" s="9" t="s">
        <v>897</v>
      </c>
      <c r="H512" s="3">
        <f t="shared" si="19"/>
        <v>460.37499999999994</v>
      </c>
      <c r="I512" s="3">
        <f t="shared" si="20"/>
        <v>73.66</v>
      </c>
    </row>
    <row r="513" spans="1:10">
      <c r="A513" s="172" t="s">
        <v>7099</v>
      </c>
      <c r="B513" s="171">
        <v>85</v>
      </c>
      <c r="F513" s="27" t="s">
        <v>903</v>
      </c>
      <c r="G513" s="28" t="s">
        <v>904</v>
      </c>
      <c r="H513" s="3">
        <f t="shared" si="19"/>
        <v>250.12500000000003</v>
      </c>
      <c r="I513" s="3">
        <f t="shared" si="20"/>
        <v>40.020000000000003</v>
      </c>
    </row>
    <row r="514" spans="1:10">
      <c r="A514" s="172" t="s">
        <v>7099</v>
      </c>
      <c r="B514" s="171">
        <v>85</v>
      </c>
      <c r="F514" s="8" t="s">
        <v>901</v>
      </c>
      <c r="G514" s="9" t="s">
        <v>902</v>
      </c>
      <c r="H514" s="3">
        <f t="shared" si="19"/>
        <v>340.5</v>
      </c>
      <c r="I514" s="3">
        <f t="shared" si="20"/>
        <v>54.48</v>
      </c>
    </row>
    <row r="515" spans="1:10">
      <c r="A515" s="172" t="s">
        <v>7099</v>
      </c>
      <c r="B515" s="171">
        <v>85</v>
      </c>
      <c r="F515" s="27" t="s">
        <v>898</v>
      </c>
      <c r="G515" s="28" t="s">
        <v>899</v>
      </c>
      <c r="H515" s="3">
        <f t="shared" si="19"/>
        <v>286.875</v>
      </c>
      <c r="I515" s="3">
        <f t="shared" si="20"/>
        <v>45.9</v>
      </c>
    </row>
    <row r="516" spans="1:10">
      <c r="A516" s="172" t="s">
        <v>7099</v>
      </c>
      <c r="B516" s="171">
        <v>85</v>
      </c>
      <c r="F516" s="8" t="s">
        <v>907</v>
      </c>
      <c r="G516" s="9" t="s">
        <v>908</v>
      </c>
      <c r="H516" s="3">
        <f t="shared" si="19"/>
        <v>525.1875</v>
      </c>
      <c r="I516" s="3">
        <f t="shared" si="20"/>
        <v>84.03</v>
      </c>
    </row>
    <row r="517" spans="1:10">
      <c r="A517" s="172" t="s">
        <v>7099</v>
      </c>
      <c r="B517" s="171">
        <v>85</v>
      </c>
      <c r="F517" s="8" t="s">
        <v>880</v>
      </c>
      <c r="G517" s="9" t="s">
        <v>881</v>
      </c>
      <c r="H517" s="3">
        <f t="shared" si="19"/>
        <v>52.1875</v>
      </c>
      <c r="I517" s="3">
        <f t="shared" si="20"/>
        <v>8.35</v>
      </c>
    </row>
    <row r="518" spans="1:10">
      <c r="A518" s="172" t="s">
        <v>7099</v>
      </c>
      <c r="B518" s="171">
        <v>85</v>
      </c>
      <c r="F518" s="23" t="s">
        <v>829</v>
      </c>
      <c r="G518" s="24" t="s">
        <v>6</v>
      </c>
      <c r="H518" s="3">
        <f t="shared" si="19"/>
        <v>1155466.5625</v>
      </c>
      <c r="I518" s="3">
        <f t="shared" si="20"/>
        <v>184874.65</v>
      </c>
    </row>
    <row r="519" spans="1:10">
      <c r="A519" s="172" t="s">
        <v>7099</v>
      </c>
      <c r="B519" s="171">
        <v>85</v>
      </c>
      <c r="F519" s="30" t="s">
        <v>886</v>
      </c>
      <c r="G519" s="31" t="s">
        <v>887</v>
      </c>
      <c r="H519" s="3">
        <f t="shared" si="19"/>
        <v>9072584.9375</v>
      </c>
      <c r="I519" s="3">
        <f t="shared" si="20"/>
        <v>1451613.59</v>
      </c>
    </row>
    <row r="520" spans="1:10">
      <c r="A520" s="172" t="s">
        <v>7099</v>
      </c>
      <c r="B520" s="171">
        <v>85</v>
      </c>
      <c r="F520" s="29" t="s">
        <v>879</v>
      </c>
      <c r="G520" t="s">
        <v>52</v>
      </c>
      <c r="H520" s="3">
        <f t="shared" si="19"/>
        <v>1897.4374999999998</v>
      </c>
      <c r="I520" s="3">
        <f t="shared" si="20"/>
        <v>303.58999999999997</v>
      </c>
    </row>
    <row r="521" spans="1:10">
      <c r="A521" s="172" t="s">
        <v>7099</v>
      </c>
      <c r="B521" s="171">
        <v>85</v>
      </c>
      <c r="F521" s="29" t="s">
        <v>882</v>
      </c>
      <c r="G521" t="s">
        <v>883</v>
      </c>
      <c r="H521" s="3">
        <f t="shared" si="19"/>
        <v>123.1875</v>
      </c>
      <c r="I521" s="3">
        <f t="shared" si="20"/>
        <v>19.71</v>
      </c>
    </row>
    <row r="522" spans="1:10">
      <c r="A522" s="172" t="s">
        <v>7099</v>
      </c>
      <c r="B522" s="171">
        <v>85</v>
      </c>
      <c r="F522" s="74" t="s">
        <v>892</v>
      </c>
      <c r="G522" t="s">
        <v>893</v>
      </c>
      <c r="H522" s="3">
        <f t="shared" si="19"/>
        <v>219350.12499999997</v>
      </c>
      <c r="I522" s="3">
        <f t="shared" si="20"/>
        <v>35096.019999999997</v>
      </c>
    </row>
    <row r="523" spans="1:10">
      <c r="A523" s="172" t="s">
        <v>7099</v>
      </c>
      <c r="B523" s="171">
        <v>85</v>
      </c>
      <c r="F523" s="32" t="s">
        <v>890</v>
      </c>
      <c r="G523" s="33" t="s">
        <v>891</v>
      </c>
      <c r="H523" s="3">
        <f t="shared" si="19"/>
        <v>219350.12499999997</v>
      </c>
      <c r="I523" s="3">
        <f t="shared" si="20"/>
        <v>35096.019999999997</v>
      </c>
    </row>
    <row r="524" spans="1:10">
      <c r="A524" s="172" t="s">
        <v>7099</v>
      </c>
      <c r="B524" s="171">
        <v>85</v>
      </c>
      <c r="F524" s="27" t="s">
        <v>894</v>
      </c>
      <c r="G524" s="28" t="s">
        <v>895</v>
      </c>
      <c r="H524" s="3">
        <f t="shared" si="19"/>
        <v>333.4375</v>
      </c>
      <c r="I524" s="3">
        <f t="shared" si="20"/>
        <v>53.35</v>
      </c>
    </row>
    <row r="525" spans="1:10">
      <c r="A525" s="172" t="s">
        <v>7099</v>
      </c>
      <c r="B525" s="171">
        <v>85</v>
      </c>
      <c r="F525" s="29" t="s">
        <v>889</v>
      </c>
      <c r="G525" t="s">
        <v>118</v>
      </c>
      <c r="H525" s="3">
        <f t="shared" si="19"/>
        <v>1800</v>
      </c>
      <c r="I525" s="3">
        <f t="shared" si="20"/>
        <v>288</v>
      </c>
    </row>
    <row r="526" spans="1:10">
      <c r="A526" s="172" t="s">
        <v>7099</v>
      </c>
      <c r="B526" s="171">
        <v>85</v>
      </c>
      <c r="F526" s="29" t="s">
        <v>888</v>
      </c>
      <c r="G526" t="s">
        <v>370</v>
      </c>
      <c r="H526" s="3">
        <f t="shared" si="19"/>
        <v>12500</v>
      </c>
      <c r="I526" s="3">
        <f t="shared" si="20"/>
        <v>2000</v>
      </c>
    </row>
    <row r="527" spans="1:10">
      <c r="H527" s="14">
        <f>+SUM(H365:H526)</f>
        <v>19261624.625</v>
      </c>
      <c r="I527" s="14">
        <f>+SUM(I365:I526)</f>
        <v>3081859.94</v>
      </c>
      <c r="J527" s="14">
        <f>+SUM(J365:J526)</f>
        <v>23455.22</v>
      </c>
    </row>
    <row r="528" spans="1:10">
      <c r="H528" s="3">
        <f>+H355</f>
        <v>19261624.625</v>
      </c>
      <c r="I528" s="14">
        <f>+I356</f>
        <v>3081859.94</v>
      </c>
      <c r="J528">
        <f>22857.14+598.08</f>
        <v>23455.22</v>
      </c>
    </row>
    <row r="529" spans="8:10">
      <c r="H529" s="14">
        <f>+H527-H528</f>
        <v>0</v>
      </c>
      <c r="I529" s="14">
        <f>+I527-I528</f>
        <v>0</v>
      </c>
      <c r="J529" s="14">
        <f>+J527-J528</f>
        <v>0</v>
      </c>
    </row>
  </sheetData>
  <autoFilter ref="A9:I357"/>
  <sortState ref="A10:L352">
    <sortCondition ref="A10:A352"/>
  </sortState>
  <conditionalFormatting sqref="F365:G432 F434:G525 G433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N575"/>
  <sheetViews>
    <sheetView zoomScale="80" zoomScaleNormal="80" workbookViewId="0">
      <pane ySplit="7" topLeftCell="A407" activePane="bottomLeft" state="frozen"/>
      <selection activeCell="B1" sqref="B1"/>
      <selection pane="bottomLeft" activeCell="A407" sqref="A407:A571"/>
    </sheetView>
  </sheetViews>
  <sheetFormatPr baseColWidth="10" defaultRowHeight="15"/>
  <cols>
    <col min="1" max="1" width="9.5703125" customWidth="1"/>
    <col min="2" max="2" width="10.7109375" bestFit="1" customWidth="1"/>
    <col min="3" max="3" width="13.28515625" bestFit="1" customWidth="1"/>
    <col min="4" max="4" width="2" bestFit="1" customWidth="1"/>
    <col min="5" max="5" width="40.140625" bestFit="1" customWidth="1"/>
    <col min="6" max="6" width="16.7109375" bestFit="1" customWidth="1"/>
    <col min="7" max="7" width="54.5703125" bestFit="1" customWidth="1"/>
    <col min="8" max="8" width="22.140625" style="3" customWidth="1"/>
    <col min="9" max="9" width="13.140625" style="3" bestFit="1" customWidth="1"/>
  </cols>
  <sheetData>
    <row r="1" spans="1:9">
      <c r="A1" t="s">
        <v>729</v>
      </c>
    </row>
    <row r="2" spans="1:9">
      <c r="A2" t="s">
        <v>5718</v>
      </c>
      <c r="B2">
        <v>2013</v>
      </c>
    </row>
    <row r="3" spans="1:9">
      <c r="A3" t="s">
        <v>731</v>
      </c>
    </row>
    <row r="7" spans="1:9">
      <c r="A7" s="6" t="s">
        <v>721</v>
      </c>
      <c r="B7" s="6" t="s">
        <v>722</v>
      </c>
      <c r="C7" s="6" t="s">
        <v>1568</v>
      </c>
      <c r="D7" s="6" t="s">
        <v>728</v>
      </c>
      <c r="E7" s="6" t="s">
        <v>723</v>
      </c>
      <c r="F7" s="5" t="s">
        <v>724</v>
      </c>
      <c r="G7" s="4" t="s">
        <v>725</v>
      </c>
      <c r="H7" s="7" t="s">
        <v>732</v>
      </c>
      <c r="I7" s="7" t="s">
        <v>726</v>
      </c>
    </row>
    <row r="8" spans="1:9">
      <c r="A8" t="s">
        <v>5668</v>
      </c>
      <c r="B8" s="1">
        <v>41578</v>
      </c>
      <c r="C8" t="s">
        <v>5669</v>
      </c>
      <c r="D8">
        <v>1</v>
      </c>
      <c r="E8" t="s">
        <v>124</v>
      </c>
      <c r="F8" s="9" t="s">
        <v>733</v>
      </c>
      <c r="G8" s="9" t="s">
        <v>124</v>
      </c>
      <c r="H8" s="3">
        <f t="shared" ref="H8:H39" si="0">+I8/0.16</f>
        <v>6614.6874999999991</v>
      </c>
      <c r="I8" s="3">
        <v>1058.3499999999999</v>
      </c>
    </row>
    <row r="9" spans="1:9">
      <c r="A9" t="s">
        <v>957</v>
      </c>
      <c r="B9" s="1">
        <v>41575</v>
      </c>
      <c r="C9" t="s">
        <v>5451</v>
      </c>
      <c r="D9">
        <v>1</v>
      </c>
      <c r="E9" t="s">
        <v>5452</v>
      </c>
      <c r="F9" s="9" t="s">
        <v>734</v>
      </c>
      <c r="G9" s="9" t="s">
        <v>735</v>
      </c>
      <c r="H9" s="3">
        <f t="shared" si="0"/>
        <v>191130.625</v>
      </c>
      <c r="I9" s="3">
        <v>30580.9</v>
      </c>
    </row>
    <row r="10" spans="1:9">
      <c r="A10" t="s">
        <v>1267</v>
      </c>
      <c r="B10" s="1">
        <v>41568</v>
      </c>
      <c r="C10" t="s">
        <v>5396</v>
      </c>
      <c r="D10">
        <v>1</v>
      </c>
      <c r="E10" t="s">
        <v>5397</v>
      </c>
      <c r="F10" s="9" t="s">
        <v>734</v>
      </c>
      <c r="G10" s="9" t="s">
        <v>735</v>
      </c>
      <c r="H10" s="3">
        <f t="shared" si="0"/>
        <v>309447.5</v>
      </c>
      <c r="I10" s="3">
        <v>49511.6</v>
      </c>
    </row>
    <row r="11" spans="1:9">
      <c r="A11" t="s">
        <v>5310</v>
      </c>
      <c r="B11" s="1">
        <v>41555</v>
      </c>
      <c r="C11" t="s">
        <v>5311</v>
      </c>
      <c r="D11">
        <v>1</v>
      </c>
      <c r="E11" t="s">
        <v>5312</v>
      </c>
      <c r="F11" s="9" t="s">
        <v>734</v>
      </c>
      <c r="G11" s="9" t="s">
        <v>735</v>
      </c>
      <c r="H11" s="3">
        <f t="shared" si="0"/>
        <v>202461.875</v>
      </c>
      <c r="I11" s="3">
        <v>32393.9</v>
      </c>
    </row>
    <row r="12" spans="1:9">
      <c r="A12" t="s">
        <v>992</v>
      </c>
      <c r="B12" s="1">
        <v>41550</v>
      </c>
      <c r="C12" t="s">
        <v>5276</v>
      </c>
      <c r="D12">
        <v>1</v>
      </c>
      <c r="E12" t="s">
        <v>5277</v>
      </c>
      <c r="F12" s="8" t="s">
        <v>2267</v>
      </c>
      <c r="G12" s="9" t="s">
        <v>1757</v>
      </c>
      <c r="H12" s="3">
        <f t="shared" si="0"/>
        <v>212747.3125</v>
      </c>
      <c r="I12" s="3">
        <v>34039.57</v>
      </c>
    </row>
    <row r="13" spans="1:9">
      <c r="A13" t="s">
        <v>2477</v>
      </c>
      <c r="B13" s="1">
        <v>41575</v>
      </c>
      <c r="C13">
        <v>9133</v>
      </c>
      <c r="D13">
        <v>1</v>
      </c>
      <c r="E13" t="s">
        <v>517</v>
      </c>
      <c r="F13" s="9" t="s">
        <v>738</v>
      </c>
      <c r="G13" s="9" t="s">
        <v>517</v>
      </c>
      <c r="H13" s="3">
        <f t="shared" si="0"/>
        <v>135.6875</v>
      </c>
      <c r="I13" s="3">
        <v>21.71</v>
      </c>
    </row>
    <row r="14" spans="1:9">
      <c r="A14" t="s">
        <v>216</v>
      </c>
      <c r="B14" s="1">
        <v>41565</v>
      </c>
      <c r="C14" t="s">
        <v>5611</v>
      </c>
      <c r="D14">
        <v>1</v>
      </c>
      <c r="E14" t="s">
        <v>5612</v>
      </c>
      <c r="F14" s="9" t="s">
        <v>5719</v>
      </c>
      <c r="G14" s="9" t="s">
        <v>5612</v>
      </c>
      <c r="H14" s="3">
        <f t="shared" si="0"/>
        <v>44500</v>
      </c>
      <c r="I14" s="3">
        <v>7120</v>
      </c>
    </row>
    <row r="15" spans="1:9">
      <c r="A15" t="s">
        <v>1450</v>
      </c>
      <c r="B15" s="1">
        <v>41576</v>
      </c>
      <c r="C15">
        <v>9205</v>
      </c>
      <c r="D15">
        <v>1</v>
      </c>
      <c r="E15" t="s">
        <v>5484</v>
      </c>
      <c r="F15" s="9" t="s">
        <v>1587</v>
      </c>
      <c r="G15" s="9" t="s">
        <v>5484</v>
      </c>
      <c r="H15" s="3">
        <f t="shared" si="0"/>
        <v>430</v>
      </c>
      <c r="I15" s="3">
        <v>68.8</v>
      </c>
    </row>
    <row r="16" spans="1:9">
      <c r="A16" t="s">
        <v>5540</v>
      </c>
      <c r="B16" s="1">
        <v>41578</v>
      </c>
      <c r="C16" t="s">
        <v>5541</v>
      </c>
      <c r="D16">
        <v>1</v>
      </c>
      <c r="E16" t="s">
        <v>5542</v>
      </c>
      <c r="F16" s="12" t="s">
        <v>5720</v>
      </c>
      <c r="G16" s="9" t="s">
        <v>5542</v>
      </c>
      <c r="H16" s="3">
        <f t="shared" si="0"/>
        <v>224.125</v>
      </c>
      <c r="I16" s="3">
        <v>35.86</v>
      </c>
    </row>
    <row r="17" spans="1:9">
      <c r="A17" t="s">
        <v>2151</v>
      </c>
      <c r="B17" s="1">
        <v>41557</v>
      </c>
      <c r="C17" t="s">
        <v>5570</v>
      </c>
      <c r="D17">
        <v>2</v>
      </c>
      <c r="E17" t="s">
        <v>5571</v>
      </c>
      <c r="F17" s="9" t="s">
        <v>5721</v>
      </c>
      <c r="G17" s="9" t="s">
        <v>5571</v>
      </c>
      <c r="H17" s="3">
        <f t="shared" si="0"/>
        <v>2324</v>
      </c>
      <c r="I17" s="3">
        <v>371.84</v>
      </c>
    </row>
    <row r="18" spans="1:9">
      <c r="A18" t="s">
        <v>213</v>
      </c>
      <c r="B18" s="1">
        <v>41565</v>
      </c>
      <c r="C18" t="s">
        <v>5609</v>
      </c>
      <c r="D18">
        <v>1</v>
      </c>
      <c r="E18" t="s">
        <v>5610</v>
      </c>
      <c r="F18" s="9" t="s">
        <v>5722</v>
      </c>
      <c r="G18" s="9" t="s">
        <v>5610</v>
      </c>
      <c r="H18" s="3">
        <f t="shared" si="0"/>
        <v>8500</v>
      </c>
      <c r="I18" s="3">
        <v>1360</v>
      </c>
    </row>
    <row r="19" spans="1:9">
      <c r="A19" t="s">
        <v>239</v>
      </c>
      <c r="B19" s="1">
        <v>41564</v>
      </c>
      <c r="C19" t="s">
        <v>5361</v>
      </c>
      <c r="D19">
        <v>1</v>
      </c>
      <c r="E19" t="s">
        <v>469</v>
      </c>
      <c r="F19" s="9" t="s">
        <v>739</v>
      </c>
      <c r="G19" s="9" t="s">
        <v>469</v>
      </c>
      <c r="H19" s="3">
        <f t="shared" si="0"/>
        <v>215.49999999999997</v>
      </c>
      <c r="I19" s="3">
        <v>34.479999999999997</v>
      </c>
    </row>
    <row r="20" spans="1:9">
      <c r="A20" t="s">
        <v>362</v>
      </c>
      <c r="B20" s="1">
        <v>41575</v>
      </c>
      <c r="C20" t="s">
        <v>5430</v>
      </c>
      <c r="D20">
        <v>1</v>
      </c>
      <c r="E20" t="s">
        <v>469</v>
      </c>
      <c r="F20" s="9" t="s">
        <v>739</v>
      </c>
      <c r="G20" s="9" t="s">
        <v>469</v>
      </c>
      <c r="H20" s="3">
        <f t="shared" si="0"/>
        <v>215.49999999999997</v>
      </c>
      <c r="I20" s="3">
        <v>34.479999999999997</v>
      </c>
    </row>
    <row r="21" spans="1:9">
      <c r="A21" t="s">
        <v>1909</v>
      </c>
      <c r="B21" s="1">
        <v>41575</v>
      </c>
      <c r="C21" t="s">
        <v>5431</v>
      </c>
      <c r="D21">
        <v>1</v>
      </c>
      <c r="E21" t="s">
        <v>469</v>
      </c>
      <c r="F21" s="9" t="s">
        <v>739</v>
      </c>
      <c r="G21" s="9" t="s">
        <v>469</v>
      </c>
      <c r="H21" s="3">
        <f t="shared" si="0"/>
        <v>215.49999999999997</v>
      </c>
      <c r="I21" s="3">
        <v>34.479999999999997</v>
      </c>
    </row>
    <row r="22" spans="1:9">
      <c r="A22" t="s">
        <v>5432</v>
      </c>
      <c r="B22" s="1">
        <v>41575</v>
      </c>
      <c r="C22" t="s">
        <v>5433</v>
      </c>
      <c r="D22">
        <v>1</v>
      </c>
      <c r="E22" t="s">
        <v>469</v>
      </c>
      <c r="F22" s="9" t="s">
        <v>739</v>
      </c>
      <c r="G22" s="9" t="s">
        <v>469</v>
      </c>
      <c r="H22" s="3">
        <f t="shared" si="0"/>
        <v>215.49999999999997</v>
      </c>
      <c r="I22" s="3">
        <v>34.479999999999997</v>
      </c>
    </row>
    <row r="23" spans="1:9">
      <c r="A23" t="s">
        <v>5461</v>
      </c>
      <c r="B23" s="1">
        <v>41575</v>
      </c>
      <c r="C23">
        <v>9178</v>
      </c>
      <c r="D23">
        <v>1</v>
      </c>
      <c r="E23" t="s">
        <v>602</v>
      </c>
      <c r="F23" s="12" t="s">
        <v>742</v>
      </c>
      <c r="G23" s="9" t="s">
        <v>602</v>
      </c>
      <c r="H23" s="3">
        <f t="shared" si="0"/>
        <v>62.0625</v>
      </c>
      <c r="I23" s="3">
        <v>9.93</v>
      </c>
    </row>
    <row r="24" spans="1:9">
      <c r="A24" t="s">
        <v>3510</v>
      </c>
      <c r="B24" s="1">
        <v>41575</v>
      </c>
      <c r="C24">
        <v>9173</v>
      </c>
      <c r="D24">
        <v>1</v>
      </c>
      <c r="E24" t="s">
        <v>2080</v>
      </c>
      <c r="F24" s="12" t="s">
        <v>2269</v>
      </c>
      <c r="G24" s="9" t="s">
        <v>2080</v>
      </c>
      <c r="H24" s="3">
        <f t="shared" si="0"/>
        <v>385</v>
      </c>
      <c r="I24" s="3">
        <v>61.6</v>
      </c>
    </row>
    <row r="25" spans="1:9">
      <c r="A25" t="s">
        <v>4569</v>
      </c>
      <c r="B25" s="1">
        <v>41578</v>
      </c>
      <c r="C25" t="s">
        <v>5518</v>
      </c>
      <c r="D25">
        <v>1</v>
      </c>
      <c r="E25" t="s">
        <v>5519</v>
      </c>
      <c r="F25" s="117" t="s">
        <v>1572</v>
      </c>
      <c r="G25" s="117" t="s">
        <v>1573</v>
      </c>
      <c r="H25" s="3">
        <f t="shared" si="0"/>
        <v>237671.25</v>
      </c>
      <c r="I25" s="3">
        <v>38027.4</v>
      </c>
    </row>
    <row r="26" spans="1:9">
      <c r="A26" t="s">
        <v>5307</v>
      </c>
      <c r="B26" s="1">
        <v>41555</v>
      </c>
      <c r="C26" t="s">
        <v>5308</v>
      </c>
      <c r="D26">
        <v>1</v>
      </c>
      <c r="E26" t="s">
        <v>5309</v>
      </c>
      <c r="F26" s="9" t="s">
        <v>1574</v>
      </c>
      <c r="G26" s="9" t="s">
        <v>991</v>
      </c>
      <c r="H26" s="3">
        <f t="shared" si="0"/>
        <v>176668.5625</v>
      </c>
      <c r="I26" s="3">
        <v>28266.97</v>
      </c>
    </row>
    <row r="27" spans="1:9">
      <c r="A27" t="s">
        <v>3945</v>
      </c>
      <c r="B27" s="1">
        <v>41570</v>
      </c>
      <c r="C27" t="s">
        <v>5406</v>
      </c>
      <c r="D27">
        <v>1</v>
      </c>
      <c r="E27" t="s">
        <v>5407</v>
      </c>
      <c r="F27" s="9" t="s">
        <v>4703</v>
      </c>
      <c r="G27" s="9" t="s">
        <v>5407</v>
      </c>
      <c r="H27" s="3">
        <f t="shared" si="0"/>
        <v>212747.3125</v>
      </c>
      <c r="I27" s="3">
        <v>34039.57</v>
      </c>
    </row>
    <row r="28" spans="1:9">
      <c r="A28" t="s">
        <v>5506</v>
      </c>
      <c r="B28" s="1">
        <v>41578</v>
      </c>
      <c r="C28">
        <v>9229</v>
      </c>
      <c r="D28">
        <v>1</v>
      </c>
      <c r="E28" t="s">
        <v>5507</v>
      </c>
      <c r="F28" s="9" t="s">
        <v>5723</v>
      </c>
      <c r="G28" s="9" t="s">
        <v>5507</v>
      </c>
      <c r="H28" s="3">
        <f t="shared" si="0"/>
        <v>94.375</v>
      </c>
      <c r="I28" s="3">
        <v>15.1</v>
      </c>
    </row>
    <row r="29" spans="1:9">
      <c r="A29" t="s">
        <v>5488</v>
      </c>
      <c r="B29" s="1">
        <v>41576</v>
      </c>
      <c r="C29">
        <v>9209</v>
      </c>
      <c r="D29">
        <v>1</v>
      </c>
      <c r="E29" t="s">
        <v>5489</v>
      </c>
      <c r="F29" s="9" t="s">
        <v>748</v>
      </c>
      <c r="G29" s="9" t="s">
        <v>481</v>
      </c>
      <c r="H29" s="3">
        <f t="shared" si="0"/>
        <v>129.1875</v>
      </c>
      <c r="I29" s="3">
        <v>20.67</v>
      </c>
    </row>
    <row r="30" spans="1:9">
      <c r="A30" t="s">
        <v>5355</v>
      </c>
      <c r="B30" s="1">
        <v>41564</v>
      </c>
      <c r="C30" t="s">
        <v>5356</v>
      </c>
      <c r="D30">
        <v>1</v>
      </c>
      <c r="E30" t="s">
        <v>481</v>
      </c>
      <c r="F30" s="9" t="s">
        <v>748</v>
      </c>
      <c r="G30" s="9" t="s">
        <v>481</v>
      </c>
      <c r="H30" s="3">
        <f t="shared" si="0"/>
        <v>64.625</v>
      </c>
      <c r="I30" s="3">
        <v>10.34</v>
      </c>
    </row>
    <row r="31" spans="1:9">
      <c r="A31" t="s">
        <v>4900</v>
      </c>
      <c r="B31" s="1">
        <v>41575</v>
      </c>
      <c r="C31">
        <v>9140</v>
      </c>
      <c r="D31">
        <v>1</v>
      </c>
      <c r="E31" t="s">
        <v>481</v>
      </c>
      <c r="F31" s="12" t="s">
        <v>748</v>
      </c>
      <c r="G31" s="9" t="s">
        <v>481</v>
      </c>
      <c r="H31" s="3">
        <f t="shared" si="0"/>
        <v>64.625</v>
      </c>
      <c r="I31" s="3">
        <v>10.34</v>
      </c>
    </row>
    <row r="32" spans="1:9">
      <c r="A32" t="s">
        <v>1228</v>
      </c>
      <c r="B32" s="1">
        <v>41575</v>
      </c>
      <c r="C32" t="s">
        <v>5453</v>
      </c>
      <c r="D32">
        <v>1</v>
      </c>
      <c r="E32" t="s">
        <v>481</v>
      </c>
      <c r="F32" s="9" t="s">
        <v>748</v>
      </c>
      <c r="G32" s="9" t="s">
        <v>5489</v>
      </c>
      <c r="H32" s="3">
        <f t="shared" si="0"/>
        <v>86</v>
      </c>
      <c r="I32" s="3">
        <v>13.76</v>
      </c>
    </row>
    <row r="33" spans="1:14">
      <c r="A33" t="s">
        <v>420</v>
      </c>
      <c r="B33" s="1">
        <v>41576</v>
      </c>
      <c r="C33">
        <v>9212</v>
      </c>
      <c r="D33">
        <v>1</v>
      </c>
      <c r="E33" t="s">
        <v>481</v>
      </c>
      <c r="F33" s="9" t="s">
        <v>748</v>
      </c>
      <c r="G33" s="9" t="s">
        <v>481</v>
      </c>
      <c r="H33" s="3">
        <f t="shared" si="0"/>
        <v>172.37499999999997</v>
      </c>
      <c r="I33" s="3">
        <v>27.58</v>
      </c>
    </row>
    <row r="34" spans="1:14">
      <c r="A34" t="s">
        <v>4982</v>
      </c>
      <c r="B34" s="1">
        <v>41578</v>
      </c>
      <c r="C34">
        <v>9231</v>
      </c>
      <c r="D34">
        <v>1</v>
      </c>
      <c r="E34" t="s">
        <v>481</v>
      </c>
      <c r="F34" s="9" t="s">
        <v>748</v>
      </c>
      <c r="G34" s="9" t="s">
        <v>481</v>
      </c>
      <c r="H34" s="3">
        <f t="shared" si="0"/>
        <v>137.875</v>
      </c>
      <c r="I34" s="3">
        <v>22.06</v>
      </c>
    </row>
    <row r="35" spans="1:14">
      <c r="A35" s="33" t="s">
        <v>1855</v>
      </c>
      <c r="B35" s="76">
        <v>41568</v>
      </c>
      <c r="C35" s="33" t="s">
        <v>5394</v>
      </c>
      <c r="D35" s="33">
        <v>1</v>
      </c>
      <c r="E35" s="33" t="s">
        <v>5395</v>
      </c>
      <c r="F35" s="9" t="s">
        <v>5724</v>
      </c>
      <c r="G35" s="9" t="s">
        <v>5395</v>
      </c>
      <c r="H35" s="46">
        <f t="shared" si="0"/>
        <v>210084.93749999997</v>
      </c>
      <c r="I35" s="46">
        <v>33613.589999999997</v>
      </c>
      <c r="J35" s="33"/>
      <c r="K35" s="33"/>
      <c r="L35" s="33"/>
      <c r="M35" s="33"/>
      <c r="N35" s="33"/>
    </row>
    <row r="36" spans="1:14">
      <c r="A36" t="s">
        <v>1115</v>
      </c>
      <c r="B36" s="1">
        <v>41561</v>
      </c>
      <c r="C36" t="s">
        <v>5594</v>
      </c>
      <c r="D36">
        <v>1</v>
      </c>
      <c r="E36" t="s">
        <v>4289</v>
      </c>
      <c r="F36" s="9" t="s">
        <v>4338</v>
      </c>
      <c r="G36" s="9" t="s">
        <v>4289</v>
      </c>
      <c r="H36" s="3">
        <f t="shared" si="0"/>
        <v>8500</v>
      </c>
      <c r="I36" s="3">
        <v>1360</v>
      </c>
    </row>
    <row r="37" spans="1:14">
      <c r="A37" t="s">
        <v>5372</v>
      </c>
      <c r="B37" s="1">
        <v>41564</v>
      </c>
      <c r="C37" t="s">
        <v>5373</v>
      </c>
      <c r="D37">
        <v>1</v>
      </c>
      <c r="E37" t="s">
        <v>5374</v>
      </c>
      <c r="F37" t="s">
        <v>946</v>
      </c>
      <c r="G37" t="s">
        <v>947</v>
      </c>
      <c r="H37" s="3">
        <f t="shared" si="0"/>
        <v>56.0625</v>
      </c>
      <c r="I37" s="3">
        <v>8.9700000000000006</v>
      </c>
    </row>
    <row r="38" spans="1:14">
      <c r="A38" t="s">
        <v>5381</v>
      </c>
      <c r="B38" s="1">
        <v>41564</v>
      </c>
      <c r="C38" t="s">
        <v>5382</v>
      </c>
      <c r="D38">
        <v>1</v>
      </c>
      <c r="E38" t="s">
        <v>5383</v>
      </c>
      <c r="F38" t="s">
        <v>946</v>
      </c>
      <c r="G38" t="s">
        <v>947</v>
      </c>
      <c r="H38" s="3">
        <f t="shared" si="0"/>
        <v>56.0625</v>
      </c>
      <c r="I38" s="3">
        <v>8.9700000000000006</v>
      </c>
    </row>
    <row r="39" spans="1:14">
      <c r="A39" t="s">
        <v>5463</v>
      </c>
      <c r="B39" s="1">
        <v>41576</v>
      </c>
      <c r="C39">
        <v>9184</v>
      </c>
      <c r="D39">
        <v>1</v>
      </c>
      <c r="E39" t="s">
        <v>4194</v>
      </c>
      <c r="F39" s="41" t="s">
        <v>946</v>
      </c>
      <c r="G39" t="s">
        <v>947</v>
      </c>
      <c r="H39" s="3">
        <f t="shared" si="0"/>
        <v>1467.9375</v>
      </c>
      <c r="I39" s="3">
        <v>234.87</v>
      </c>
    </row>
    <row r="40" spans="1:14">
      <c r="A40" t="s">
        <v>5353</v>
      </c>
      <c r="B40" s="1">
        <v>41563</v>
      </c>
      <c r="C40" t="s">
        <v>4942</v>
      </c>
      <c r="D40">
        <v>1</v>
      </c>
      <c r="E40" t="s">
        <v>385</v>
      </c>
      <c r="F40" s="12" t="s">
        <v>755</v>
      </c>
      <c r="G40" s="9" t="s">
        <v>756</v>
      </c>
      <c r="H40" s="3">
        <f t="shared" ref="H40:H71" si="1">+I40/0.16</f>
        <v>-277621.375</v>
      </c>
      <c r="I40" s="3">
        <v>-44419.42</v>
      </c>
    </row>
    <row r="41" spans="1:14">
      <c r="A41" t="s">
        <v>2422</v>
      </c>
      <c r="B41" s="1">
        <v>41563</v>
      </c>
      <c r="C41" t="s">
        <v>5352</v>
      </c>
      <c r="D41">
        <v>1</v>
      </c>
      <c r="E41" t="s">
        <v>388</v>
      </c>
      <c r="F41" s="12" t="s">
        <v>755</v>
      </c>
      <c r="G41" s="9" t="s">
        <v>756</v>
      </c>
      <c r="H41" s="3">
        <f t="shared" si="1"/>
        <v>277621.375</v>
      </c>
      <c r="I41" s="3">
        <v>44419.42</v>
      </c>
    </row>
    <row r="42" spans="1:14">
      <c r="A42" t="s">
        <v>1313</v>
      </c>
      <c r="B42" s="1">
        <v>41571</v>
      </c>
      <c r="C42" t="s">
        <v>5411</v>
      </c>
      <c r="D42">
        <v>1</v>
      </c>
      <c r="E42" t="s">
        <v>4004</v>
      </c>
      <c r="F42" s="12" t="s">
        <v>755</v>
      </c>
      <c r="G42" s="9" t="s">
        <v>756</v>
      </c>
      <c r="H42" s="3">
        <f t="shared" si="1"/>
        <v>191130.625</v>
      </c>
      <c r="I42" s="3">
        <v>30580.9</v>
      </c>
    </row>
    <row r="43" spans="1:14">
      <c r="A43" t="s">
        <v>1936</v>
      </c>
      <c r="B43" s="1">
        <v>41576</v>
      </c>
      <c r="C43">
        <v>9186</v>
      </c>
      <c r="D43">
        <v>1</v>
      </c>
      <c r="E43" t="s">
        <v>5464</v>
      </c>
      <c r="F43" s="12" t="s">
        <v>5725</v>
      </c>
      <c r="G43" s="9" t="s">
        <v>5464</v>
      </c>
      <c r="H43" s="3">
        <f t="shared" si="1"/>
        <v>393.125</v>
      </c>
      <c r="I43" s="3">
        <v>62.9</v>
      </c>
    </row>
    <row r="44" spans="1:14">
      <c r="A44" t="s">
        <v>5398</v>
      </c>
      <c r="B44" s="1">
        <v>41569</v>
      </c>
      <c r="C44" t="s">
        <v>5399</v>
      </c>
      <c r="D44">
        <v>1</v>
      </c>
      <c r="E44" t="s">
        <v>5400</v>
      </c>
      <c r="F44" s="8" t="s">
        <v>759</v>
      </c>
      <c r="G44" s="9" t="s">
        <v>760</v>
      </c>
      <c r="H44" s="3">
        <f t="shared" si="1"/>
        <v>205379.4375</v>
      </c>
      <c r="I44" s="3">
        <v>32860.71</v>
      </c>
    </row>
    <row r="45" spans="1:14">
      <c r="A45" t="s">
        <v>714</v>
      </c>
      <c r="B45" s="1">
        <v>41578</v>
      </c>
      <c r="C45" t="s">
        <v>5660</v>
      </c>
      <c r="D45">
        <v>1</v>
      </c>
      <c r="E45" t="s">
        <v>5661</v>
      </c>
      <c r="F45" s="9" t="s">
        <v>5726</v>
      </c>
      <c r="G45" s="9" t="s">
        <v>5661</v>
      </c>
      <c r="H45" s="3">
        <f t="shared" si="1"/>
        <v>43103.4375</v>
      </c>
      <c r="I45" s="3">
        <v>6896.55</v>
      </c>
    </row>
    <row r="46" spans="1:14">
      <c r="A46" t="s">
        <v>236</v>
      </c>
      <c r="B46" s="1">
        <v>41578</v>
      </c>
      <c r="C46" t="s">
        <v>5662</v>
      </c>
      <c r="D46">
        <v>1</v>
      </c>
      <c r="E46" t="s">
        <v>5661</v>
      </c>
      <c r="F46" s="9" t="s">
        <v>5726</v>
      </c>
      <c r="G46" s="9" t="s">
        <v>5661</v>
      </c>
      <c r="H46" s="3">
        <f t="shared" si="1"/>
        <v>43103.4375</v>
      </c>
      <c r="I46" s="3">
        <v>6896.55</v>
      </c>
    </row>
    <row r="47" spans="1:14">
      <c r="A47" t="s">
        <v>5694</v>
      </c>
      <c r="B47" s="1">
        <v>41572</v>
      </c>
      <c r="C47" t="s">
        <v>5695</v>
      </c>
      <c r="D47">
        <v>1</v>
      </c>
      <c r="E47" t="s">
        <v>5661</v>
      </c>
      <c r="F47" s="9" t="s">
        <v>5726</v>
      </c>
      <c r="G47" s="9" t="s">
        <v>5661</v>
      </c>
      <c r="H47" s="3">
        <f t="shared" si="1"/>
        <v>43103.4375</v>
      </c>
      <c r="I47" s="3">
        <v>6896.55</v>
      </c>
    </row>
    <row r="48" spans="1:14">
      <c r="A48" t="s">
        <v>154</v>
      </c>
      <c r="B48" s="1">
        <v>41559</v>
      </c>
      <c r="C48" t="s">
        <v>5590</v>
      </c>
      <c r="D48">
        <v>1</v>
      </c>
      <c r="E48" t="s">
        <v>1059</v>
      </c>
      <c r="F48" s="9" t="s">
        <v>1576</v>
      </c>
      <c r="G48" s="9" t="s">
        <v>1059</v>
      </c>
      <c r="H48" s="3">
        <f t="shared" si="1"/>
        <v>827.62499999999989</v>
      </c>
      <c r="I48" s="3">
        <v>132.41999999999999</v>
      </c>
    </row>
    <row r="49" spans="1:9">
      <c r="A49" t="s">
        <v>2632</v>
      </c>
      <c r="B49" s="1">
        <v>41578</v>
      </c>
      <c r="C49">
        <v>9230</v>
      </c>
      <c r="D49">
        <v>1</v>
      </c>
      <c r="E49" t="s">
        <v>5508</v>
      </c>
      <c r="F49" s="9" t="s">
        <v>1580</v>
      </c>
      <c r="G49" s="9" t="s">
        <v>5508</v>
      </c>
      <c r="H49" s="3">
        <f t="shared" si="1"/>
        <v>40.3125</v>
      </c>
      <c r="I49" s="3">
        <v>6.45</v>
      </c>
    </row>
    <row r="50" spans="1:9">
      <c r="A50" t="s">
        <v>156</v>
      </c>
      <c r="B50" s="1">
        <v>41559</v>
      </c>
      <c r="C50" t="s">
        <v>5591</v>
      </c>
      <c r="D50">
        <v>2</v>
      </c>
      <c r="E50" t="s">
        <v>1062</v>
      </c>
      <c r="F50" s="9" t="s">
        <v>1577</v>
      </c>
      <c r="G50" s="9" t="s">
        <v>1062</v>
      </c>
      <c r="H50" s="3">
        <f t="shared" si="1"/>
        <v>7206.8749999999991</v>
      </c>
      <c r="I50" s="3">
        <v>1153.0999999999999</v>
      </c>
    </row>
    <row r="51" spans="1:9">
      <c r="A51" t="s">
        <v>2498</v>
      </c>
      <c r="B51" s="1">
        <v>41575</v>
      </c>
      <c r="C51">
        <v>9177</v>
      </c>
      <c r="D51">
        <v>1</v>
      </c>
      <c r="E51" t="s">
        <v>5460</v>
      </c>
      <c r="F51" s="12" t="s">
        <v>2847</v>
      </c>
      <c r="G51" s="9" t="s">
        <v>5460</v>
      </c>
      <c r="H51" s="3">
        <f t="shared" si="1"/>
        <v>297.875</v>
      </c>
      <c r="I51" s="3">
        <v>47.66</v>
      </c>
    </row>
    <row r="52" spans="1:9">
      <c r="A52" t="s">
        <v>1452</v>
      </c>
      <c r="B52" s="1">
        <v>41576</v>
      </c>
      <c r="C52">
        <v>9206</v>
      </c>
      <c r="D52">
        <v>1</v>
      </c>
      <c r="E52" t="s">
        <v>5485</v>
      </c>
      <c r="F52" s="9" t="s">
        <v>5727</v>
      </c>
      <c r="G52" s="9" t="s">
        <v>5485</v>
      </c>
      <c r="H52" s="3">
        <f t="shared" si="1"/>
        <v>130.875</v>
      </c>
      <c r="I52" s="3">
        <v>20.94</v>
      </c>
    </row>
    <row r="53" spans="1:9">
      <c r="A53" t="s">
        <v>5679</v>
      </c>
      <c r="B53" s="1">
        <v>41578</v>
      </c>
      <c r="C53" t="s">
        <v>5680</v>
      </c>
      <c r="D53">
        <v>1</v>
      </c>
      <c r="E53" t="s">
        <v>5681</v>
      </c>
      <c r="F53" s="12" t="s">
        <v>4715</v>
      </c>
      <c r="G53" s="9" t="s">
        <v>828</v>
      </c>
      <c r="H53" s="3">
        <f t="shared" si="1"/>
        <v>272.3125</v>
      </c>
      <c r="I53" s="3">
        <v>43.57</v>
      </c>
    </row>
    <row r="54" spans="1:9">
      <c r="A54" t="s">
        <v>5696</v>
      </c>
      <c r="B54" s="1">
        <v>41578</v>
      </c>
      <c r="C54" t="s">
        <v>5683</v>
      </c>
      <c r="D54">
        <v>1</v>
      </c>
      <c r="E54" t="s">
        <v>5697</v>
      </c>
      <c r="F54" s="12" t="s">
        <v>821</v>
      </c>
      <c r="G54" s="12" t="s">
        <v>2272</v>
      </c>
      <c r="H54" s="3">
        <f t="shared" si="1"/>
        <v>265</v>
      </c>
      <c r="I54" s="3">
        <v>42.4</v>
      </c>
    </row>
    <row r="55" spans="1:9">
      <c r="A55" t="s">
        <v>234</v>
      </c>
      <c r="B55" s="1">
        <v>41566</v>
      </c>
      <c r="C55" t="s">
        <v>5618</v>
      </c>
      <c r="D55">
        <v>1</v>
      </c>
      <c r="E55" t="s">
        <v>100</v>
      </c>
      <c r="F55" s="9" t="s">
        <v>764</v>
      </c>
      <c r="G55" s="9" t="s">
        <v>100</v>
      </c>
      <c r="H55" s="3">
        <f t="shared" si="1"/>
        <v>19337.0625</v>
      </c>
      <c r="I55" s="3">
        <v>3093.93</v>
      </c>
    </row>
    <row r="56" spans="1:9">
      <c r="A56" t="s">
        <v>5524</v>
      </c>
      <c r="B56" s="1">
        <v>41578</v>
      </c>
      <c r="C56" t="s">
        <v>5525</v>
      </c>
      <c r="D56">
        <v>1</v>
      </c>
      <c r="E56" t="s">
        <v>5526</v>
      </c>
      <c r="F56" s="13" t="s">
        <v>1578</v>
      </c>
      <c r="G56" s="75" t="s">
        <v>1579</v>
      </c>
      <c r="H56" s="3">
        <f t="shared" si="1"/>
        <v>1184.1875</v>
      </c>
      <c r="I56" s="3">
        <v>189.47</v>
      </c>
    </row>
    <row r="57" spans="1:9">
      <c r="A57" t="s">
        <v>5691</v>
      </c>
      <c r="B57" s="1">
        <v>41578</v>
      </c>
      <c r="C57" t="s">
        <v>5692</v>
      </c>
      <c r="D57">
        <v>1</v>
      </c>
      <c r="E57" t="s">
        <v>5693</v>
      </c>
      <c r="F57" s="12" t="s">
        <v>823</v>
      </c>
      <c r="G57" s="20" t="s">
        <v>824</v>
      </c>
      <c r="H57" s="3">
        <f t="shared" si="1"/>
        <v>530</v>
      </c>
      <c r="I57" s="3">
        <v>84.8</v>
      </c>
    </row>
    <row r="58" spans="1:9">
      <c r="A58" t="s">
        <v>1168</v>
      </c>
      <c r="B58" s="1">
        <v>41577</v>
      </c>
      <c r="C58" t="s">
        <v>5648</v>
      </c>
      <c r="D58">
        <v>1</v>
      </c>
      <c r="E58" t="s">
        <v>5649</v>
      </c>
      <c r="F58" s="12" t="s">
        <v>4715</v>
      </c>
      <c r="G58" s="9" t="s">
        <v>828</v>
      </c>
      <c r="H58" s="3">
        <f t="shared" si="1"/>
        <v>3449.375</v>
      </c>
      <c r="I58" s="3">
        <v>551.9</v>
      </c>
    </row>
    <row r="59" spans="1:9">
      <c r="A59" t="s">
        <v>5701</v>
      </c>
      <c r="B59" s="1">
        <v>41578</v>
      </c>
      <c r="C59" t="s">
        <v>5702</v>
      </c>
      <c r="D59">
        <v>1</v>
      </c>
      <c r="E59" t="s">
        <v>5703</v>
      </c>
      <c r="F59" s="36" t="s">
        <v>950</v>
      </c>
      <c r="G59" s="20" t="s">
        <v>951</v>
      </c>
      <c r="H59" s="3">
        <f t="shared" si="1"/>
        <v>8354.0625</v>
      </c>
      <c r="I59" s="3">
        <v>1336.65</v>
      </c>
    </row>
    <row r="60" spans="1:9">
      <c r="A60" t="s">
        <v>5685</v>
      </c>
      <c r="B60" s="1">
        <v>41578</v>
      </c>
      <c r="C60" t="s">
        <v>5686</v>
      </c>
      <c r="D60">
        <v>1</v>
      </c>
      <c r="E60" t="s">
        <v>5687</v>
      </c>
      <c r="F60" s="12" t="s">
        <v>830</v>
      </c>
      <c r="G60" s="20" t="s">
        <v>831</v>
      </c>
      <c r="H60" s="3">
        <f t="shared" si="1"/>
        <v>453</v>
      </c>
      <c r="I60" s="3">
        <v>72.48</v>
      </c>
    </row>
    <row r="61" spans="1:9">
      <c r="A61" t="s">
        <v>5688</v>
      </c>
      <c r="B61" s="1">
        <v>41578</v>
      </c>
      <c r="C61" t="s">
        <v>5689</v>
      </c>
      <c r="D61">
        <v>1</v>
      </c>
      <c r="E61" t="s">
        <v>5690</v>
      </c>
      <c r="F61" s="12" t="s">
        <v>915</v>
      </c>
      <c r="G61" s="20" t="s">
        <v>916</v>
      </c>
      <c r="H61" s="3">
        <f>+I61/0.16</f>
        <v>95</v>
      </c>
      <c r="I61" s="3">
        <v>15.2</v>
      </c>
    </row>
    <row r="62" spans="1:9">
      <c r="A62" t="s">
        <v>3718</v>
      </c>
      <c r="B62" s="1">
        <v>41570</v>
      </c>
      <c r="C62" t="s">
        <v>5623</v>
      </c>
      <c r="D62">
        <v>1</v>
      </c>
      <c r="E62" t="s">
        <v>5624</v>
      </c>
      <c r="F62" s="12" t="s">
        <v>4715</v>
      </c>
      <c r="G62" s="9" t="s">
        <v>828</v>
      </c>
      <c r="H62" s="3">
        <f t="shared" si="1"/>
        <v>10437.5625</v>
      </c>
      <c r="I62" s="3">
        <v>1670.01</v>
      </c>
    </row>
    <row r="63" spans="1:9">
      <c r="A63" t="s">
        <v>5682</v>
      </c>
      <c r="B63" s="1">
        <v>41578</v>
      </c>
      <c r="C63" t="s">
        <v>5683</v>
      </c>
      <c r="D63">
        <v>1</v>
      </c>
      <c r="E63" t="s">
        <v>5684</v>
      </c>
      <c r="F63" s="12" t="s">
        <v>825</v>
      </c>
      <c r="G63" s="20" t="s">
        <v>826</v>
      </c>
      <c r="H63" s="3">
        <f t="shared" si="1"/>
        <v>126</v>
      </c>
      <c r="I63" s="3">
        <v>20.16</v>
      </c>
    </row>
    <row r="64" spans="1:9">
      <c r="A64" t="s">
        <v>3508</v>
      </c>
      <c r="B64" s="1">
        <v>41575</v>
      </c>
      <c r="C64">
        <v>9172</v>
      </c>
      <c r="D64">
        <v>1</v>
      </c>
      <c r="E64" t="s">
        <v>549</v>
      </c>
      <c r="F64" s="12" t="s">
        <v>767</v>
      </c>
      <c r="G64" s="9" t="s">
        <v>549</v>
      </c>
      <c r="H64" s="3">
        <f t="shared" si="1"/>
        <v>1079.3125</v>
      </c>
      <c r="I64" s="3">
        <v>172.69</v>
      </c>
    </row>
    <row r="65" spans="1:9" ht="13.5" customHeight="1">
      <c r="A65" t="s">
        <v>333</v>
      </c>
      <c r="B65" s="1">
        <v>41571</v>
      </c>
      <c r="C65" t="s">
        <v>5633</v>
      </c>
      <c r="D65">
        <v>1</v>
      </c>
      <c r="E65" t="s">
        <v>1142</v>
      </c>
      <c r="F65" s="9" t="s">
        <v>770</v>
      </c>
      <c r="G65" s="9" t="s">
        <v>1142</v>
      </c>
      <c r="H65" s="3">
        <f t="shared" si="1"/>
        <v>10403</v>
      </c>
      <c r="I65" s="3">
        <v>1664.48</v>
      </c>
    </row>
    <row r="66" spans="1:9">
      <c r="A66" t="s">
        <v>966</v>
      </c>
      <c r="B66" s="1">
        <v>41549</v>
      </c>
      <c r="C66" t="s">
        <v>5554</v>
      </c>
      <c r="D66">
        <v>1</v>
      </c>
      <c r="E66" t="s">
        <v>29</v>
      </c>
      <c r="F66" s="8" t="s">
        <v>772</v>
      </c>
      <c r="G66" s="9" t="s">
        <v>29</v>
      </c>
      <c r="H66" s="3">
        <f t="shared" si="1"/>
        <v>99000</v>
      </c>
      <c r="I66" s="3">
        <v>15840</v>
      </c>
    </row>
    <row r="67" spans="1:9">
      <c r="A67" t="s">
        <v>974</v>
      </c>
      <c r="B67" s="1">
        <v>41549</v>
      </c>
      <c r="C67" t="s">
        <v>5555</v>
      </c>
      <c r="D67">
        <v>1</v>
      </c>
      <c r="E67" t="s">
        <v>29</v>
      </c>
      <c r="F67" s="8" t="s">
        <v>772</v>
      </c>
      <c r="G67" s="9" t="s">
        <v>29</v>
      </c>
      <c r="H67" s="3">
        <f t="shared" si="1"/>
        <v>80000</v>
      </c>
      <c r="I67" s="3">
        <v>12800</v>
      </c>
    </row>
    <row r="68" spans="1:9">
      <c r="A68" t="s">
        <v>1000</v>
      </c>
      <c r="B68" s="1">
        <v>41551</v>
      </c>
      <c r="C68" t="s">
        <v>5558</v>
      </c>
      <c r="D68">
        <v>1</v>
      </c>
      <c r="E68" t="s">
        <v>29</v>
      </c>
      <c r="F68" s="64" t="s">
        <v>772</v>
      </c>
      <c r="G68" s="9" t="s">
        <v>29</v>
      </c>
      <c r="H68" s="3">
        <f t="shared" si="1"/>
        <v>128235.375</v>
      </c>
      <c r="I68" s="3">
        <v>20517.66</v>
      </c>
    </row>
    <row r="69" spans="1:9">
      <c r="A69" t="s">
        <v>1003</v>
      </c>
      <c r="B69" s="1">
        <v>41552</v>
      </c>
      <c r="C69" t="s">
        <v>5559</v>
      </c>
      <c r="D69">
        <v>1</v>
      </c>
      <c r="E69" t="s">
        <v>29</v>
      </c>
      <c r="F69" s="64" t="s">
        <v>772</v>
      </c>
      <c r="G69" s="9" t="s">
        <v>29</v>
      </c>
      <c r="H69" s="3">
        <f t="shared" si="1"/>
        <v>4810</v>
      </c>
      <c r="I69" s="3">
        <v>769.6</v>
      </c>
    </row>
    <row r="70" spans="1:9">
      <c r="A70" t="s">
        <v>2138</v>
      </c>
      <c r="B70" s="1">
        <v>41554</v>
      </c>
      <c r="C70" t="s">
        <v>5562</v>
      </c>
      <c r="D70">
        <v>1</v>
      </c>
      <c r="E70" t="s">
        <v>29</v>
      </c>
      <c r="F70" s="64" t="s">
        <v>772</v>
      </c>
      <c r="G70" s="9" t="s">
        <v>29</v>
      </c>
      <c r="H70" s="3">
        <f t="shared" si="1"/>
        <v>1023.6874999999999</v>
      </c>
      <c r="I70" s="3">
        <v>163.79</v>
      </c>
    </row>
    <row r="71" spans="1:9">
      <c r="A71" t="s">
        <v>1071</v>
      </c>
      <c r="B71" s="1">
        <v>41558</v>
      </c>
      <c r="C71" t="s">
        <v>5582</v>
      </c>
      <c r="D71">
        <v>1</v>
      </c>
      <c r="E71" t="s">
        <v>29</v>
      </c>
      <c r="F71" s="64" t="s">
        <v>772</v>
      </c>
      <c r="G71" s="9" t="s">
        <v>29</v>
      </c>
      <c r="H71" s="3">
        <f t="shared" si="1"/>
        <v>51497.5625</v>
      </c>
      <c r="I71" s="3">
        <v>8239.61</v>
      </c>
    </row>
    <row r="72" spans="1:9">
      <c r="A72" t="s">
        <v>125</v>
      </c>
      <c r="B72" s="1">
        <v>41558</v>
      </c>
      <c r="C72" t="s">
        <v>5583</v>
      </c>
      <c r="D72">
        <v>1</v>
      </c>
      <c r="E72" t="s">
        <v>29</v>
      </c>
      <c r="F72" s="64" t="s">
        <v>772</v>
      </c>
      <c r="G72" s="9" t="s">
        <v>29</v>
      </c>
      <c r="H72" s="3">
        <f t="shared" ref="H72:H87" si="2">+I72/0.16</f>
        <v>1156</v>
      </c>
      <c r="I72" s="3">
        <v>184.96</v>
      </c>
    </row>
    <row r="73" spans="1:9">
      <c r="A73" t="s">
        <v>128</v>
      </c>
      <c r="B73" s="1">
        <v>41558</v>
      </c>
      <c r="C73" t="s">
        <v>5584</v>
      </c>
      <c r="D73">
        <v>1</v>
      </c>
      <c r="E73" t="s">
        <v>29</v>
      </c>
      <c r="F73" s="64" t="s">
        <v>772</v>
      </c>
      <c r="G73" s="9" t="s">
        <v>29</v>
      </c>
      <c r="H73" s="3">
        <f t="shared" si="2"/>
        <v>7538.3125000000009</v>
      </c>
      <c r="I73" s="3">
        <v>1206.1300000000001</v>
      </c>
    </row>
    <row r="74" spans="1:9">
      <c r="A74" t="s">
        <v>131</v>
      </c>
      <c r="B74" s="1">
        <v>41558</v>
      </c>
      <c r="C74" t="s">
        <v>5585</v>
      </c>
      <c r="D74">
        <v>1</v>
      </c>
      <c r="E74" t="s">
        <v>29</v>
      </c>
      <c r="F74" s="64" t="s">
        <v>772</v>
      </c>
      <c r="G74" s="9" t="s">
        <v>29</v>
      </c>
      <c r="H74" s="3">
        <f t="shared" si="2"/>
        <v>11820</v>
      </c>
      <c r="I74" s="3">
        <v>1891.2</v>
      </c>
    </row>
    <row r="75" spans="1:9">
      <c r="A75" t="s">
        <v>159</v>
      </c>
      <c r="B75" s="1">
        <v>41561</v>
      </c>
      <c r="C75" t="s">
        <v>5592</v>
      </c>
      <c r="D75">
        <v>1</v>
      </c>
      <c r="E75" t="s">
        <v>29</v>
      </c>
      <c r="F75" s="64" t="s">
        <v>772</v>
      </c>
      <c r="G75" s="9" t="s">
        <v>29</v>
      </c>
      <c r="H75" s="3">
        <f t="shared" si="2"/>
        <v>2778.75</v>
      </c>
      <c r="I75" s="3">
        <v>444.6</v>
      </c>
    </row>
    <row r="76" spans="1:9">
      <c r="A76" t="s">
        <v>161</v>
      </c>
      <c r="B76" s="1">
        <v>41561</v>
      </c>
      <c r="C76" t="s">
        <v>5593</v>
      </c>
      <c r="D76">
        <v>1</v>
      </c>
      <c r="E76" t="s">
        <v>29</v>
      </c>
      <c r="F76" s="64" t="s">
        <v>772</v>
      </c>
      <c r="G76" s="9" t="s">
        <v>29</v>
      </c>
      <c r="H76" s="3">
        <f t="shared" si="2"/>
        <v>356004.75</v>
      </c>
      <c r="I76" s="3">
        <v>56960.76</v>
      </c>
    </row>
    <row r="77" spans="1:9">
      <c r="A77" t="s">
        <v>201</v>
      </c>
      <c r="B77" s="1">
        <v>41564</v>
      </c>
      <c r="C77" t="s">
        <v>5606</v>
      </c>
      <c r="D77">
        <v>1</v>
      </c>
      <c r="E77" t="s">
        <v>29</v>
      </c>
      <c r="F77" s="64" t="s">
        <v>772</v>
      </c>
      <c r="G77" s="9" t="s">
        <v>29</v>
      </c>
      <c r="H77" s="3">
        <f t="shared" si="2"/>
        <v>4139.1875</v>
      </c>
      <c r="I77" s="3">
        <v>662.27</v>
      </c>
    </row>
    <row r="78" spans="1:9">
      <c r="A78" t="s">
        <v>3250</v>
      </c>
      <c r="B78" s="1">
        <v>41564</v>
      </c>
      <c r="C78" t="s">
        <v>5607</v>
      </c>
      <c r="D78">
        <v>1</v>
      </c>
      <c r="E78" t="s">
        <v>29</v>
      </c>
      <c r="F78" s="64" t="s">
        <v>772</v>
      </c>
      <c r="G78" s="9" t="s">
        <v>29</v>
      </c>
      <c r="H78" s="3">
        <f t="shared" si="2"/>
        <v>613.5</v>
      </c>
      <c r="I78" s="3">
        <v>98.16</v>
      </c>
    </row>
    <row r="79" spans="1:9">
      <c r="A79" t="s">
        <v>205</v>
      </c>
      <c r="B79" s="1">
        <v>41564</v>
      </c>
      <c r="C79" t="s">
        <v>5608</v>
      </c>
      <c r="D79">
        <v>1</v>
      </c>
      <c r="E79" t="s">
        <v>29</v>
      </c>
      <c r="F79" s="64" t="s">
        <v>772</v>
      </c>
      <c r="G79" s="9" t="s">
        <v>29</v>
      </c>
      <c r="H79" s="3">
        <f t="shared" si="2"/>
        <v>31537</v>
      </c>
      <c r="I79" s="3">
        <v>5045.92</v>
      </c>
    </row>
    <row r="80" spans="1:9">
      <c r="A80" t="s">
        <v>2207</v>
      </c>
      <c r="B80" s="1">
        <v>41569</v>
      </c>
      <c r="C80" t="s">
        <v>5622</v>
      </c>
      <c r="D80">
        <v>1</v>
      </c>
      <c r="E80" t="s">
        <v>29</v>
      </c>
      <c r="F80" s="64" t="s">
        <v>772</v>
      </c>
      <c r="G80" s="9" t="s">
        <v>29</v>
      </c>
      <c r="H80" s="3">
        <f t="shared" si="2"/>
        <v>790.125</v>
      </c>
      <c r="I80" s="3">
        <v>126.42</v>
      </c>
    </row>
    <row r="81" spans="1:14">
      <c r="A81" t="s">
        <v>1259</v>
      </c>
      <c r="B81" s="1">
        <v>41571</v>
      </c>
      <c r="C81" t="s">
        <v>5625</v>
      </c>
      <c r="D81">
        <v>1</v>
      </c>
      <c r="E81" t="s">
        <v>29</v>
      </c>
      <c r="F81" s="64" t="s">
        <v>772</v>
      </c>
      <c r="G81" s="9" t="s">
        <v>29</v>
      </c>
      <c r="H81" s="3">
        <f t="shared" si="2"/>
        <v>12975.187500000002</v>
      </c>
      <c r="I81" s="3">
        <v>2076.0300000000002</v>
      </c>
    </row>
    <row r="82" spans="1:14">
      <c r="A82" t="s">
        <v>3298</v>
      </c>
      <c r="B82" s="1">
        <v>41572</v>
      </c>
      <c r="C82" t="s">
        <v>5639</v>
      </c>
      <c r="D82">
        <v>1</v>
      </c>
      <c r="E82" t="s">
        <v>29</v>
      </c>
      <c r="F82" s="64" t="s">
        <v>772</v>
      </c>
      <c r="G82" s="9" t="s">
        <v>29</v>
      </c>
      <c r="H82" s="3">
        <f t="shared" si="2"/>
        <v>90991.0625</v>
      </c>
      <c r="I82" s="3">
        <v>14558.57</v>
      </c>
    </row>
    <row r="83" spans="1:14">
      <c r="A83" t="s">
        <v>1564</v>
      </c>
      <c r="B83" s="1">
        <v>41576</v>
      </c>
      <c r="C83" t="s">
        <v>5647</v>
      </c>
      <c r="D83">
        <v>1</v>
      </c>
      <c r="E83" t="s">
        <v>29</v>
      </c>
      <c r="F83" s="64" t="s">
        <v>772</v>
      </c>
      <c r="G83" s="9" t="s">
        <v>29</v>
      </c>
      <c r="H83" s="3">
        <f t="shared" si="2"/>
        <v>675.0625</v>
      </c>
      <c r="I83" s="3">
        <v>108.01</v>
      </c>
    </row>
    <row r="84" spans="1:14">
      <c r="A84" t="s">
        <v>695</v>
      </c>
      <c r="B84" s="1">
        <v>41577</v>
      </c>
      <c r="C84" t="s">
        <v>5650</v>
      </c>
      <c r="D84">
        <v>1</v>
      </c>
      <c r="E84" t="s">
        <v>29</v>
      </c>
      <c r="F84" s="64" t="s">
        <v>772</v>
      </c>
      <c r="G84" s="9" t="s">
        <v>29</v>
      </c>
      <c r="H84" s="3">
        <f t="shared" si="2"/>
        <v>146129</v>
      </c>
      <c r="I84" s="3">
        <v>23380.639999999999</v>
      </c>
    </row>
    <row r="85" spans="1:14">
      <c r="A85" t="s">
        <v>697</v>
      </c>
      <c r="B85" s="1">
        <v>41577</v>
      </c>
      <c r="C85" t="s">
        <v>5651</v>
      </c>
      <c r="D85">
        <v>1</v>
      </c>
      <c r="E85" t="s">
        <v>29</v>
      </c>
      <c r="F85" s="64" t="s">
        <v>772</v>
      </c>
      <c r="G85" s="9" t="s">
        <v>29</v>
      </c>
      <c r="H85" s="3">
        <f t="shared" si="2"/>
        <v>2459.9375</v>
      </c>
      <c r="I85" s="3">
        <v>393.59</v>
      </c>
    </row>
    <row r="86" spans="1:14" s="33" customFormat="1">
      <c r="A86" t="s">
        <v>354</v>
      </c>
      <c r="B86" s="1">
        <v>41578</v>
      </c>
      <c r="C86" t="s">
        <v>5664</v>
      </c>
      <c r="D86">
        <v>1</v>
      </c>
      <c r="E86" t="s">
        <v>29</v>
      </c>
      <c r="F86" s="64" t="s">
        <v>772</v>
      </c>
      <c r="G86" s="9" t="s">
        <v>29</v>
      </c>
      <c r="H86" s="3">
        <f t="shared" si="2"/>
        <v>85159.0625</v>
      </c>
      <c r="I86" s="3">
        <v>13625.45</v>
      </c>
      <c r="J86"/>
      <c r="K86"/>
      <c r="L86"/>
      <c r="M86"/>
      <c r="N86"/>
    </row>
    <row r="87" spans="1:14">
      <c r="A87" t="s">
        <v>1067</v>
      </c>
      <c r="B87" s="1">
        <v>41557</v>
      </c>
      <c r="C87" t="s">
        <v>5580</v>
      </c>
      <c r="D87">
        <v>1</v>
      </c>
      <c r="E87" t="s">
        <v>1239</v>
      </c>
      <c r="F87" s="9" t="s">
        <v>1587</v>
      </c>
      <c r="G87" s="9" t="s">
        <v>1239</v>
      </c>
      <c r="H87" s="3">
        <f t="shared" si="2"/>
        <v>378</v>
      </c>
      <c r="I87" s="3">
        <v>60.48</v>
      </c>
    </row>
    <row r="88" spans="1:14">
      <c r="A88" t="s">
        <v>5336</v>
      </c>
      <c r="B88" s="1">
        <v>41562</v>
      </c>
      <c r="C88" t="s">
        <v>436</v>
      </c>
      <c r="D88">
        <v>1</v>
      </c>
      <c r="E88" t="s">
        <v>5337</v>
      </c>
      <c r="F88" s="9" t="s">
        <v>5728</v>
      </c>
      <c r="G88" s="9" t="s">
        <v>5729</v>
      </c>
      <c r="H88" s="65">
        <f t="shared" ref="H88:H92" si="3">I88/0.16</f>
        <v>163.8125</v>
      </c>
      <c r="I88" s="65">
        <v>26.21</v>
      </c>
      <c r="J88" s="3"/>
      <c r="K88" s="3"/>
    </row>
    <row r="89" spans="1:14">
      <c r="A89" t="s">
        <v>5336</v>
      </c>
      <c r="B89" s="1">
        <v>41562</v>
      </c>
      <c r="C89" t="s">
        <v>436</v>
      </c>
      <c r="D89">
        <v>1</v>
      </c>
      <c r="E89" t="s">
        <v>5337</v>
      </c>
      <c r="F89" s="9" t="s">
        <v>2922</v>
      </c>
      <c r="G89" s="9" t="s">
        <v>2923</v>
      </c>
      <c r="H89" s="65">
        <f t="shared" si="3"/>
        <v>1109.25</v>
      </c>
      <c r="I89" s="65">
        <v>177.48</v>
      </c>
    </row>
    <row r="90" spans="1:14">
      <c r="A90" t="s">
        <v>5336</v>
      </c>
      <c r="B90" s="1">
        <v>41562</v>
      </c>
      <c r="C90" t="s">
        <v>436</v>
      </c>
      <c r="D90">
        <v>1</v>
      </c>
      <c r="E90" t="s">
        <v>5337</v>
      </c>
      <c r="F90" s="9" t="s">
        <v>5730</v>
      </c>
      <c r="G90" s="9" t="s">
        <v>5731</v>
      </c>
      <c r="H90" s="65">
        <f t="shared" si="3"/>
        <v>540.4375</v>
      </c>
      <c r="I90" s="65">
        <v>86.47</v>
      </c>
    </row>
    <row r="91" spans="1:14">
      <c r="A91" t="s">
        <v>5336</v>
      </c>
      <c r="B91" s="1">
        <v>41562</v>
      </c>
      <c r="C91" t="s">
        <v>436</v>
      </c>
      <c r="D91">
        <v>1</v>
      </c>
      <c r="E91" t="s">
        <v>5337</v>
      </c>
      <c r="F91" s="9" t="s">
        <v>946</v>
      </c>
      <c r="G91" s="9" t="s">
        <v>948</v>
      </c>
      <c r="H91" s="65">
        <f>+I91/0.16</f>
        <v>8.625</v>
      </c>
      <c r="I91" s="65">
        <v>1.38</v>
      </c>
    </row>
    <row r="92" spans="1:14">
      <c r="A92" t="s">
        <v>5336</v>
      </c>
      <c r="B92" s="1">
        <v>41562</v>
      </c>
      <c r="C92" t="s">
        <v>436</v>
      </c>
      <c r="D92">
        <v>1</v>
      </c>
      <c r="E92" t="s">
        <v>5337</v>
      </c>
      <c r="F92" s="9" t="s">
        <v>5728</v>
      </c>
      <c r="G92" s="9" t="s">
        <v>5729</v>
      </c>
      <c r="H92" s="65">
        <f t="shared" si="3"/>
        <v>163.8125</v>
      </c>
      <c r="I92" s="65">
        <v>26.21</v>
      </c>
      <c r="J92" s="14">
        <f>1985.94-H88-H89-H90-H92-H91</f>
        <v>2.5000000000545697E-3</v>
      </c>
      <c r="K92" s="14">
        <f>317.75-I88-I89-I90-I92-I91</f>
        <v>3.1086244689504383E-14</v>
      </c>
      <c r="L92" t="s">
        <v>900</v>
      </c>
    </row>
    <row r="93" spans="1:14">
      <c r="A93" t="s">
        <v>4290</v>
      </c>
      <c r="B93" s="1">
        <v>41573</v>
      </c>
      <c r="C93" t="s">
        <v>5640</v>
      </c>
      <c r="D93">
        <v>1</v>
      </c>
      <c r="E93" t="s">
        <v>296</v>
      </c>
      <c r="F93" s="9" t="s">
        <v>777</v>
      </c>
      <c r="G93" s="9" t="s">
        <v>296</v>
      </c>
      <c r="H93" s="3">
        <f t="shared" ref="H93:H169" si="4">+I93/0.16</f>
        <v>6217.5</v>
      </c>
      <c r="I93" s="3">
        <v>994.8</v>
      </c>
    </row>
    <row r="94" spans="1:14">
      <c r="A94" t="s">
        <v>5549</v>
      </c>
      <c r="B94" s="1">
        <v>41550</v>
      </c>
      <c r="C94" t="s">
        <v>5550</v>
      </c>
      <c r="D94">
        <v>1</v>
      </c>
      <c r="E94" t="s">
        <v>5551</v>
      </c>
      <c r="F94" s="67" t="s">
        <v>829</v>
      </c>
      <c r="G94" s="68" t="s">
        <v>6</v>
      </c>
      <c r="H94" s="3">
        <f t="shared" si="4"/>
        <v>855.3125</v>
      </c>
      <c r="I94" s="3">
        <v>136.85</v>
      </c>
    </row>
    <row r="95" spans="1:14">
      <c r="A95" t="s">
        <v>365</v>
      </c>
      <c r="B95" s="1">
        <v>41573</v>
      </c>
      <c r="C95" t="s">
        <v>5641</v>
      </c>
      <c r="D95">
        <v>1</v>
      </c>
      <c r="E95" t="s">
        <v>983</v>
      </c>
      <c r="F95" s="9" t="s">
        <v>2849</v>
      </c>
      <c r="G95" s="9" t="s">
        <v>983</v>
      </c>
      <c r="H95" s="3">
        <f t="shared" si="4"/>
        <v>40000</v>
      </c>
      <c r="I95" s="3">
        <v>6400</v>
      </c>
    </row>
    <row r="96" spans="1:14">
      <c r="A96" t="s">
        <v>1333</v>
      </c>
      <c r="B96" s="1">
        <v>41573</v>
      </c>
      <c r="C96" t="s">
        <v>5642</v>
      </c>
      <c r="D96">
        <v>1</v>
      </c>
      <c r="E96" t="s">
        <v>983</v>
      </c>
      <c r="F96" s="9" t="s">
        <v>2849</v>
      </c>
      <c r="G96" s="9" t="s">
        <v>983</v>
      </c>
      <c r="H96" s="3">
        <f t="shared" si="4"/>
        <v>10000</v>
      </c>
      <c r="I96" s="3">
        <v>1600</v>
      </c>
    </row>
    <row r="97" spans="1:9">
      <c r="A97" t="s">
        <v>4048</v>
      </c>
      <c r="B97" s="1">
        <v>41578</v>
      </c>
      <c r="C97" t="s">
        <v>5544</v>
      </c>
      <c r="D97">
        <v>1</v>
      </c>
      <c r="E97" t="s">
        <v>5545</v>
      </c>
      <c r="F97" s="64" t="s">
        <v>772</v>
      </c>
      <c r="G97" s="9" t="s">
        <v>29</v>
      </c>
      <c r="H97" s="3">
        <f t="shared" si="4"/>
        <v>-28314.125</v>
      </c>
      <c r="I97" s="3">
        <v>-4530.26</v>
      </c>
    </row>
    <row r="98" spans="1:9">
      <c r="A98" t="s">
        <v>81</v>
      </c>
      <c r="B98" s="1">
        <v>41557</v>
      </c>
      <c r="C98" t="s">
        <v>5574</v>
      </c>
      <c r="D98">
        <v>1</v>
      </c>
      <c r="E98" t="s">
        <v>373</v>
      </c>
      <c r="F98" s="9" t="s">
        <v>780</v>
      </c>
      <c r="G98" s="9" t="s">
        <v>373</v>
      </c>
      <c r="H98" s="3">
        <f t="shared" si="4"/>
        <v>15600</v>
      </c>
      <c r="I98" s="3">
        <v>2496</v>
      </c>
    </row>
    <row r="99" spans="1:9">
      <c r="A99" t="s">
        <v>84</v>
      </c>
      <c r="B99" s="1">
        <v>41557</v>
      </c>
      <c r="C99" t="s">
        <v>5575</v>
      </c>
      <c r="D99">
        <v>1</v>
      </c>
      <c r="E99" t="s">
        <v>373</v>
      </c>
      <c r="F99" s="9" t="s">
        <v>780</v>
      </c>
      <c r="G99" s="9" t="s">
        <v>373</v>
      </c>
      <c r="H99" s="3">
        <f t="shared" si="4"/>
        <v>45000</v>
      </c>
      <c r="I99" s="3">
        <v>7200</v>
      </c>
    </row>
    <row r="100" spans="1:9">
      <c r="A100" t="s">
        <v>1129</v>
      </c>
      <c r="B100" s="1">
        <v>41561</v>
      </c>
      <c r="C100" t="s">
        <v>5601</v>
      </c>
      <c r="D100">
        <v>1</v>
      </c>
      <c r="E100" t="s">
        <v>373</v>
      </c>
      <c r="F100" s="9" t="s">
        <v>780</v>
      </c>
      <c r="G100" s="9" t="s">
        <v>373</v>
      </c>
      <c r="H100" s="3">
        <f t="shared" si="4"/>
        <v>27242.624999999996</v>
      </c>
      <c r="I100" s="3">
        <v>4358.82</v>
      </c>
    </row>
    <row r="101" spans="1:9">
      <c r="A101" t="s">
        <v>320</v>
      </c>
      <c r="B101" s="1">
        <v>41571</v>
      </c>
      <c r="C101" t="s">
        <v>5627</v>
      </c>
      <c r="D101">
        <v>1</v>
      </c>
      <c r="E101" t="s">
        <v>373</v>
      </c>
      <c r="F101" s="9" t="s">
        <v>780</v>
      </c>
      <c r="G101" s="9" t="s">
        <v>373</v>
      </c>
      <c r="H101" s="3">
        <f t="shared" si="4"/>
        <v>23063.999999999996</v>
      </c>
      <c r="I101" s="3">
        <v>3690.24</v>
      </c>
    </row>
    <row r="102" spans="1:9">
      <c r="A102" t="s">
        <v>75</v>
      </c>
      <c r="B102" s="1">
        <v>41557</v>
      </c>
      <c r="C102" t="s">
        <v>5572</v>
      </c>
      <c r="D102">
        <v>1</v>
      </c>
      <c r="E102" t="s">
        <v>80</v>
      </c>
      <c r="F102" s="9" t="s">
        <v>781</v>
      </c>
      <c r="G102" s="9" t="s">
        <v>80</v>
      </c>
      <c r="H102" s="3">
        <f t="shared" si="4"/>
        <v>910</v>
      </c>
      <c r="I102" s="3">
        <v>145.6</v>
      </c>
    </row>
    <row r="103" spans="1:9">
      <c r="A103" t="s">
        <v>1131</v>
      </c>
      <c r="B103" s="1">
        <v>41561</v>
      </c>
      <c r="C103" t="s">
        <v>5602</v>
      </c>
      <c r="D103">
        <v>1</v>
      </c>
      <c r="E103" t="s">
        <v>80</v>
      </c>
      <c r="F103" s="9" t="s">
        <v>781</v>
      </c>
      <c r="G103" s="9" t="s">
        <v>80</v>
      </c>
      <c r="H103" s="3">
        <f t="shared" si="4"/>
        <v>486</v>
      </c>
      <c r="I103" s="3">
        <v>77.760000000000005</v>
      </c>
    </row>
    <row r="104" spans="1:9">
      <c r="A104" t="s">
        <v>322</v>
      </c>
      <c r="B104" s="1">
        <v>41571</v>
      </c>
      <c r="C104" t="s">
        <v>5628</v>
      </c>
      <c r="D104">
        <v>1</v>
      </c>
      <c r="E104" t="s">
        <v>80</v>
      </c>
      <c r="F104" s="9" t="s">
        <v>781</v>
      </c>
      <c r="G104" s="9" t="s">
        <v>80</v>
      </c>
      <c r="H104" s="3">
        <f t="shared" si="4"/>
        <v>3187</v>
      </c>
      <c r="I104" s="3">
        <v>509.92</v>
      </c>
    </row>
    <row r="105" spans="1:9">
      <c r="A105" t="s">
        <v>218</v>
      </c>
      <c r="B105" s="1">
        <v>41565</v>
      </c>
      <c r="C105" t="s">
        <v>5613</v>
      </c>
      <c r="D105">
        <v>1</v>
      </c>
      <c r="E105" t="s">
        <v>5614</v>
      </c>
      <c r="F105" s="9" t="s">
        <v>5732</v>
      </c>
      <c r="G105" s="9" t="s">
        <v>5614</v>
      </c>
      <c r="H105" s="3">
        <f t="shared" si="4"/>
        <v>11850.3125</v>
      </c>
      <c r="I105" s="3">
        <v>1896.05</v>
      </c>
    </row>
    <row r="106" spans="1:9">
      <c r="A106" t="s">
        <v>3524</v>
      </c>
      <c r="B106" s="1">
        <v>41576</v>
      </c>
      <c r="C106">
        <v>9185</v>
      </c>
      <c r="D106">
        <v>1</v>
      </c>
      <c r="E106" t="s">
        <v>618</v>
      </c>
      <c r="F106" s="12" t="s">
        <v>784</v>
      </c>
      <c r="G106" s="9" t="s">
        <v>618</v>
      </c>
      <c r="H106" s="3">
        <f t="shared" si="4"/>
        <v>173.25</v>
      </c>
      <c r="I106" s="3">
        <v>27.72</v>
      </c>
    </row>
    <row r="107" spans="1:9">
      <c r="A107" t="s">
        <v>4041</v>
      </c>
      <c r="B107" s="1">
        <v>41578</v>
      </c>
      <c r="C107">
        <v>9251</v>
      </c>
      <c r="D107">
        <v>1</v>
      </c>
      <c r="E107" t="s">
        <v>618</v>
      </c>
      <c r="F107" s="12" t="s">
        <v>784</v>
      </c>
      <c r="G107" s="9" t="s">
        <v>618</v>
      </c>
      <c r="H107" s="3">
        <f t="shared" si="4"/>
        <v>137.9375</v>
      </c>
      <c r="I107" s="3">
        <v>22.07</v>
      </c>
    </row>
    <row r="108" spans="1:9">
      <c r="A108" t="s">
        <v>2617</v>
      </c>
      <c r="B108" s="1">
        <v>41578</v>
      </c>
      <c r="C108">
        <v>9221</v>
      </c>
      <c r="D108">
        <v>1</v>
      </c>
      <c r="E108" t="s">
        <v>5502</v>
      </c>
      <c r="F108" s="9" t="s">
        <v>786</v>
      </c>
      <c r="G108" s="9" t="s">
        <v>5502</v>
      </c>
      <c r="H108" s="3">
        <f t="shared" si="4"/>
        <v>252.31249999999997</v>
      </c>
      <c r="I108" s="3">
        <v>40.369999999999997</v>
      </c>
    </row>
    <row r="109" spans="1:9">
      <c r="A109" t="s">
        <v>1948</v>
      </c>
      <c r="B109" s="1">
        <v>41576</v>
      </c>
      <c r="C109">
        <v>9189</v>
      </c>
      <c r="D109">
        <v>1</v>
      </c>
      <c r="E109" t="s">
        <v>5465</v>
      </c>
      <c r="F109" s="12" t="s">
        <v>5733</v>
      </c>
      <c r="G109" s="9" t="s">
        <v>5465</v>
      </c>
      <c r="H109" s="3">
        <f t="shared" si="4"/>
        <v>519.4375</v>
      </c>
      <c r="I109" s="3">
        <v>83.11</v>
      </c>
    </row>
    <row r="110" spans="1:9">
      <c r="A110" t="s">
        <v>5706</v>
      </c>
      <c r="B110" s="1">
        <v>41578</v>
      </c>
      <c r="C110" t="s">
        <v>5707</v>
      </c>
      <c r="D110">
        <v>1</v>
      </c>
      <c r="E110" t="s">
        <v>5708</v>
      </c>
      <c r="F110" s="30" t="s">
        <v>886</v>
      </c>
      <c r="G110" s="31" t="s">
        <v>887</v>
      </c>
      <c r="H110" s="3">
        <f t="shared" si="4"/>
        <v>594231.6875</v>
      </c>
      <c r="I110" s="3">
        <v>95077.07</v>
      </c>
    </row>
    <row r="111" spans="1:9">
      <c r="A111" t="s">
        <v>3988</v>
      </c>
      <c r="B111" s="1">
        <v>41576</v>
      </c>
      <c r="C111">
        <v>9179</v>
      </c>
      <c r="D111">
        <v>1</v>
      </c>
      <c r="E111" t="s">
        <v>1444</v>
      </c>
      <c r="F111" s="12" t="s">
        <v>789</v>
      </c>
      <c r="G111" s="9" t="s">
        <v>1444</v>
      </c>
      <c r="H111" s="3">
        <f t="shared" si="4"/>
        <v>22.4375</v>
      </c>
      <c r="I111" s="3">
        <v>3.59</v>
      </c>
    </row>
    <row r="112" spans="1:9">
      <c r="A112" t="s">
        <v>5709</v>
      </c>
      <c r="B112" s="1">
        <v>41562</v>
      </c>
      <c r="C112" t="s">
        <v>5710</v>
      </c>
      <c r="D112">
        <v>1</v>
      </c>
      <c r="E112" t="s">
        <v>5711</v>
      </c>
      <c r="F112" s="67" t="s">
        <v>829</v>
      </c>
      <c r="G112" s="68" t="s">
        <v>6</v>
      </c>
      <c r="H112" s="3">
        <f t="shared" si="4"/>
        <v>587.8125</v>
      </c>
      <c r="I112" s="3">
        <v>94.05</v>
      </c>
    </row>
    <row r="113" spans="1:9">
      <c r="A113" t="s">
        <v>5715</v>
      </c>
      <c r="B113" s="1">
        <v>41577</v>
      </c>
      <c r="C113" t="s">
        <v>5716</v>
      </c>
      <c r="D113">
        <v>1</v>
      </c>
      <c r="E113" t="s">
        <v>5717</v>
      </c>
      <c r="F113" s="67" t="s">
        <v>829</v>
      </c>
      <c r="G113" s="68" t="s">
        <v>6</v>
      </c>
      <c r="H113" s="3">
        <f t="shared" si="4"/>
        <v>512.9375</v>
      </c>
      <c r="I113" s="3">
        <v>82.07</v>
      </c>
    </row>
    <row r="114" spans="1:9">
      <c r="A114" t="s">
        <v>4957</v>
      </c>
      <c r="B114" s="1">
        <v>41578</v>
      </c>
      <c r="C114">
        <v>9217</v>
      </c>
      <c r="D114">
        <v>1</v>
      </c>
      <c r="E114" t="s">
        <v>5501</v>
      </c>
      <c r="F114" s="9" t="s">
        <v>5734</v>
      </c>
      <c r="G114" s="9" t="s">
        <v>5501</v>
      </c>
      <c r="H114" s="3">
        <f t="shared" si="4"/>
        <v>119.875</v>
      </c>
      <c r="I114" s="3">
        <v>19.18</v>
      </c>
    </row>
    <row r="115" spans="1:9">
      <c r="A115" t="s">
        <v>4898</v>
      </c>
      <c r="B115" s="1">
        <v>41575</v>
      </c>
      <c r="C115">
        <v>9139</v>
      </c>
      <c r="D115">
        <v>1</v>
      </c>
      <c r="E115" t="s">
        <v>612</v>
      </c>
      <c r="F115" s="9" t="s">
        <v>794</v>
      </c>
      <c r="G115" s="9" t="s">
        <v>612</v>
      </c>
      <c r="H115" s="3">
        <f t="shared" si="4"/>
        <v>112.9375</v>
      </c>
      <c r="I115" s="3">
        <v>18.07</v>
      </c>
    </row>
    <row r="116" spans="1:9">
      <c r="A116" t="s">
        <v>2615</v>
      </c>
      <c r="B116" s="1">
        <v>41578</v>
      </c>
      <c r="C116">
        <v>9219</v>
      </c>
      <c r="D116">
        <v>1</v>
      </c>
      <c r="E116" t="s">
        <v>612</v>
      </c>
      <c r="F116" s="9" t="s">
        <v>794</v>
      </c>
      <c r="G116" s="9" t="s">
        <v>612</v>
      </c>
      <c r="H116" s="3">
        <f t="shared" si="4"/>
        <v>140</v>
      </c>
      <c r="I116" s="3">
        <v>22.4</v>
      </c>
    </row>
    <row r="117" spans="1:9">
      <c r="A117" t="s">
        <v>391</v>
      </c>
      <c r="B117" s="1">
        <v>41576</v>
      </c>
      <c r="C117" t="s">
        <v>5643</v>
      </c>
      <c r="D117">
        <v>1</v>
      </c>
      <c r="E117" t="s">
        <v>5644</v>
      </c>
      <c r="F117" s="9" t="s">
        <v>5735</v>
      </c>
      <c r="G117" s="9" t="s">
        <v>5644</v>
      </c>
      <c r="H117" s="3">
        <f t="shared" si="4"/>
        <v>1089</v>
      </c>
      <c r="I117" s="3">
        <v>174.24</v>
      </c>
    </row>
    <row r="118" spans="1:9">
      <c r="A118" t="s">
        <v>2627</v>
      </c>
      <c r="B118" s="1">
        <v>41578</v>
      </c>
      <c r="C118">
        <v>9224</v>
      </c>
      <c r="D118">
        <v>1</v>
      </c>
      <c r="E118" t="s">
        <v>3765</v>
      </c>
      <c r="F118" s="9" t="s">
        <v>778</v>
      </c>
      <c r="G118" s="9" t="s">
        <v>779</v>
      </c>
      <c r="H118" s="3">
        <f t="shared" si="4"/>
        <v>1150</v>
      </c>
      <c r="I118" s="3">
        <v>184</v>
      </c>
    </row>
    <row r="119" spans="1:9">
      <c r="A119" t="s">
        <v>1031</v>
      </c>
      <c r="B119" s="1">
        <v>41556</v>
      </c>
      <c r="C119" t="s">
        <v>5565</v>
      </c>
      <c r="D119">
        <v>1</v>
      </c>
      <c r="E119" t="s">
        <v>1011</v>
      </c>
      <c r="F119" s="12" t="s">
        <v>1600</v>
      </c>
      <c r="G119" s="9" t="s">
        <v>1011</v>
      </c>
      <c r="H119" s="3">
        <f t="shared" si="4"/>
        <v>10379.375</v>
      </c>
      <c r="I119" s="3">
        <v>1660.7</v>
      </c>
    </row>
    <row r="120" spans="1:9">
      <c r="A120" t="s">
        <v>2710</v>
      </c>
      <c r="B120" s="1">
        <v>41556</v>
      </c>
      <c r="C120" t="s">
        <v>5568</v>
      </c>
      <c r="D120">
        <v>1</v>
      </c>
      <c r="E120" t="s">
        <v>5569</v>
      </c>
      <c r="F120" s="12" t="s">
        <v>5736</v>
      </c>
      <c r="G120" s="9" t="s">
        <v>5569</v>
      </c>
      <c r="H120" s="3">
        <f t="shared" si="4"/>
        <v>12500</v>
      </c>
      <c r="I120" s="3">
        <v>2000</v>
      </c>
    </row>
    <row r="121" spans="1:9">
      <c r="A121" t="s">
        <v>87</v>
      </c>
      <c r="B121" s="1">
        <v>41557</v>
      </c>
      <c r="C121" t="s">
        <v>5576</v>
      </c>
      <c r="D121">
        <v>1</v>
      </c>
      <c r="E121" t="s">
        <v>77</v>
      </c>
      <c r="F121" s="9" t="s">
        <v>798</v>
      </c>
      <c r="G121" s="9" t="s">
        <v>77</v>
      </c>
      <c r="H121" s="3">
        <f t="shared" si="4"/>
        <v>2888.8125</v>
      </c>
      <c r="I121" s="3">
        <v>462.21</v>
      </c>
    </row>
    <row r="122" spans="1:9">
      <c r="A122" t="s">
        <v>1120</v>
      </c>
      <c r="B122" s="1">
        <v>41561</v>
      </c>
      <c r="C122" t="s">
        <v>5597</v>
      </c>
      <c r="D122">
        <v>1</v>
      </c>
      <c r="E122" t="s">
        <v>77</v>
      </c>
      <c r="F122" s="9" t="s">
        <v>798</v>
      </c>
      <c r="G122" s="9" t="s">
        <v>77</v>
      </c>
      <c r="H122" s="3">
        <f t="shared" si="4"/>
        <v>540</v>
      </c>
      <c r="I122" s="3">
        <v>86.4</v>
      </c>
    </row>
    <row r="123" spans="1:9">
      <c r="A123" t="s">
        <v>337</v>
      </c>
      <c r="B123" s="1">
        <v>41571</v>
      </c>
      <c r="C123" t="s">
        <v>5635</v>
      </c>
      <c r="D123">
        <v>1</v>
      </c>
      <c r="E123" t="s">
        <v>77</v>
      </c>
      <c r="F123" s="9" t="s">
        <v>798</v>
      </c>
      <c r="G123" s="9" t="s">
        <v>77</v>
      </c>
      <c r="H123" s="3">
        <f t="shared" si="4"/>
        <v>260</v>
      </c>
      <c r="I123" s="3">
        <v>41.6</v>
      </c>
    </row>
    <row r="124" spans="1:9">
      <c r="A124" t="s">
        <v>5323</v>
      </c>
      <c r="B124" s="1">
        <v>41557</v>
      </c>
      <c r="C124" t="s">
        <v>5324</v>
      </c>
      <c r="D124">
        <v>1</v>
      </c>
      <c r="E124" t="s">
        <v>5325</v>
      </c>
      <c r="F124" s="9" t="s">
        <v>2285</v>
      </c>
      <c r="G124" s="9" t="s">
        <v>3820</v>
      </c>
      <c r="H124" s="3">
        <f t="shared" si="4"/>
        <v>191130.625</v>
      </c>
      <c r="I124" s="3">
        <v>30580.9</v>
      </c>
    </row>
    <row r="125" spans="1:9">
      <c r="A125" t="s">
        <v>98</v>
      </c>
      <c r="B125" s="1">
        <v>41557</v>
      </c>
      <c r="C125" t="s">
        <v>5579</v>
      </c>
      <c r="D125">
        <v>1</v>
      </c>
      <c r="E125" t="s">
        <v>215</v>
      </c>
      <c r="F125" s="9" t="s">
        <v>801</v>
      </c>
      <c r="G125" s="9" t="s">
        <v>215</v>
      </c>
      <c r="H125" s="3">
        <f t="shared" si="4"/>
        <v>8500</v>
      </c>
      <c r="I125" s="3">
        <v>1360</v>
      </c>
    </row>
    <row r="126" spans="1:9">
      <c r="A126" t="s">
        <v>175</v>
      </c>
      <c r="B126" s="1">
        <v>41561</v>
      </c>
      <c r="C126" t="s">
        <v>5603</v>
      </c>
      <c r="D126">
        <v>1</v>
      </c>
      <c r="E126" t="s">
        <v>215</v>
      </c>
      <c r="F126" s="9" t="s">
        <v>801</v>
      </c>
      <c r="G126" s="9" t="s">
        <v>215</v>
      </c>
      <c r="H126" s="3">
        <f t="shared" si="4"/>
        <v>6000</v>
      </c>
      <c r="I126" s="3">
        <v>960</v>
      </c>
    </row>
    <row r="127" spans="1:9">
      <c r="A127" t="s">
        <v>324</v>
      </c>
      <c r="B127" s="1">
        <v>41571</v>
      </c>
      <c r="C127" t="s">
        <v>5629</v>
      </c>
      <c r="D127">
        <v>1</v>
      </c>
      <c r="E127" t="s">
        <v>215</v>
      </c>
      <c r="F127" s="9" t="s">
        <v>801</v>
      </c>
      <c r="G127" s="9" t="s">
        <v>215</v>
      </c>
      <c r="H127" s="3">
        <f t="shared" si="4"/>
        <v>1300</v>
      </c>
      <c r="I127" s="3">
        <v>208</v>
      </c>
    </row>
    <row r="128" spans="1:9">
      <c r="A128" t="s">
        <v>2102</v>
      </c>
      <c r="B128" s="1">
        <v>41576</v>
      </c>
      <c r="C128">
        <v>9214</v>
      </c>
      <c r="D128">
        <v>1</v>
      </c>
      <c r="E128" t="s">
        <v>5491</v>
      </c>
      <c r="F128" s="9" t="s">
        <v>5737</v>
      </c>
      <c r="G128" s="9" t="s">
        <v>5491</v>
      </c>
      <c r="H128" s="3">
        <f t="shared" si="4"/>
        <v>344.8125</v>
      </c>
      <c r="I128" s="3">
        <v>55.17</v>
      </c>
    </row>
    <row r="129" spans="1:11">
      <c r="A129" t="s">
        <v>5511</v>
      </c>
      <c r="B129" s="1">
        <v>41578</v>
      </c>
      <c r="C129">
        <v>9235</v>
      </c>
      <c r="D129">
        <v>1</v>
      </c>
      <c r="E129" t="s">
        <v>5491</v>
      </c>
      <c r="F129" s="9" t="s">
        <v>5737</v>
      </c>
      <c r="G129" s="9" t="s">
        <v>5491</v>
      </c>
      <c r="H129" s="3">
        <f t="shared" si="4"/>
        <v>344.8125</v>
      </c>
      <c r="I129" s="3">
        <v>55.17</v>
      </c>
    </row>
    <row r="130" spans="1:11">
      <c r="A130" t="s">
        <v>4037</v>
      </c>
      <c r="B130" s="1">
        <v>41578</v>
      </c>
      <c r="C130">
        <v>9248</v>
      </c>
      <c r="D130">
        <v>1</v>
      </c>
      <c r="E130" t="s">
        <v>5533</v>
      </c>
      <c r="F130" s="12" t="s">
        <v>5737</v>
      </c>
      <c r="G130" s="9" t="s">
        <v>5738</v>
      </c>
      <c r="H130" s="3">
        <f t="shared" si="4"/>
        <v>344.8125</v>
      </c>
      <c r="I130" s="3">
        <v>55.17</v>
      </c>
    </row>
    <row r="131" spans="1:11">
      <c r="A131" t="s">
        <v>78</v>
      </c>
      <c r="B131" s="1">
        <v>41557</v>
      </c>
      <c r="C131" t="s">
        <v>5573</v>
      </c>
      <c r="D131">
        <v>2</v>
      </c>
      <c r="E131" t="s">
        <v>74</v>
      </c>
      <c r="F131" s="9" t="s">
        <v>803</v>
      </c>
      <c r="G131" s="9" t="s">
        <v>74</v>
      </c>
      <c r="H131" s="3">
        <f t="shared" si="4"/>
        <v>774.25</v>
      </c>
      <c r="I131" s="3">
        <v>123.88</v>
      </c>
    </row>
    <row r="132" spans="1:11">
      <c r="A132" t="s">
        <v>172</v>
      </c>
      <c r="B132" s="1">
        <v>41561</v>
      </c>
      <c r="C132" t="s">
        <v>5595</v>
      </c>
      <c r="D132">
        <v>2</v>
      </c>
      <c r="E132" t="s">
        <v>74</v>
      </c>
      <c r="F132" s="9" t="s">
        <v>803</v>
      </c>
      <c r="G132" s="9" t="s">
        <v>74</v>
      </c>
      <c r="H132" s="3">
        <f t="shared" si="4"/>
        <v>6432.875</v>
      </c>
      <c r="I132" s="3">
        <v>1029.26</v>
      </c>
    </row>
    <row r="133" spans="1:11">
      <c r="A133" t="s">
        <v>1027</v>
      </c>
      <c r="B133" s="1">
        <v>41556</v>
      </c>
      <c r="C133" t="s">
        <v>5563</v>
      </c>
      <c r="D133">
        <v>1</v>
      </c>
      <c r="E133" t="s">
        <v>112</v>
      </c>
      <c r="F133" s="12" t="s">
        <v>805</v>
      </c>
      <c r="G133" s="9" t="s">
        <v>112</v>
      </c>
      <c r="H133" s="3">
        <f t="shared" si="4"/>
        <v>10000</v>
      </c>
      <c r="I133" s="3">
        <v>1600</v>
      </c>
    </row>
    <row r="134" spans="1:11">
      <c r="A134" t="s">
        <v>1155</v>
      </c>
      <c r="B134" s="1">
        <v>41563</v>
      </c>
      <c r="C134" t="s">
        <v>5605</v>
      </c>
      <c r="D134">
        <v>1</v>
      </c>
      <c r="E134" t="s">
        <v>112</v>
      </c>
      <c r="F134" s="9" t="s">
        <v>805</v>
      </c>
      <c r="G134" s="9" t="s">
        <v>112</v>
      </c>
      <c r="H134" s="3">
        <f t="shared" si="4"/>
        <v>25000</v>
      </c>
      <c r="I134" s="3">
        <v>4000</v>
      </c>
    </row>
    <row r="135" spans="1:11">
      <c r="A135" t="s">
        <v>2619</v>
      </c>
      <c r="B135" s="1">
        <v>41578</v>
      </c>
      <c r="C135">
        <v>9221</v>
      </c>
      <c r="D135">
        <v>1</v>
      </c>
      <c r="E135" t="s">
        <v>5503</v>
      </c>
      <c r="F135" s="9" t="s">
        <v>1667</v>
      </c>
      <c r="G135" s="9" t="s">
        <v>5503</v>
      </c>
      <c r="H135" s="3">
        <f t="shared" si="4"/>
        <v>83.625</v>
      </c>
      <c r="I135" s="3">
        <v>13.38</v>
      </c>
    </row>
    <row r="136" spans="1:11">
      <c r="A136" t="s">
        <v>3909</v>
      </c>
      <c r="B136" s="1">
        <v>41564</v>
      </c>
      <c r="C136" t="s">
        <v>5387</v>
      </c>
      <c r="D136">
        <v>1</v>
      </c>
      <c r="E136" t="s">
        <v>5388</v>
      </c>
      <c r="F136" t="s">
        <v>946</v>
      </c>
      <c r="G136" t="s">
        <v>947</v>
      </c>
      <c r="H136" s="46">
        <f t="shared" ref="H136:H153" si="5">I136/0.16</f>
        <v>244.06249999999997</v>
      </c>
      <c r="I136" s="46">
        <v>39.049999999999997</v>
      </c>
      <c r="J136" s="3"/>
      <c r="K136" s="3"/>
    </row>
    <row r="137" spans="1:11">
      <c r="A137" t="s">
        <v>3909</v>
      </c>
      <c r="B137" s="1">
        <v>41564</v>
      </c>
      <c r="C137" t="s">
        <v>5387</v>
      </c>
      <c r="D137">
        <v>1</v>
      </c>
      <c r="E137" t="s">
        <v>5388</v>
      </c>
      <c r="F137" s="28" t="s">
        <v>1671</v>
      </c>
      <c r="G137" s="28" t="s">
        <v>5739</v>
      </c>
      <c r="H137" s="47">
        <f t="shared" si="5"/>
        <v>292.8125</v>
      </c>
      <c r="I137" s="47">
        <v>46.85</v>
      </c>
    </row>
    <row r="138" spans="1:11">
      <c r="A138" t="s">
        <v>3909</v>
      </c>
      <c r="B138" s="1">
        <v>41564</v>
      </c>
      <c r="C138" t="s">
        <v>5387</v>
      </c>
      <c r="D138">
        <v>1</v>
      </c>
      <c r="E138" t="s">
        <v>5388</v>
      </c>
      <c r="F138" s="9" t="s">
        <v>941</v>
      </c>
      <c r="G138" s="9" t="s">
        <v>1641</v>
      </c>
      <c r="H138" s="65">
        <f t="shared" si="5"/>
        <v>73.25</v>
      </c>
      <c r="I138" s="65">
        <v>11.72</v>
      </c>
      <c r="J138" s="14">
        <f>610.13-H136-H137-H138</f>
        <v>4.9999999999954525E-3</v>
      </c>
      <c r="K138" s="14">
        <f>97.62-I136-I137-I138</f>
        <v>0</v>
      </c>
    </row>
    <row r="139" spans="1:11">
      <c r="A139" t="s">
        <v>3896</v>
      </c>
      <c r="B139" s="1">
        <v>41564</v>
      </c>
      <c r="C139" t="s">
        <v>5368</v>
      </c>
      <c r="D139">
        <v>1</v>
      </c>
      <c r="E139" t="s">
        <v>5369</v>
      </c>
      <c r="F139" s="9" t="s">
        <v>1684</v>
      </c>
      <c r="G139" s="9" t="s">
        <v>1685</v>
      </c>
      <c r="H139" s="65">
        <f t="shared" si="5"/>
        <v>334.3125</v>
      </c>
      <c r="I139" s="65">
        <v>53.49</v>
      </c>
      <c r="J139" s="3"/>
      <c r="K139" s="3"/>
    </row>
    <row r="140" spans="1:11">
      <c r="A140" t="s">
        <v>3896</v>
      </c>
      <c r="B140" s="1">
        <v>41564</v>
      </c>
      <c r="C140" t="s">
        <v>5368</v>
      </c>
      <c r="D140">
        <v>1</v>
      </c>
      <c r="E140" t="s">
        <v>5369</v>
      </c>
      <c r="F140" t="s">
        <v>946</v>
      </c>
      <c r="G140" t="s">
        <v>947</v>
      </c>
      <c r="H140" s="3">
        <f t="shared" si="5"/>
        <v>442.81249999999994</v>
      </c>
      <c r="I140" s="46">
        <v>70.849999999999994</v>
      </c>
      <c r="J140" s="14">
        <f>777.13-H139-H140</f>
        <v>5.0000000000522959E-3</v>
      </c>
      <c r="K140" s="14">
        <f>124.34-I139-I140</f>
        <v>0</v>
      </c>
    </row>
    <row r="141" spans="1:11">
      <c r="A141" t="s">
        <v>5384</v>
      </c>
      <c r="B141" s="1">
        <v>41564</v>
      </c>
      <c r="C141" t="s">
        <v>5385</v>
      </c>
      <c r="D141">
        <v>1</v>
      </c>
      <c r="E141" t="s">
        <v>5386</v>
      </c>
      <c r="F141" t="s">
        <v>946</v>
      </c>
      <c r="G141" t="s">
        <v>947</v>
      </c>
      <c r="H141" s="46">
        <f t="shared" si="5"/>
        <v>352.6875</v>
      </c>
      <c r="I141" s="46">
        <v>56.43</v>
      </c>
      <c r="J141" s="3"/>
      <c r="K141" s="3"/>
    </row>
    <row r="142" spans="1:11">
      <c r="A142" t="s">
        <v>5384</v>
      </c>
      <c r="B142" s="1">
        <v>41564</v>
      </c>
      <c r="C142" t="s">
        <v>5385</v>
      </c>
      <c r="D142">
        <v>1</v>
      </c>
      <c r="E142" t="s">
        <v>5386</v>
      </c>
      <c r="F142" t="s">
        <v>946</v>
      </c>
      <c r="G142" t="s">
        <v>947</v>
      </c>
      <c r="H142" s="46">
        <f t="shared" si="5"/>
        <v>310.4375</v>
      </c>
      <c r="I142" s="46">
        <v>49.67</v>
      </c>
    </row>
    <row r="143" spans="1:11">
      <c r="A143" t="s">
        <v>5384</v>
      </c>
      <c r="B143" s="1">
        <v>41564</v>
      </c>
      <c r="C143" t="s">
        <v>5385</v>
      </c>
      <c r="D143">
        <v>1</v>
      </c>
      <c r="E143" t="s">
        <v>5386</v>
      </c>
      <c r="F143" s="28" t="s">
        <v>2287</v>
      </c>
      <c r="G143" s="28" t="s">
        <v>2288</v>
      </c>
      <c r="H143" s="47">
        <f t="shared" si="5"/>
        <v>292.5</v>
      </c>
      <c r="I143" s="47">
        <v>46.8</v>
      </c>
    </row>
    <row r="144" spans="1:11">
      <c r="A144" t="s">
        <v>5384</v>
      </c>
      <c r="B144" s="1">
        <v>41564</v>
      </c>
      <c r="C144" t="s">
        <v>5385</v>
      </c>
      <c r="D144">
        <v>1</v>
      </c>
      <c r="E144" t="s">
        <v>5386</v>
      </c>
      <c r="F144" s="9" t="s">
        <v>5740</v>
      </c>
      <c r="G144" s="9" t="s">
        <v>5741</v>
      </c>
      <c r="H144" s="65">
        <f t="shared" si="5"/>
        <v>102.62500000000001</v>
      </c>
      <c r="I144" s="65">
        <v>16.420000000000002</v>
      </c>
      <c r="J144" s="14">
        <f>1058.25-H141-H142-H143-H144</f>
        <v>0</v>
      </c>
      <c r="K144" s="14">
        <f>169.32-I141-I142-I143-I144</f>
        <v>0</v>
      </c>
    </row>
    <row r="145" spans="1:11">
      <c r="A145" t="s">
        <v>497</v>
      </c>
      <c r="B145" s="1">
        <v>41578</v>
      </c>
      <c r="C145" t="s">
        <v>5514</v>
      </c>
      <c r="D145">
        <v>1</v>
      </c>
      <c r="E145" t="s">
        <v>5515</v>
      </c>
      <c r="F145" t="s">
        <v>946</v>
      </c>
      <c r="G145" t="s">
        <v>947</v>
      </c>
      <c r="H145" s="46">
        <f t="shared" si="5"/>
        <v>663.125</v>
      </c>
      <c r="I145" s="46">
        <v>106.1</v>
      </c>
      <c r="J145" s="3"/>
      <c r="K145" s="3"/>
    </row>
    <row r="146" spans="1:11">
      <c r="A146" t="s">
        <v>497</v>
      </c>
      <c r="B146" s="1">
        <v>41578</v>
      </c>
      <c r="C146" t="s">
        <v>5514</v>
      </c>
      <c r="D146">
        <v>1</v>
      </c>
      <c r="E146" t="s">
        <v>5515</v>
      </c>
      <c r="F146" s="9" t="s">
        <v>5742</v>
      </c>
      <c r="G146" s="9" t="s">
        <v>5743</v>
      </c>
      <c r="H146" s="65">
        <f t="shared" si="5"/>
        <v>130</v>
      </c>
      <c r="I146" s="65">
        <v>20.8</v>
      </c>
    </row>
    <row r="147" spans="1:11">
      <c r="A147" t="s">
        <v>497</v>
      </c>
      <c r="B147" s="1">
        <v>41578</v>
      </c>
      <c r="C147" t="s">
        <v>5514</v>
      </c>
      <c r="D147">
        <v>1</v>
      </c>
      <c r="E147" t="s">
        <v>5515</v>
      </c>
      <c r="F147" s="28" t="s">
        <v>2287</v>
      </c>
      <c r="G147" s="28" t="s">
        <v>2288</v>
      </c>
      <c r="H147" s="47">
        <f t="shared" si="5"/>
        <v>292.625</v>
      </c>
      <c r="I147" s="47">
        <v>46.82</v>
      </c>
      <c r="J147" s="14">
        <f>1085.75-H145-H146-H147</f>
        <v>0</v>
      </c>
      <c r="K147" s="14">
        <f>173.72-I145-I146-I147</f>
        <v>0</v>
      </c>
    </row>
    <row r="148" spans="1:11">
      <c r="A148" t="s">
        <v>500</v>
      </c>
      <c r="B148" s="1">
        <v>41578</v>
      </c>
      <c r="C148" t="s">
        <v>5516</v>
      </c>
      <c r="D148">
        <v>1</v>
      </c>
      <c r="E148" t="s">
        <v>5517</v>
      </c>
      <c r="F148" t="s">
        <v>946</v>
      </c>
      <c r="G148" t="s">
        <v>947</v>
      </c>
      <c r="H148" s="3">
        <f t="shared" si="5"/>
        <v>425.99999999999994</v>
      </c>
      <c r="I148" s="46">
        <v>68.16</v>
      </c>
      <c r="J148" s="3"/>
      <c r="K148" s="3"/>
    </row>
    <row r="149" spans="1:11">
      <c r="A149" t="s">
        <v>500</v>
      </c>
      <c r="B149" s="1">
        <v>41578</v>
      </c>
      <c r="C149" t="s">
        <v>5516</v>
      </c>
      <c r="D149">
        <v>1</v>
      </c>
      <c r="E149" t="s">
        <v>5517</v>
      </c>
      <c r="F149" t="s">
        <v>946</v>
      </c>
      <c r="G149" s="33" t="s">
        <v>947</v>
      </c>
      <c r="H149" s="46">
        <f t="shared" si="5"/>
        <v>237.12499999999997</v>
      </c>
      <c r="I149" s="46">
        <v>37.94</v>
      </c>
    </row>
    <row r="150" spans="1:11">
      <c r="A150" t="s">
        <v>500</v>
      </c>
      <c r="B150" s="1">
        <v>41578</v>
      </c>
      <c r="C150" t="s">
        <v>5516</v>
      </c>
      <c r="D150">
        <v>1</v>
      </c>
      <c r="E150" t="s">
        <v>5517</v>
      </c>
      <c r="F150" s="9" t="s">
        <v>5742</v>
      </c>
      <c r="G150" s="9" t="s">
        <v>5743</v>
      </c>
      <c r="H150" s="65">
        <f t="shared" si="5"/>
        <v>130</v>
      </c>
      <c r="I150" s="65">
        <v>20.8</v>
      </c>
    </row>
    <row r="151" spans="1:11">
      <c r="A151" t="s">
        <v>500</v>
      </c>
      <c r="B151" s="1">
        <v>41578</v>
      </c>
      <c r="C151" t="s">
        <v>5516</v>
      </c>
      <c r="D151">
        <v>1</v>
      </c>
      <c r="E151" t="s">
        <v>5517</v>
      </c>
      <c r="F151" s="28" t="s">
        <v>2287</v>
      </c>
      <c r="G151" s="28" t="s">
        <v>2288</v>
      </c>
      <c r="H151" s="47">
        <f t="shared" si="5"/>
        <v>292.625</v>
      </c>
      <c r="I151" s="47">
        <v>46.82</v>
      </c>
      <c r="J151" s="14">
        <f>1085.75-H148-H149-H150-H151</f>
        <v>0</v>
      </c>
      <c r="K151" s="14">
        <f>173.72-I148-I149-I150-I151</f>
        <v>0</v>
      </c>
    </row>
    <row r="152" spans="1:11">
      <c r="A152" t="s">
        <v>1440</v>
      </c>
      <c r="B152" s="1">
        <v>41576</v>
      </c>
      <c r="C152" t="s">
        <v>5476</v>
      </c>
      <c r="D152">
        <v>1</v>
      </c>
      <c r="E152" t="s">
        <v>5477</v>
      </c>
      <c r="F152" t="s">
        <v>946</v>
      </c>
      <c r="G152" t="s">
        <v>947</v>
      </c>
      <c r="H152" s="3">
        <f t="shared" si="5"/>
        <v>395.8125</v>
      </c>
      <c r="I152" s="46">
        <v>63.33</v>
      </c>
      <c r="J152" s="3"/>
      <c r="K152" s="3"/>
    </row>
    <row r="153" spans="1:11">
      <c r="A153" t="s">
        <v>1440</v>
      </c>
      <c r="B153" s="1">
        <v>41576</v>
      </c>
      <c r="C153" t="s">
        <v>5476</v>
      </c>
      <c r="D153">
        <v>1</v>
      </c>
      <c r="E153" t="s">
        <v>5477</v>
      </c>
      <c r="F153" s="28" t="s">
        <v>5744</v>
      </c>
      <c r="G153" s="28" t="s">
        <v>5745</v>
      </c>
      <c r="H153" s="47">
        <f t="shared" si="5"/>
        <v>41.8125</v>
      </c>
      <c r="I153" s="47">
        <v>6.69</v>
      </c>
      <c r="J153" s="14">
        <f>437.63-H152-H153</f>
        <v>4.9999999999954525E-3</v>
      </c>
      <c r="K153" s="14">
        <f>70.02-I152-I153</f>
        <v>0</v>
      </c>
    </row>
    <row r="154" spans="1:11">
      <c r="A154" t="s">
        <v>1447</v>
      </c>
      <c r="B154" s="1">
        <v>41576</v>
      </c>
      <c r="C154" t="s">
        <v>5482</v>
      </c>
      <c r="D154">
        <v>1</v>
      </c>
      <c r="E154" t="s">
        <v>5483</v>
      </c>
      <c r="F154" s="33" t="s">
        <v>946</v>
      </c>
      <c r="G154" s="33" t="s">
        <v>947</v>
      </c>
      <c r="H154" s="3">
        <f t="shared" si="4"/>
        <v>56.0625</v>
      </c>
      <c r="I154" s="3">
        <v>8.9700000000000006</v>
      </c>
    </row>
    <row r="155" spans="1:11">
      <c r="A155" t="s">
        <v>416</v>
      </c>
      <c r="B155" s="1">
        <v>41576</v>
      </c>
      <c r="C155" t="s">
        <v>5478</v>
      </c>
      <c r="D155">
        <v>1</v>
      </c>
      <c r="E155" t="s">
        <v>5479</v>
      </c>
      <c r="F155" s="28" t="s">
        <v>5746</v>
      </c>
      <c r="G155" s="28" t="s">
        <v>5747</v>
      </c>
      <c r="H155" s="47">
        <f t="shared" ref="H155:H156" si="6">I155/0.16</f>
        <v>50.187499999999993</v>
      </c>
      <c r="I155" s="47">
        <v>8.0299999999999994</v>
      </c>
      <c r="J155" s="3"/>
      <c r="K155" s="3"/>
    </row>
    <row r="156" spans="1:11">
      <c r="A156" t="s">
        <v>416</v>
      </c>
      <c r="B156" s="1">
        <v>41576</v>
      </c>
      <c r="C156" t="s">
        <v>5478</v>
      </c>
      <c r="D156">
        <v>1</v>
      </c>
      <c r="E156" t="s">
        <v>5479</v>
      </c>
      <c r="F156" t="s">
        <v>946</v>
      </c>
      <c r="G156" t="s">
        <v>947</v>
      </c>
      <c r="H156" s="3">
        <f t="shared" si="6"/>
        <v>176.8125</v>
      </c>
      <c r="I156" s="3">
        <v>28.29</v>
      </c>
      <c r="J156" s="14">
        <f>227-H155-H156</f>
        <v>0</v>
      </c>
      <c r="K156" s="14">
        <f>36.32-I155-I156</f>
        <v>0</v>
      </c>
    </row>
    <row r="157" spans="1:11">
      <c r="A157" t="s">
        <v>3120</v>
      </c>
      <c r="B157" s="1">
        <v>41576</v>
      </c>
      <c r="C157" t="s">
        <v>5473</v>
      </c>
      <c r="D157">
        <v>1</v>
      </c>
      <c r="E157" t="s">
        <v>5474</v>
      </c>
      <c r="F157" s="33" t="s">
        <v>946</v>
      </c>
      <c r="G157" s="33" t="s">
        <v>947</v>
      </c>
      <c r="H157" s="3">
        <f t="shared" si="4"/>
        <v>176.8125</v>
      </c>
      <c r="I157" s="3">
        <v>28.29</v>
      </c>
    </row>
    <row r="158" spans="1:11">
      <c r="A158" t="s">
        <v>5427</v>
      </c>
      <c r="B158" s="1">
        <v>41575</v>
      </c>
      <c r="C158">
        <v>9138</v>
      </c>
      <c r="D158">
        <v>1</v>
      </c>
      <c r="E158" t="s">
        <v>5428</v>
      </c>
      <c r="F158" s="9" t="s">
        <v>809</v>
      </c>
      <c r="G158" s="9" t="s">
        <v>5428</v>
      </c>
      <c r="H158" s="3">
        <f t="shared" si="4"/>
        <v>264.6875</v>
      </c>
      <c r="I158" s="3">
        <v>42.35</v>
      </c>
    </row>
    <row r="159" spans="1:11">
      <c r="A159" t="s">
        <v>5530</v>
      </c>
      <c r="B159" s="1">
        <v>41578</v>
      </c>
      <c r="C159" t="s">
        <v>5531</v>
      </c>
      <c r="D159">
        <v>1</v>
      </c>
      <c r="E159" t="s">
        <v>5532</v>
      </c>
      <c r="F159" s="12" t="s">
        <v>5748</v>
      </c>
      <c r="G159" s="9" t="s">
        <v>5532</v>
      </c>
      <c r="H159" s="3">
        <f t="shared" si="4"/>
        <v>200</v>
      </c>
      <c r="I159" s="3">
        <v>32</v>
      </c>
    </row>
    <row r="160" spans="1:11">
      <c r="A160" t="s">
        <v>2167</v>
      </c>
      <c r="B160" s="1">
        <v>41559</v>
      </c>
      <c r="C160" t="s">
        <v>5587</v>
      </c>
      <c r="D160">
        <v>2</v>
      </c>
      <c r="E160" t="s">
        <v>207</v>
      </c>
      <c r="F160" s="9" t="s">
        <v>806</v>
      </c>
      <c r="G160" s="9" t="s">
        <v>207</v>
      </c>
      <c r="H160" s="3">
        <f t="shared" si="4"/>
        <v>841</v>
      </c>
      <c r="I160" s="3">
        <v>134.56</v>
      </c>
    </row>
    <row r="161" spans="1:9">
      <c r="A161" t="s">
        <v>2169</v>
      </c>
      <c r="B161" s="1">
        <v>41559</v>
      </c>
      <c r="C161" t="s">
        <v>5588</v>
      </c>
      <c r="D161">
        <v>2</v>
      </c>
      <c r="E161" t="s">
        <v>207</v>
      </c>
      <c r="F161" s="9" t="s">
        <v>806</v>
      </c>
      <c r="G161" s="9" t="s">
        <v>207</v>
      </c>
      <c r="H161" s="3">
        <f t="shared" si="4"/>
        <v>4412.8125</v>
      </c>
      <c r="I161" s="3">
        <v>706.05</v>
      </c>
    </row>
    <row r="162" spans="1:9">
      <c r="A162" t="s">
        <v>152</v>
      </c>
      <c r="B162" s="1">
        <v>41559</v>
      </c>
      <c r="C162" t="s">
        <v>5589</v>
      </c>
      <c r="D162">
        <v>2</v>
      </c>
      <c r="E162" t="s">
        <v>207</v>
      </c>
      <c r="F162" s="9" t="s">
        <v>806</v>
      </c>
      <c r="G162" s="9" t="s">
        <v>207</v>
      </c>
      <c r="H162" s="3">
        <f t="shared" si="4"/>
        <v>882</v>
      </c>
      <c r="I162" s="3">
        <v>141.12</v>
      </c>
    </row>
    <row r="163" spans="1:9">
      <c r="A163" t="s">
        <v>347</v>
      </c>
      <c r="B163" s="1">
        <v>41572</v>
      </c>
      <c r="C163" t="s">
        <v>5638</v>
      </c>
      <c r="D163">
        <v>2</v>
      </c>
      <c r="E163" t="s">
        <v>207</v>
      </c>
      <c r="F163" s="9" t="s">
        <v>806</v>
      </c>
      <c r="G163" s="9" t="s">
        <v>207</v>
      </c>
      <c r="H163" s="3">
        <f t="shared" si="4"/>
        <v>1102.5</v>
      </c>
      <c r="I163" s="3">
        <v>176.4</v>
      </c>
    </row>
    <row r="164" spans="1:9">
      <c r="A164" t="s">
        <v>1457</v>
      </c>
      <c r="B164" s="1">
        <v>41576</v>
      </c>
      <c r="C164">
        <v>9207</v>
      </c>
      <c r="D164">
        <v>1</v>
      </c>
      <c r="E164" t="s">
        <v>5486</v>
      </c>
      <c r="F164" s="33" t="s">
        <v>946</v>
      </c>
      <c r="G164" s="33" t="s">
        <v>5749</v>
      </c>
      <c r="H164" s="3">
        <f t="shared" si="4"/>
        <v>43.9375</v>
      </c>
      <c r="I164" s="3">
        <v>7.03</v>
      </c>
    </row>
    <row r="165" spans="1:9">
      <c r="A165" t="s">
        <v>4896</v>
      </c>
      <c r="B165" s="1">
        <v>41575</v>
      </c>
      <c r="C165" t="s">
        <v>5424</v>
      </c>
      <c r="D165">
        <v>1</v>
      </c>
      <c r="E165" t="s">
        <v>5425</v>
      </c>
      <c r="F165" s="9" t="s">
        <v>811</v>
      </c>
      <c r="G165" s="9" t="s">
        <v>5425</v>
      </c>
      <c r="H165" s="3">
        <f t="shared" si="4"/>
        <v>54.437500000000007</v>
      </c>
      <c r="I165" s="3">
        <v>8.7100000000000009</v>
      </c>
    </row>
    <row r="166" spans="1:9">
      <c r="A166" t="s">
        <v>2479</v>
      </c>
      <c r="B166" s="1">
        <v>41575</v>
      </c>
      <c r="C166">
        <v>9135</v>
      </c>
      <c r="D166">
        <v>1</v>
      </c>
      <c r="E166" t="s">
        <v>2064</v>
      </c>
      <c r="F166" s="9" t="s">
        <v>2290</v>
      </c>
      <c r="G166" s="9" t="s">
        <v>2291</v>
      </c>
      <c r="H166" s="3">
        <f t="shared" si="4"/>
        <v>425</v>
      </c>
      <c r="I166" s="3">
        <v>68</v>
      </c>
    </row>
    <row r="167" spans="1:9">
      <c r="A167" t="s">
        <v>2831</v>
      </c>
      <c r="B167" s="1">
        <v>41578</v>
      </c>
      <c r="C167" t="s">
        <v>5654</v>
      </c>
      <c r="D167">
        <v>1</v>
      </c>
      <c r="E167" t="s">
        <v>2827</v>
      </c>
      <c r="F167" s="9" t="s">
        <v>2856</v>
      </c>
      <c r="G167" s="9" t="s">
        <v>2827</v>
      </c>
      <c r="H167" s="3">
        <f t="shared" si="4"/>
        <v>7000</v>
      </c>
      <c r="I167" s="3">
        <v>1120</v>
      </c>
    </row>
    <row r="168" spans="1:9">
      <c r="A168" t="s">
        <v>5655</v>
      </c>
      <c r="B168" s="1">
        <v>41578</v>
      </c>
      <c r="C168" t="s">
        <v>5656</v>
      </c>
      <c r="D168">
        <v>1</v>
      </c>
      <c r="E168" t="s">
        <v>2827</v>
      </c>
      <c r="F168" s="9" t="s">
        <v>2856</v>
      </c>
      <c r="G168" s="9" t="s">
        <v>2827</v>
      </c>
      <c r="H168" s="3">
        <f t="shared" si="4"/>
        <v>10000</v>
      </c>
      <c r="I168" s="3">
        <v>1600</v>
      </c>
    </row>
    <row r="169" spans="1:9">
      <c r="A169" t="s">
        <v>711</v>
      </c>
      <c r="B169" s="1">
        <v>41578</v>
      </c>
      <c r="C169" t="s">
        <v>5657</v>
      </c>
      <c r="D169">
        <v>1</v>
      </c>
      <c r="E169" t="s">
        <v>2827</v>
      </c>
      <c r="F169" s="9" t="s">
        <v>2856</v>
      </c>
      <c r="G169" s="9" t="s">
        <v>2827</v>
      </c>
      <c r="H169" s="3">
        <f t="shared" si="4"/>
        <v>5000</v>
      </c>
      <c r="I169" s="3">
        <v>800</v>
      </c>
    </row>
    <row r="170" spans="1:9">
      <c r="A170" t="s">
        <v>4308</v>
      </c>
      <c r="B170" s="1">
        <v>41578</v>
      </c>
      <c r="C170" t="s">
        <v>5658</v>
      </c>
      <c r="D170">
        <v>1</v>
      </c>
      <c r="E170" t="s">
        <v>2827</v>
      </c>
      <c r="F170" s="9" t="s">
        <v>2856</v>
      </c>
      <c r="G170" s="9" t="s">
        <v>2827</v>
      </c>
      <c r="H170" s="3">
        <f t="shared" ref="H170:H251" si="7">+I170/0.16</f>
        <v>5000</v>
      </c>
      <c r="I170" s="3">
        <v>800</v>
      </c>
    </row>
    <row r="171" spans="1:9">
      <c r="A171" t="s">
        <v>4621</v>
      </c>
      <c r="B171" s="1">
        <v>41549</v>
      </c>
      <c r="C171" t="s">
        <v>5556</v>
      </c>
      <c r="D171">
        <v>1</v>
      </c>
      <c r="E171" t="s">
        <v>5557</v>
      </c>
      <c r="F171" s="8" t="s">
        <v>5750</v>
      </c>
      <c r="G171" s="9" t="s">
        <v>5751</v>
      </c>
      <c r="H171" s="3">
        <f t="shared" si="7"/>
        <v>13979.0625</v>
      </c>
      <c r="I171" s="3">
        <v>2236.65</v>
      </c>
    </row>
    <row r="172" spans="1:9">
      <c r="A172" t="s">
        <v>227</v>
      </c>
      <c r="B172" s="1">
        <v>41565</v>
      </c>
      <c r="C172" t="s">
        <v>5615</v>
      </c>
      <c r="D172">
        <v>1</v>
      </c>
      <c r="E172" t="s">
        <v>5616</v>
      </c>
      <c r="F172" s="64" t="s">
        <v>772</v>
      </c>
      <c r="G172" s="9" t="s">
        <v>29</v>
      </c>
      <c r="H172" s="3">
        <f t="shared" si="7"/>
        <v>30953.562499999996</v>
      </c>
      <c r="I172" s="3">
        <v>4952.57</v>
      </c>
    </row>
    <row r="173" spans="1:9">
      <c r="A173" t="s">
        <v>5712</v>
      </c>
      <c r="B173" s="1">
        <v>41577</v>
      </c>
      <c r="C173" t="s">
        <v>5713</v>
      </c>
      <c r="D173">
        <v>1</v>
      </c>
      <c r="E173" t="s">
        <v>5714</v>
      </c>
      <c r="F173" s="67" t="s">
        <v>829</v>
      </c>
      <c r="G173" s="68" t="s">
        <v>6</v>
      </c>
      <c r="H173" s="3">
        <f t="shared" si="7"/>
        <v>446.375</v>
      </c>
      <c r="I173" s="3">
        <v>71.42</v>
      </c>
    </row>
    <row r="174" spans="1:9">
      <c r="A174" t="s">
        <v>5345</v>
      </c>
      <c r="B174" s="1">
        <v>41562</v>
      </c>
      <c r="C174" t="s">
        <v>5346</v>
      </c>
      <c r="D174">
        <v>1</v>
      </c>
      <c r="E174" t="s">
        <v>5347</v>
      </c>
      <c r="F174" s="9" t="s">
        <v>921</v>
      </c>
      <c r="G174" s="9" t="s">
        <v>5752</v>
      </c>
      <c r="H174" s="3">
        <f t="shared" si="7"/>
        <v>1587.625</v>
      </c>
      <c r="I174" s="3">
        <v>254.02</v>
      </c>
    </row>
    <row r="175" spans="1:9">
      <c r="A175" t="s">
        <v>705</v>
      </c>
      <c r="B175" s="1">
        <v>41578</v>
      </c>
      <c r="C175" t="s">
        <v>5652</v>
      </c>
      <c r="D175">
        <v>1</v>
      </c>
      <c r="E175" t="s">
        <v>5653</v>
      </c>
      <c r="F175" t="s">
        <v>5168</v>
      </c>
      <c r="G175" t="s">
        <v>7071</v>
      </c>
      <c r="H175" s="3">
        <f t="shared" si="7"/>
        <v>440</v>
      </c>
      <c r="I175" s="3">
        <v>70.400000000000006</v>
      </c>
    </row>
    <row r="176" spans="1:9">
      <c r="A176" t="s">
        <v>1147</v>
      </c>
      <c r="B176" s="1">
        <v>41562</v>
      </c>
      <c r="C176" t="s">
        <v>5604</v>
      </c>
      <c r="D176">
        <v>1</v>
      </c>
      <c r="E176" t="s">
        <v>1128</v>
      </c>
      <c r="F176" s="11" t="s">
        <v>802</v>
      </c>
      <c r="G176" s="11" t="s">
        <v>226</v>
      </c>
      <c r="H176" s="3">
        <f t="shared" si="7"/>
        <v>298</v>
      </c>
      <c r="I176" s="3">
        <v>47.68</v>
      </c>
    </row>
    <row r="177" spans="1:12">
      <c r="A177" t="s">
        <v>1445</v>
      </c>
      <c r="B177" s="1">
        <v>41576</v>
      </c>
      <c r="C177" t="s">
        <v>5480</v>
      </c>
      <c r="D177">
        <v>1</v>
      </c>
      <c r="E177" t="s">
        <v>5481</v>
      </c>
      <c r="F177" s="33" t="s">
        <v>946</v>
      </c>
      <c r="G177" s="33" t="s">
        <v>947</v>
      </c>
      <c r="H177" s="3">
        <f t="shared" ref="H177:H187" si="8">I177/0.16</f>
        <v>165.12499999999997</v>
      </c>
      <c r="I177" s="46">
        <f>26.22+0.2</f>
        <v>26.419999999999998</v>
      </c>
      <c r="J177" s="3"/>
      <c r="K177" s="3"/>
    </row>
    <row r="178" spans="1:12">
      <c r="A178" t="s">
        <v>1445</v>
      </c>
      <c r="B178" s="1">
        <v>41576</v>
      </c>
      <c r="C178" t="s">
        <v>5480</v>
      </c>
      <c r="D178">
        <v>1</v>
      </c>
      <c r="E178" t="s">
        <v>5481</v>
      </c>
      <c r="F178" s="33" t="s">
        <v>946</v>
      </c>
      <c r="G178" s="33" t="s">
        <v>947</v>
      </c>
      <c r="H178" s="46">
        <f t="shared" si="8"/>
        <v>221.49999999999997</v>
      </c>
      <c r="I178" s="46">
        <v>35.44</v>
      </c>
    </row>
    <row r="179" spans="1:12">
      <c r="A179" t="s">
        <v>1445</v>
      </c>
      <c r="B179" s="1">
        <v>41576</v>
      </c>
      <c r="C179" t="s">
        <v>5480</v>
      </c>
      <c r="D179">
        <v>1</v>
      </c>
      <c r="E179" t="s">
        <v>5481</v>
      </c>
      <c r="F179" s="33" t="s">
        <v>946</v>
      </c>
      <c r="G179" s="33" t="s">
        <v>947</v>
      </c>
      <c r="H179" s="46">
        <f t="shared" si="8"/>
        <v>1117.75</v>
      </c>
      <c r="I179" s="46">
        <v>178.84</v>
      </c>
    </row>
    <row r="180" spans="1:12">
      <c r="A180" t="s">
        <v>1445</v>
      </c>
      <c r="B180" s="1">
        <v>41576</v>
      </c>
      <c r="C180" t="s">
        <v>5480</v>
      </c>
      <c r="D180">
        <v>1</v>
      </c>
      <c r="E180" t="s">
        <v>5481</v>
      </c>
      <c r="F180" s="28" t="s">
        <v>5753</v>
      </c>
      <c r="G180" s="28" t="s">
        <v>5754</v>
      </c>
      <c r="H180" s="47">
        <f t="shared" si="8"/>
        <v>459.81249999999994</v>
      </c>
      <c r="I180" s="47">
        <v>73.569999999999993</v>
      </c>
    </row>
    <row r="181" spans="1:12">
      <c r="A181" t="s">
        <v>1445</v>
      </c>
      <c r="B181" s="1">
        <v>41576</v>
      </c>
      <c r="C181" t="s">
        <v>5480</v>
      </c>
      <c r="D181">
        <v>1</v>
      </c>
      <c r="E181" t="s">
        <v>5481</v>
      </c>
      <c r="F181" s="9" t="s">
        <v>5175</v>
      </c>
      <c r="G181" s="9" t="s">
        <v>5755</v>
      </c>
      <c r="H181" s="65">
        <f t="shared" si="8"/>
        <v>103.49999999999999</v>
      </c>
      <c r="I181" s="65">
        <v>16.559999999999999</v>
      </c>
    </row>
    <row r="182" spans="1:12">
      <c r="A182" t="s">
        <v>1445</v>
      </c>
      <c r="B182" s="1">
        <v>41576</v>
      </c>
      <c r="C182" t="s">
        <v>5480</v>
      </c>
      <c r="D182">
        <v>1</v>
      </c>
      <c r="E182" t="s">
        <v>5481</v>
      </c>
      <c r="F182" s="28" t="s">
        <v>5756</v>
      </c>
      <c r="G182" s="28" t="s">
        <v>2276</v>
      </c>
      <c r="H182" s="47">
        <f t="shared" si="8"/>
        <v>501.625</v>
      </c>
      <c r="I182" s="47">
        <v>80.260000000000005</v>
      </c>
    </row>
    <row r="183" spans="1:12">
      <c r="A183" t="s">
        <v>1445</v>
      </c>
      <c r="B183" s="1">
        <v>41576</v>
      </c>
      <c r="C183" t="s">
        <v>5480</v>
      </c>
      <c r="D183">
        <v>1</v>
      </c>
      <c r="E183" t="s">
        <v>5481</v>
      </c>
      <c r="F183" s="9" t="s">
        <v>5757</v>
      </c>
      <c r="G183" s="9" t="s">
        <v>5758</v>
      </c>
      <c r="H183" s="65">
        <f t="shared" si="8"/>
        <v>376.1875</v>
      </c>
      <c r="I183" s="65">
        <v>60.19</v>
      </c>
    </row>
    <row r="184" spans="1:12">
      <c r="A184" t="s">
        <v>1445</v>
      </c>
      <c r="B184" s="1">
        <v>41576</v>
      </c>
      <c r="C184" t="s">
        <v>5480</v>
      </c>
      <c r="D184">
        <v>1</v>
      </c>
      <c r="E184" t="s">
        <v>5481</v>
      </c>
      <c r="F184" s="9" t="s">
        <v>5759</v>
      </c>
      <c r="G184" s="9" t="s">
        <v>5760</v>
      </c>
      <c r="H184" s="65">
        <f t="shared" si="8"/>
        <v>56.0625</v>
      </c>
      <c r="I184" s="65">
        <v>8.9700000000000006</v>
      </c>
    </row>
    <row r="185" spans="1:12">
      <c r="A185" t="s">
        <v>1445</v>
      </c>
      <c r="B185" s="1">
        <v>41576</v>
      </c>
      <c r="C185" t="s">
        <v>5480</v>
      </c>
      <c r="D185">
        <v>1</v>
      </c>
      <c r="E185" t="s">
        <v>5481</v>
      </c>
      <c r="F185" s="9" t="s">
        <v>5761</v>
      </c>
      <c r="G185" s="9" t="s">
        <v>5762</v>
      </c>
      <c r="H185" s="65">
        <f t="shared" si="8"/>
        <v>334.375</v>
      </c>
      <c r="I185" s="65">
        <v>53.5</v>
      </c>
    </row>
    <row r="186" spans="1:12">
      <c r="A186" t="s">
        <v>1445</v>
      </c>
      <c r="B186" s="1">
        <v>41576</v>
      </c>
      <c r="C186" t="s">
        <v>5480</v>
      </c>
      <c r="D186">
        <v>1</v>
      </c>
      <c r="E186" t="s">
        <v>5481</v>
      </c>
      <c r="F186" s="9" t="s">
        <v>5763</v>
      </c>
      <c r="G186" s="9" t="s">
        <v>5764</v>
      </c>
      <c r="H186" s="65">
        <f t="shared" si="8"/>
        <v>107.74999999999999</v>
      </c>
      <c r="I186" s="65">
        <v>17.239999999999998</v>
      </c>
    </row>
    <row r="187" spans="1:12">
      <c r="A187" t="s">
        <v>1445</v>
      </c>
      <c r="B187" s="1">
        <v>41576</v>
      </c>
      <c r="C187" t="s">
        <v>5480</v>
      </c>
      <c r="D187">
        <v>1</v>
      </c>
      <c r="E187" t="s">
        <v>5481</v>
      </c>
      <c r="F187" s="33" t="s">
        <v>5765</v>
      </c>
      <c r="G187" s="33" t="s">
        <v>5766</v>
      </c>
      <c r="H187" s="3">
        <f t="shared" si="8"/>
        <v>228.87499999999997</v>
      </c>
      <c r="I187" s="46">
        <v>36.619999999999997</v>
      </c>
      <c r="J187" s="14">
        <f>3672.56-H177-H178-H179-H180-H181-H182-H183-H184-H185-H186-H187</f>
        <v>-2.500000000026148E-3</v>
      </c>
      <c r="K187" s="14">
        <f>587.61-I177-I178-I179-I180-I181-I182-I183-I184-I185-I186-I187</f>
        <v>0</v>
      </c>
      <c r="L187" t="s">
        <v>900</v>
      </c>
    </row>
    <row r="188" spans="1:12">
      <c r="A188" t="s">
        <v>5342</v>
      </c>
      <c r="B188" s="1">
        <v>41562</v>
      </c>
      <c r="C188" t="s">
        <v>5343</v>
      </c>
      <c r="D188">
        <v>1</v>
      </c>
      <c r="E188" t="s">
        <v>5344</v>
      </c>
      <c r="F188" s="9" t="s">
        <v>921</v>
      </c>
      <c r="G188" s="9" t="s">
        <v>5752</v>
      </c>
      <c r="H188" s="3">
        <f t="shared" si="7"/>
        <v>3571.125</v>
      </c>
      <c r="I188" s="3">
        <v>571.38</v>
      </c>
    </row>
    <row r="189" spans="1:12">
      <c r="A189" t="s">
        <v>5284</v>
      </c>
      <c r="B189" s="1">
        <v>41551</v>
      </c>
      <c r="C189" t="s">
        <v>5282</v>
      </c>
      <c r="D189">
        <v>1</v>
      </c>
      <c r="E189" t="s">
        <v>5285</v>
      </c>
      <c r="F189" s="36" t="s">
        <v>2922</v>
      </c>
      <c r="G189" s="9" t="s">
        <v>2923</v>
      </c>
      <c r="H189" s="65">
        <f t="shared" ref="H189:H192" si="9">I189/0.16</f>
        <v>1663.8750000000002</v>
      </c>
      <c r="I189" s="65">
        <v>266.22000000000003</v>
      </c>
      <c r="J189" s="3"/>
      <c r="K189" s="3"/>
    </row>
    <row r="190" spans="1:12">
      <c r="A190" t="s">
        <v>5284</v>
      </c>
      <c r="B190" s="1">
        <v>41551</v>
      </c>
      <c r="C190" t="s">
        <v>5282</v>
      </c>
      <c r="D190">
        <v>1</v>
      </c>
      <c r="E190" t="s">
        <v>5285</v>
      </c>
      <c r="F190" s="36" t="s">
        <v>2924</v>
      </c>
      <c r="G190" s="9" t="s">
        <v>2925</v>
      </c>
      <c r="H190" s="65">
        <f t="shared" si="9"/>
        <v>66.375</v>
      </c>
      <c r="I190" s="65">
        <v>10.62</v>
      </c>
    </row>
    <row r="191" spans="1:12">
      <c r="A191" t="s">
        <v>5284</v>
      </c>
      <c r="B191" s="1">
        <v>41551</v>
      </c>
      <c r="C191" t="s">
        <v>5282</v>
      </c>
      <c r="D191">
        <v>1</v>
      </c>
      <c r="E191" t="s">
        <v>5285</v>
      </c>
      <c r="F191" s="36" t="s">
        <v>2296</v>
      </c>
      <c r="G191" s="9" t="s">
        <v>2297</v>
      </c>
      <c r="H191" s="65">
        <f t="shared" si="9"/>
        <v>198.375</v>
      </c>
      <c r="I191" s="65">
        <v>31.74</v>
      </c>
    </row>
    <row r="192" spans="1:12">
      <c r="A192" t="s">
        <v>5284</v>
      </c>
      <c r="B192" s="1">
        <v>41551</v>
      </c>
      <c r="C192" t="s">
        <v>5282</v>
      </c>
      <c r="D192">
        <v>1</v>
      </c>
      <c r="E192" t="s">
        <v>5285</v>
      </c>
      <c r="F192" s="36" t="s">
        <v>2910</v>
      </c>
      <c r="G192" s="9" t="s">
        <v>5767</v>
      </c>
      <c r="H192" s="65">
        <f t="shared" si="9"/>
        <v>94.8125</v>
      </c>
      <c r="I192" s="65">
        <v>15.17</v>
      </c>
      <c r="J192" s="14">
        <f>2023.44-H189-H190-H191-H192</f>
        <v>2.499999999827196E-3</v>
      </c>
      <c r="K192" s="14">
        <f>323.75-I189-I190-I191-I192</f>
        <v>-2.3092638912203256E-14</v>
      </c>
    </row>
    <row r="193" spans="1:12">
      <c r="A193" t="s">
        <v>5414</v>
      </c>
      <c r="B193" s="1">
        <v>41572</v>
      </c>
      <c r="C193" t="s">
        <v>5415</v>
      </c>
      <c r="D193">
        <v>1</v>
      </c>
      <c r="E193" t="s">
        <v>5</v>
      </c>
      <c r="F193" s="18" t="s">
        <v>816</v>
      </c>
      <c r="G193" s="19" t="s">
        <v>817</v>
      </c>
      <c r="H193" s="3">
        <f t="shared" si="7"/>
        <v>107142.875</v>
      </c>
      <c r="I193" s="3">
        <v>17142.86</v>
      </c>
    </row>
    <row r="194" spans="1:12">
      <c r="A194" t="s">
        <v>5535</v>
      </c>
      <c r="B194" s="1">
        <v>41578</v>
      </c>
      <c r="C194" t="s">
        <v>5536</v>
      </c>
      <c r="D194">
        <v>1</v>
      </c>
      <c r="E194" t="s">
        <v>5537</v>
      </c>
      <c r="F194" s="12" t="s">
        <v>1618</v>
      </c>
      <c r="G194" s="9" t="s">
        <v>5768</v>
      </c>
      <c r="H194" s="3">
        <f t="shared" si="7"/>
        <v>200</v>
      </c>
      <c r="I194" s="3">
        <v>32</v>
      </c>
    </row>
    <row r="195" spans="1:12">
      <c r="A195" t="s">
        <v>5412</v>
      </c>
      <c r="B195" s="1">
        <v>41572</v>
      </c>
      <c r="C195" t="s">
        <v>5413</v>
      </c>
      <c r="D195">
        <v>1</v>
      </c>
      <c r="E195" t="s">
        <v>2</v>
      </c>
      <c r="F195" s="18" t="s">
        <v>843</v>
      </c>
      <c r="G195" s="19" t="s">
        <v>844</v>
      </c>
      <c r="H195" s="3">
        <f t="shared" si="7"/>
        <v>107142.875</v>
      </c>
      <c r="I195" s="3">
        <v>17142.86</v>
      </c>
    </row>
    <row r="196" spans="1:12">
      <c r="A196" t="s">
        <v>1164</v>
      </c>
      <c r="B196" s="1">
        <v>41562</v>
      </c>
      <c r="C196" t="s">
        <v>5338</v>
      </c>
      <c r="D196">
        <v>1</v>
      </c>
      <c r="E196" t="s">
        <v>57</v>
      </c>
      <c r="F196" s="9" t="s">
        <v>921</v>
      </c>
      <c r="G196" s="9" t="s">
        <v>5752</v>
      </c>
      <c r="H196" s="3">
        <f t="shared" si="7"/>
        <v>20068.375</v>
      </c>
      <c r="I196" s="3">
        <v>3210.94</v>
      </c>
    </row>
    <row r="197" spans="1:12">
      <c r="A197" t="s">
        <v>5281</v>
      </c>
      <c r="B197" s="1">
        <v>41551</v>
      </c>
      <c r="C197" t="s">
        <v>5282</v>
      </c>
      <c r="D197">
        <v>1</v>
      </c>
      <c r="E197" t="s">
        <v>5283</v>
      </c>
      <c r="F197" s="64" t="s">
        <v>2924</v>
      </c>
      <c r="G197" s="9" t="s">
        <v>2925</v>
      </c>
      <c r="H197" s="65">
        <f t="shared" ref="H197:H199" si="10">I197/0.16</f>
        <v>106.875</v>
      </c>
      <c r="I197" s="65">
        <v>17.100000000000001</v>
      </c>
      <c r="J197" s="3"/>
      <c r="K197" s="3"/>
    </row>
    <row r="198" spans="1:12">
      <c r="A198" t="s">
        <v>5281</v>
      </c>
      <c r="B198" s="1">
        <v>41551</v>
      </c>
      <c r="C198" t="s">
        <v>5282</v>
      </c>
      <c r="D198">
        <v>1</v>
      </c>
      <c r="E198" t="s">
        <v>5283</v>
      </c>
      <c r="F198" s="64" t="s">
        <v>2910</v>
      </c>
      <c r="G198" s="9" t="s">
        <v>5767</v>
      </c>
      <c r="H198" s="65">
        <f t="shared" si="10"/>
        <v>53.4375</v>
      </c>
      <c r="I198" s="65">
        <v>8.5500000000000007</v>
      </c>
    </row>
    <row r="199" spans="1:12">
      <c r="A199" t="s">
        <v>5281</v>
      </c>
      <c r="B199" s="1">
        <v>41551</v>
      </c>
      <c r="C199" t="s">
        <v>5282</v>
      </c>
      <c r="D199">
        <v>1</v>
      </c>
      <c r="E199" t="s">
        <v>5283</v>
      </c>
      <c r="F199" s="64" t="s">
        <v>2922</v>
      </c>
      <c r="G199" s="9" t="s">
        <v>2923</v>
      </c>
      <c r="H199" s="65">
        <f t="shared" si="10"/>
        <v>2218.5</v>
      </c>
      <c r="I199" s="65">
        <v>354.96</v>
      </c>
      <c r="J199" s="14">
        <f>2378.81-H197-H198-H199</f>
        <v>-2.5000000000545697E-3</v>
      </c>
      <c r="K199" s="14">
        <f>380.61-I197-I198-I199</f>
        <v>0</v>
      </c>
    </row>
    <row r="200" spans="1:12">
      <c r="A200" t="s">
        <v>95</v>
      </c>
      <c r="B200" s="1">
        <v>41557</v>
      </c>
      <c r="C200" t="s">
        <v>5578</v>
      </c>
      <c r="D200">
        <v>1</v>
      </c>
      <c r="E200" t="s">
        <v>1065</v>
      </c>
      <c r="F200" s="28" t="s">
        <v>943</v>
      </c>
      <c r="G200" s="28" t="s">
        <v>3761</v>
      </c>
      <c r="H200" s="3">
        <f t="shared" si="7"/>
        <v>80.25</v>
      </c>
      <c r="I200" s="3">
        <v>12.84</v>
      </c>
    </row>
    <row r="201" spans="1:12">
      <c r="A201" t="s">
        <v>2231</v>
      </c>
      <c r="B201" s="1">
        <v>41572</v>
      </c>
      <c r="C201" t="s">
        <v>5636</v>
      </c>
      <c r="D201">
        <v>1</v>
      </c>
      <c r="E201" t="s">
        <v>1065</v>
      </c>
      <c r="F201" s="28" t="s">
        <v>943</v>
      </c>
      <c r="G201" s="28" t="s">
        <v>3761</v>
      </c>
      <c r="H201" s="3">
        <f t="shared" si="7"/>
        <v>1290.4375</v>
      </c>
      <c r="I201" s="3">
        <v>206.47</v>
      </c>
    </row>
    <row r="202" spans="1:12">
      <c r="A202" t="s">
        <v>92</v>
      </c>
      <c r="B202" s="1">
        <v>41557</v>
      </c>
      <c r="C202" t="s">
        <v>5577</v>
      </c>
      <c r="D202">
        <v>1</v>
      </c>
      <c r="E202" t="s">
        <v>83</v>
      </c>
      <c r="F202" s="28" t="s">
        <v>877</v>
      </c>
      <c r="G202" s="28" t="s">
        <v>223</v>
      </c>
      <c r="H202" s="3">
        <f t="shared" si="7"/>
        <v>7198.5625</v>
      </c>
      <c r="I202" s="3">
        <v>1151.77</v>
      </c>
    </row>
    <row r="203" spans="1:12">
      <c r="A203" t="s">
        <v>3336</v>
      </c>
      <c r="B203" s="1">
        <v>41578</v>
      </c>
      <c r="C203" t="s">
        <v>5670</v>
      </c>
      <c r="D203">
        <v>1</v>
      </c>
      <c r="E203" t="s">
        <v>83</v>
      </c>
      <c r="F203" s="28" t="s">
        <v>877</v>
      </c>
      <c r="G203" s="28" t="s">
        <v>223</v>
      </c>
      <c r="H203" s="3">
        <f t="shared" si="7"/>
        <v>18218.25</v>
      </c>
      <c r="I203" s="3">
        <v>2914.92</v>
      </c>
    </row>
    <row r="204" spans="1:12">
      <c r="A204" t="s">
        <v>5546</v>
      </c>
      <c r="B204" s="1">
        <v>41578</v>
      </c>
      <c r="C204" t="s">
        <v>5547</v>
      </c>
      <c r="D204">
        <v>1</v>
      </c>
      <c r="E204" t="s">
        <v>5548</v>
      </c>
      <c r="F204" s="9" t="s">
        <v>1717</v>
      </c>
      <c r="G204" s="9" t="s">
        <v>1718</v>
      </c>
      <c r="H204" s="65">
        <f t="shared" ref="H204:H207" si="11">I204/0.16</f>
        <v>1495.375</v>
      </c>
      <c r="I204" s="65">
        <v>239.26</v>
      </c>
      <c r="J204" s="3"/>
      <c r="K204" s="3"/>
    </row>
    <row r="205" spans="1:12">
      <c r="A205" t="s">
        <v>5546</v>
      </c>
      <c r="B205" s="1">
        <v>41578</v>
      </c>
      <c r="C205" t="s">
        <v>5547</v>
      </c>
      <c r="D205">
        <v>1</v>
      </c>
      <c r="E205" t="s">
        <v>5548</v>
      </c>
      <c r="F205" t="s">
        <v>946</v>
      </c>
      <c r="G205" t="s">
        <v>947</v>
      </c>
      <c r="H205" s="3">
        <f t="shared" si="11"/>
        <v>582.8125</v>
      </c>
      <c r="I205" s="46">
        <f>75.32+17.93</f>
        <v>93.25</v>
      </c>
    </row>
    <row r="206" spans="1:12">
      <c r="A206" t="s">
        <v>5546</v>
      </c>
      <c r="B206" s="1">
        <v>41578</v>
      </c>
      <c r="C206" t="s">
        <v>5547</v>
      </c>
      <c r="D206">
        <v>1</v>
      </c>
      <c r="E206" t="s">
        <v>5548</v>
      </c>
      <c r="F206" s="9" t="s">
        <v>1713</v>
      </c>
      <c r="G206" s="9" t="s">
        <v>2914</v>
      </c>
      <c r="H206" s="65">
        <f t="shared" si="11"/>
        <v>221.5625</v>
      </c>
      <c r="I206" s="65">
        <v>35.450000000000003</v>
      </c>
    </row>
    <row r="207" spans="1:12">
      <c r="A207" t="s">
        <v>5546</v>
      </c>
      <c r="B207" s="1">
        <v>41578</v>
      </c>
      <c r="C207" t="s">
        <v>5547</v>
      </c>
      <c r="D207">
        <v>1</v>
      </c>
      <c r="E207" t="s">
        <v>5548</v>
      </c>
      <c r="F207" s="28" t="s">
        <v>2277</v>
      </c>
      <c r="G207" s="28" t="s">
        <v>2278</v>
      </c>
      <c r="H207" s="47">
        <f t="shared" si="11"/>
        <v>334.75</v>
      </c>
      <c r="I207" s="47">
        <v>53.56</v>
      </c>
      <c r="J207" s="14">
        <f>2634.5-H204-H205-H206-H207</f>
        <v>0</v>
      </c>
      <c r="K207" s="14">
        <f>421.52-I204-I205-I206-I207</f>
        <v>0</v>
      </c>
      <c r="L207" t="s">
        <v>900</v>
      </c>
    </row>
    <row r="208" spans="1:12">
      <c r="A208" t="s">
        <v>3500</v>
      </c>
      <c r="B208" s="1">
        <v>41575</v>
      </c>
      <c r="C208">
        <v>9131</v>
      </c>
      <c r="D208">
        <v>1</v>
      </c>
      <c r="E208" t="s">
        <v>1449</v>
      </c>
      <c r="F208" s="9" t="s">
        <v>1615</v>
      </c>
      <c r="G208" s="9" t="s">
        <v>1449</v>
      </c>
      <c r="H208" s="3">
        <f t="shared" si="7"/>
        <v>133.125</v>
      </c>
      <c r="I208" s="3">
        <v>21.3</v>
      </c>
    </row>
    <row r="209" spans="1:9">
      <c r="A209" t="s">
        <v>5462</v>
      </c>
      <c r="B209" s="1">
        <v>41576</v>
      </c>
      <c r="C209">
        <v>9183</v>
      </c>
      <c r="D209">
        <v>1</v>
      </c>
      <c r="E209" t="s">
        <v>1449</v>
      </c>
      <c r="F209" s="12" t="s">
        <v>1615</v>
      </c>
      <c r="G209" s="9" t="s">
        <v>1449</v>
      </c>
      <c r="H209" s="3">
        <f t="shared" si="7"/>
        <v>112.8125</v>
      </c>
      <c r="I209" s="3">
        <v>18.05</v>
      </c>
    </row>
    <row r="210" spans="1:9">
      <c r="A210" t="s">
        <v>3463</v>
      </c>
      <c r="B210" s="1">
        <v>41564</v>
      </c>
      <c r="C210" t="s">
        <v>5357</v>
      </c>
      <c r="D210">
        <v>1</v>
      </c>
      <c r="E210" t="s">
        <v>5358</v>
      </c>
      <c r="F210" s="9" t="s">
        <v>2302</v>
      </c>
      <c r="G210" s="9" t="s">
        <v>5358</v>
      </c>
      <c r="H210" s="3">
        <f t="shared" si="7"/>
        <v>268.25</v>
      </c>
      <c r="I210" s="3">
        <v>42.92</v>
      </c>
    </row>
    <row r="211" spans="1:9">
      <c r="A211" t="s">
        <v>387</v>
      </c>
      <c r="B211" s="1">
        <v>41575</v>
      </c>
      <c r="C211" t="s">
        <v>5456</v>
      </c>
      <c r="D211">
        <v>1</v>
      </c>
      <c r="E211" t="s">
        <v>5358</v>
      </c>
      <c r="F211" s="12" t="s">
        <v>2302</v>
      </c>
      <c r="G211" s="9" t="s">
        <v>5358</v>
      </c>
      <c r="H211" s="3">
        <f t="shared" si="7"/>
        <v>1294.625</v>
      </c>
      <c r="I211" s="3">
        <v>207.14</v>
      </c>
    </row>
    <row r="212" spans="1:9">
      <c r="A212" t="s">
        <v>4974</v>
      </c>
      <c r="B212" s="1">
        <v>41578</v>
      </c>
      <c r="C212">
        <v>9228</v>
      </c>
      <c r="D212">
        <v>1</v>
      </c>
      <c r="E212" t="s">
        <v>5505</v>
      </c>
      <c r="F212" s="9" t="s">
        <v>5769</v>
      </c>
      <c r="G212" s="9" t="s">
        <v>5505</v>
      </c>
      <c r="H212" s="3">
        <f t="shared" si="7"/>
        <v>607.75</v>
      </c>
      <c r="I212" s="3">
        <v>97.24</v>
      </c>
    </row>
    <row r="213" spans="1:9">
      <c r="A213" t="s">
        <v>5675</v>
      </c>
      <c r="B213" s="1">
        <v>41578</v>
      </c>
      <c r="C213" t="s">
        <v>5676</v>
      </c>
      <c r="D213">
        <v>1</v>
      </c>
      <c r="E213" t="s">
        <v>5149</v>
      </c>
      <c r="F213" s="9" t="s">
        <v>5190</v>
      </c>
      <c r="G213" s="9" t="s">
        <v>5149</v>
      </c>
      <c r="H213" s="3">
        <f t="shared" si="7"/>
        <v>8025</v>
      </c>
      <c r="I213" s="3">
        <v>1284</v>
      </c>
    </row>
    <row r="214" spans="1:9">
      <c r="A214" t="s">
        <v>5455</v>
      </c>
      <c r="B214" s="1">
        <v>41575</v>
      </c>
      <c r="C214">
        <v>9167</v>
      </c>
      <c r="D214">
        <v>1</v>
      </c>
      <c r="E214" t="s">
        <v>584</v>
      </c>
      <c r="F214" s="12" t="s">
        <v>818</v>
      </c>
      <c r="G214" s="9" t="s">
        <v>584</v>
      </c>
      <c r="H214" s="3">
        <f t="shared" si="7"/>
        <v>276</v>
      </c>
      <c r="I214" s="3">
        <v>44.16</v>
      </c>
    </row>
    <row r="215" spans="1:9">
      <c r="A215" t="s">
        <v>5457</v>
      </c>
      <c r="B215" s="1">
        <v>41575</v>
      </c>
      <c r="C215">
        <v>9170</v>
      </c>
      <c r="D215">
        <v>1</v>
      </c>
      <c r="E215" t="s">
        <v>584</v>
      </c>
      <c r="F215" s="12" t="s">
        <v>818</v>
      </c>
      <c r="G215" s="9" t="s">
        <v>584</v>
      </c>
      <c r="H215" s="3">
        <f t="shared" si="7"/>
        <v>82.5</v>
      </c>
      <c r="I215" s="3">
        <v>13.2</v>
      </c>
    </row>
    <row r="216" spans="1:9">
      <c r="A216" t="s">
        <v>327</v>
      </c>
      <c r="B216" s="1">
        <v>41571</v>
      </c>
      <c r="C216" t="s">
        <v>5630</v>
      </c>
      <c r="D216">
        <v>1</v>
      </c>
      <c r="E216" t="s">
        <v>97</v>
      </c>
      <c r="F216" s="9" t="s">
        <v>820</v>
      </c>
      <c r="G216" s="9" t="s">
        <v>97</v>
      </c>
      <c r="H216" s="3">
        <f t="shared" si="7"/>
        <v>3678.4999999999995</v>
      </c>
      <c r="I216" s="3">
        <v>588.55999999999995</v>
      </c>
    </row>
    <row r="217" spans="1:9">
      <c r="A217" t="s">
        <v>5666</v>
      </c>
      <c r="B217" s="1">
        <v>41578</v>
      </c>
      <c r="C217" t="s">
        <v>5667</v>
      </c>
      <c r="D217">
        <v>1</v>
      </c>
      <c r="E217" t="s">
        <v>97</v>
      </c>
      <c r="F217" s="9" t="s">
        <v>820</v>
      </c>
      <c r="G217" s="9" t="s">
        <v>97</v>
      </c>
      <c r="H217" s="3">
        <f t="shared" si="7"/>
        <v>3150</v>
      </c>
      <c r="I217" s="3">
        <v>504</v>
      </c>
    </row>
    <row r="218" spans="1:9">
      <c r="A218" t="s">
        <v>5359</v>
      </c>
      <c r="B218" s="1">
        <v>41564</v>
      </c>
      <c r="C218" t="s">
        <v>5360</v>
      </c>
      <c r="D218">
        <v>1</v>
      </c>
      <c r="E218" t="s">
        <v>558</v>
      </c>
      <c r="F218" s="9" t="s">
        <v>836</v>
      </c>
      <c r="G218" s="9" t="s">
        <v>558</v>
      </c>
      <c r="H218" s="3">
        <f t="shared" si="7"/>
        <v>100</v>
      </c>
      <c r="I218" s="3">
        <v>16</v>
      </c>
    </row>
    <row r="219" spans="1:9">
      <c r="A219" t="s">
        <v>418</v>
      </c>
      <c r="B219" s="1">
        <v>41576</v>
      </c>
      <c r="C219" t="s">
        <v>5487</v>
      </c>
      <c r="D219">
        <v>1</v>
      </c>
      <c r="E219" t="s">
        <v>558</v>
      </c>
      <c r="F219" s="9" t="s">
        <v>836</v>
      </c>
      <c r="G219" s="9" t="s">
        <v>558</v>
      </c>
      <c r="H219" s="3">
        <f t="shared" si="7"/>
        <v>1000</v>
      </c>
      <c r="I219" s="3">
        <v>160</v>
      </c>
    </row>
    <row r="220" spans="1:9">
      <c r="A220" t="s">
        <v>4281</v>
      </c>
      <c r="B220" s="1">
        <v>41571</v>
      </c>
      <c r="C220" t="s">
        <v>5626</v>
      </c>
      <c r="D220">
        <v>1</v>
      </c>
      <c r="E220" t="s">
        <v>49</v>
      </c>
      <c r="F220" s="9" t="s">
        <v>838</v>
      </c>
      <c r="G220" s="9" t="s">
        <v>49</v>
      </c>
      <c r="H220" s="3">
        <f t="shared" si="7"/>
        <v>100</v>
      </c>
      <c r="I220" s="3">
        <v>16</v>
      </c>
    </row>
    <row r="221" spans="1:9">
      <c r="A221" t="s">
        <v>329</v>
      </c>
      <c r="B221" s="1">
        <v>41571</v>
      </c>
      <c r="C221" t="s">
        <v>5631</v>
      </c>
      <c r="D221">
        <v>1</v>
      </c>
      <c r="E221" t="s">
        <v>2157</v>
      </c>
      <c r="F221" s="9" t="s">
        <v>2305</v>
      </c>
      <c r="G221" s="9" t="s">
        <v>2157</v>
      </c>
      <c r="H221" s="3">
        <f t="shared" si="7"/>
        <v>860</v>
      </c>
      <c r="I221" s="3">
        <v>137.6</v>
      </c>
    </row>
    <row r="222" spans="1:9">
      <c r="A222" t="s">
        <v>2094</v>
      </c>
      <c r="B222" s="1">
        <v>41576</v>
      </c>
      <c r="C222">
        <v>9211</v>
      </c>
      <c r="D222">
        <v>1</v>
      </c>
      <c r="E222" t="s">
        <v>5490</v>
      </c>
      <c r="F222" s="9" t="s">
        <v>5770</v>
      </c>
      <c r="G222" s="9" t="s">
        <v>5490</v>
      </c>
      <c r="H222" s="3">
        <f t="shared" si="7"/>
        <v>220.6875</v>
      </c>
      <c r="I222" s="3">
        <v>35.31</v>
      </c>
    </row>
    <row r="223" spans="1:9">
      <c r="A223" t="s">
        <v>1124</v>
      </c>
      <c r="B223" s="1">
        <v>41561</v>
      </c>
      <c r="C223" t="s">
        <v>5599</v>
      </c>
      <c r="D223">
        <v>1</v>
      </c>
      <c r="E223" t="s">
        <v>229</v>
      </c>
      <c r="F223" s="9" t="s">
        <v>839</v>
      </c>
      <c r="G223" s="9" t="s">
        <v>229</v>
      </c>
      <c r="H223" s="3">
        <f t="shared" si="7"/>
        <v>474</v>
      </c>
      <c r="I223" s="3">
        <v>75.84</v>
      </c>
    </row>
    <row r="224" spans="1:9">
      <c r="A224" t="s">
        <v>5426</v>
      </c>
      <c r="B224" s="1">
        <v>41575</v>
      </c>
      <c r="C224">
        <v>9134</v>
      </c>
      <c r="D224">
        <v>1</v>
      </c>
      <c r="E224" t="s">
        <v>4570</v>
      </c>
      <c r="F224" s="9" t="s">
        <v>847</v>
      </c>
      <c r="G224" s="9" t="s">
        <v>4570</v>
      </c>
      <c r="H224" s="3">
        <f t="shared" si="7"/>
        <v>44</v>
      </c>
      <c r="I224" s="3">
        <v>7.04</v>
      </c>
    </row>
    <row r="225" spans="1:9">
      <c r="A225" t="s">
        <v>1029</v>
      </c>
      <c r="B225" s="1">
        <v>41556</v>
      </c>
      <c r="C225" t="s">
        <v>5564</v>
      </c>
      <c r="D225">
        <v>2</v>
      </c>
      <c r="E225" t="s">
        <v>127</v>
      </c>
      <c r="F225" s="12" t="s">
        <v>849</v>
      </c>
      <c r="G225" s="9" t="s">
        <v>127</v>
      </c>
      <c r="H225" s="3">
        <f t="shared" si="7"/>
        <v>1100</v>
      </c>
      <c r="I225" s="3">
        <v>176</v>
      </c>
    </row>
    <row r="226" spans="1:9">
      <c r="A226" t="s">
        <v>1126</v>
      </c>
      <c r="B226" s="1">
        <v>41561</v>
      </c>
      <c r="C226" t="s">
        <v>5600</v>
      </c>
      <c r="D226">
        <v>1</v>
      </c>
      <c r="E226" t="s">
        <v>89</v>
      </c>
      <c r="F226" s="9" t="s">
        <v>850</v>
      </c>
      <c r="G226" s="9" t="s">
        <v>89</v>
      </c>
      <c r="H226" s="3">
        <f t="shared" si="7"/>
        <v>900</v>
      </c>
      <c r="I226" s="3">
        <v>144</v>
      </c>
    </row>
    <row r="227" spans="1:9">
      <c r="A227" t="s">
        <v>1118</v>
      </c>
      <c r="B227" s="1">
        <v>41561</v>
      </c>
      <c r="C227" t="s">
        <v>5596</v>
      </c>
      <c r="D227">
        <v>1</v>
      </c>
      <c r="E227" t="s">
        <v>86</v>
      </c>
      <c r="F227" s="9" t="s">
        <v>851</v>
      </c>
      <c r="G227" s="9" t="s">
        <v>86</v>
      </c>
      <c r="H227" s="3">
        <f t="shared" si="7"/>
        <v>325.875</v>
      </c>
      <c r="I227" s="3">
        <v>52.14</v>
      </c>
    </row>
    <row r="228" spans="1:9">
      <c r="A228" t="s">
        <v>5671</v>
      </c>
      <c r="B228" s="1">
        <v>41578</v>
      </c>
      <c r="C228" t="s">
        <v>5672</v>
      </c>
      <c r="D228">
        <v>1</v>
      </c>
      <c r="E228" t="s">
        <v>86</v>
      </c>
      <c r="F228" s="9" t="s">
        <v>851</v>
      </c>
      <c r="G228" s="9" t="s">
        <v>578</v>
      </c>
      <c r="H228" s="3">
        <f t="shared" si="7"/>
        <v>1292.1875</v>
      </c>
      <c r="I228" s="3">
        <v>206.75</v>
      </c>
    </row>
    <row r="229" spans="1:9">
      <c r="A229" t="s">
        <v>5677</v>
      </c>
      <c r="B229" s="1">
        <v>41578</v>
      </c>
      <c r="C229" t="s">
        <v>5678</v>
      </c>
      <c r="D229">
        <v>1</v>
      </c>
      <c r="E229" t="s">
        <v>86</v>
      </c>
      <c r="F229" s="9" t="s">
        <v>851</v>
      </c>
      <c r="G229" s="9" t="s">
        <v>86</v>
      </c>
      <c r="H229" s="3">
        <f t="shared" si="7"/>
        <v>3792.1875</v>
      </c>
      <c r="I229" s="3">
        <v>606.75</v>
      </c>
    </row>
    <row r="230" spans="1:9">
      <c r="A230" t="s">
        <v>422</v>
      </c>
      <c r="B230" s="1">
        <v>41576</v>
      </c>
      <c r="C230">
        <v>9215</v>
      </c>
      <c r="D230">
        <v>1</v>
      </c>
      <c r="E230" t="s">
        <v>578</v>
      </c>
      <c r="F230" s="9" t="s">
        <v>851</v>
      </c>
      <c r="G230" s="9" t="s">
        <v>86</v>
      </c>
      <c r="H230" s="3">
        <f t="shared" si="7"/>
        <v>205.18749999999997</v>
      </c>
      <c r="I230" s="3">
        <v>32.83</v>
      </c>
    </row>
    <row r="231" spans="1:9">
      <c r="A231" t="s">
        <v>2475</v>
      </c>
      <c r="B231" s="1">
        <v>41575</v>
      </c>
      <c r="C231" t="s">
        <v>5422</v>
      </c>
      <c r="D231">
        <v>1</v>
      </c>
      <c r="E231" t="s">
        <v>5423</v>
      </c>
      <c r="F231" s="9" t="s">
        <v>4383</v>
      </c>
      <c r="G231" s="9" t="s">
        <v>5423</v>
      </c>
      <c r="H231" s="3">
        <f t="shared" si="7"/>
        <v>386.1875</v>
      </c>
      <c r="I231" s="3">
        <v>61.79</v>
      </c>
    </row>
    <row r="232" spans="1:9">
      <c r="A232" t="s">
        <v>5326</v>
      </c>
      <c r="B232" s="1">
        <v>41558</v>
      </c>
      <c r="C232" t="s">
        <v>4934</v>
      </c>
      <c r="D232">
        <v>1</v>
      </c>
      <c r="E232" t="s">
        <v>1893</v>
      </c>
      <c r="F232" s="12" t="s">
        <v>856</v>
      </c>
      <c r="G232" s="9" t="s">
        <v>857</v>
      </c>
      <c r="H232" s="3">
        <f t="shared" si="7"/>
        <v>-184455</v>
      </c>
      <c r="I232" s="3">
        <v>-29512.799999999999</v>
      </c>
    </row>
    <row r="233" spans="1:9">
      <c r="A233" t="s">
        <v>5273</v>
      </c>
      <c r="B233" s="1">
        <v>41550</v>
      </c>
      <c r="C233" t="s">
        <v>5274</v>
      </c>
      <c r="D233">
        <v>1</v>
      </c>
      <c r="E233" t="s">
        <v>5275</v>
      </c>
      <c r="F233" s="13" t="s">
        <v>856</v>
      </c>
      <c r="G233" s="9" t="s">
        <v>857</v>
      </c>
      <c r="H233" s="3">
        <f t="shared" si="7"/>
        <v>237671.31250000003</v>
      </c>
      <c r="I233" s="3">
        <v>38027.410000000003</v>
      </c>
    </row>
    <row r="234" spans="1:9">
      <c r="A234" t="s">
        <v>3449</v>
      </c>
      <c r="B234" s="1">
        <v>41558</v>
      </c>
      <c r="C234" t="s">
        <v>4934</v>
      </c>
      <c r="D234">
        <v>1</v>
      </c>
      <c r="E234" t="s">
        <v>5327</v>
      </c>
      <c r="F234" s="13" t="s">
        <v>856</v>
      </c>
      <c r="G234" s="9" t="s">
        <v>857</v>
      </c>
      <c r="H234" s="3">
        <f t="shared" si="7"/>
        <v>176664.125</v>
      </c>
      <c r="I234" s="3">
        <v>28266.26</v>
      </c>
    </row>
    <row r="235" spans="1:9">
      <c r="A235" t="s">
        <v>2192</v>
      </c>
      <c r="B235" s="1">
        <v>41568</v>
      </c>
      <c r="C235" t="s">
        <v>5620</v>
      </c>
      <c r="D235">
        <v>2</v>
      </c>
      <c r="E235" t="s">
        <v>3600</v>
      </c>
      <c r="F235" s="9" t="s">
        <v>858</v>
      </c>
      <c r="G235" s="9" t="s">
        <v>3600</v>
      </c>
      <c r="H235" s="3">
        <f t="shared" si="7"/>
        <v>350</v>
      </c>
      <c r="I235" s="3">
        <v>56</v>
      </c>
    </row>
    <row r="236" spans="1:9">
      <c r="A236" t="s">
        <v>5698</v>
      </c>
      <c r="B236" s="1">
        <v>41570</v>
      </c>
      <c r="C236" t="s">
        <v>5699</v>
      </c>
      <c r="D236">
        <v>1</v>
      </c>
      <c r="E236" t="s">
        <v>5700</v>
      </c>
      <c r="F236" s="9" t="s">
        <v>5771</v>
      </c>
      <c r="G236" s="9" t="s">
        <v>5700</v>
      </c>
      <c r="H236" s="3">
        <f t="shared" si="7"/>
        <v>6536.125</v>
      </c>
      <c r="I236" s="3">
        <v>1045.78</v>
      </c>
    </row>
    <row r="237" spans="1:9">
      <c r="A237" t="s">
        <v>5458</v>
      </c>
      <c r="B237" s="1">
        <v>41575</v>
      </c>
      <c r="C237">
        <v>9176</v>
      </c>
      <c r="D237">
        <v>1</v>
      </c>
      <c r="E237" t="s">
        <v>5459</v>
      </c>
      <c r="F237" s="12" t="s">
        <v>5772</v>
      </c>
      <c r="G237" s="9" t="s">
        <v>5459</v>
      </c>
      <c r="H237" s="3">
        <f t="shared" si="7"/>
        <v>73.25</v>
      </c>
      <c r="I237" s="3">
        <v>11.72</v>
      </c>
    </row>
    <row r="238" spans="1:9">
      <c r="A238" t="s">
        <v>1190</v>
      </c>
      <c r="B238" s="1">
        <v>41566</v>
      </c>
      <c r="C238" t="s">
        <v>5617</v>
      </c>
      <c r="D238">
        <v>1</v>
      </c>
      <c r="E238" t="s">
        <v>174</v>
      </c>
      <c r="F238" s="9" t="s">
        <v>859</v>
      </c>
      <c r="G238" s="9" t="s">
        <v>174</v>
      </c>
      <c r="H238" s="3">
        <f t="shared" si="7"/>
        <v>18385.5</v>
      </c>
      <c r="I238" s="3">
        <v>2941.68</v>
      </c>
    </row>
    <row r="239" spans="1:9">
      <c r="A239" t="s">
        <v>2835</v>
      </c>
      <c r="B239" s="1">
        <v>41578</v>
      </c>
      <c r="C239" t="s">
        <v>5659</v>
      </c>
      <c r="D239">
        <v>1</v>
      </c>
      <c r="E239" t="s">
        <v>174</v>
      </c>
      <c r="F239" s="9" t="s">
        <v>859</v>
      </c>
      <c r="G239" s="9" t="s">
        <v>174</v>
      </c>
      <c r="H239" s="3">
        <f t="shared" si="7"/>
        <v>12576.125</v>
      </c>
      <c r="I239" s="3">
        <v>2012.18</v>
      </c>
    </row>
    <row r="240" spans="1:9">
      <c r="A240" t="s">
        <v>268</v>
      </c>
      <c r="B240" s="1">
        <v>41578</v>
      </c>
      <c r="C240" t="s">
        <v>5663</v>
      </c>
      <c r="D240">
        <v>1</v>
      </c>
      <c r="E240" t="s">
        <v>174</v>
      </c>
      <c r="F240" s="9" t="s">
        <v>859</v>
      </c>
      <c r="G240" s="9" t="s">
        <v>174</v>
      </c>
      <c r="H240" s="3">
        <f t="shared" si="7"/>
        <v>14684.5</v>
      </c>
      <c r="I240" s="3">
        <v>2349.52</v>
      </c>
    </row>
    <row r="241" spans="1:9">
      <c r="A241" t="s">
        <v>2400</v>
      </c>
      <c r="B241" s="1">
        <v>41561</v>
      </c>
      <c r="C241" t="s">
        <v>5332</v>
      </c>
      <c r="D241">
        <v>1</v>
      </c>
      <c r="E241" t="s">
        <v>5333</v>
      </c>
      <c r="F241" s="17" t="s">
        <v>862</v>
      </c>
      <c r="G241" s="9" t="s">
        <v>402</v>
      </c>
      <c r="H241" s="3">
        <f t="shared" si="7"/>
        <v>221634.8125</v>
      </c>
      <c r="I241" s="3">
        <v>35461.57</v>
      </c>
    </row>
    <row r="242" spans="1:9">
      <c r="A242" t="s">
        <v>3929</v>
      </c>
      <c r="B242" s="1">
        <v>41568</v>
      </c>
      <c r="C242" t="s">
        <v>5332</v>
      </c>
      <c r="D242">
        <v>1</v>
      </c>
      <c r="E242" t="s">
        <v>5333</v>
      </c>
      <c r="F242" s="17" t="s">
        <v>862</v>
      </c>
      <c r="G242" s="9" t="s">
        <v>402</v>
      </c>
      <c r="H242" s="3">
        <f t="shared" si="7"/>
        <v>-221634.8125</v>
      </c>
      <c r="I242" s="3">
        <v>-35461.57</v>
      </c>
    </row>
    <row r="243" spans="1:9">
      <c r="A243" t="s">
        <v>1943</v>
      </c>
      <c r="B243" s="1">
        <v>41576</v>
      </c>
      <c r="C243">
        <v>9188</v>
      </c>
      <c r="D243">
        <v>1</v>
      </c>
      <c r="E243" t="s">
        <v>1965</v>
      </c>
      <c r="F243" s="12" t="s">
        <v>740</v>
      </c>
      <c r="G243" s="9" t="s">
        <v>1965</v>
      </c>
      <c r="H243" s="3">
        <f t="shared" si="7"/>
        <v>40</v>
      </c>
      <c r="I243" s="3">
        <v>6.4</v>
      </c>
    </row>
    <row r="244" spans="1:9">
      <c r="A244" t="s">
        <v>5704</v>
      </c>
      <c r="B244" s="1">
        <v>41578</v>
      </c>
      <c r="C244" t="s">
        <v>5705</v>
      </c>
      <c r="D244">
        <v>1</v>
      </c>
      <c r="E244" t="s">
        <v>158</v>
      </c>
      <c r="F244" s="12" t="s">
        <v>865</v>
      </c>
      <c r="G244" s="9" t="s">
        <v>158</v>
      </c>
      <c r="H244" s="3">
        <f t="shared" si="7"/>
        <v>2000</v>
      </c>
      <c r="I244" s="3">
        <v>320</v>
      </c>
    </row>
    <row r="245" spans="1:9">
      <c r="A245" t="s">
        <v>479</v>
      </c>
      <c r="B245" s="1">
        <v>41578</v>
      </c>
      <c r="C245">
        <v>9233</v>
      </c>
      <c r="D245">
        <v>1</v>
      </c>
      <c r="E245" t="s">
        <v>1455</v>
      </c>
      <c r="F245" s="12" t="s">
        <v>869</v>
      </c>
      <c r="G245" s="9" t="s">
        <v>2142</v>
      </c>
      <c r="H245" s="3">
        <f t="shared" si="7"/>
        <v>54.5</v>
      </c>
      <c r="I245" s="3">
        <v>8.7200000000000006</v>
      </c>
    </row>
    <row r="246" spans="1:9">
      <c r="A246" t="s">
        <v>5552</v>
      </c>
      <c r="B246" s="1">
        <v>41548</v>
      </c>
      <c r="C246" t="s">
        <v>5553</v>
      </c>
      <c r="D246">
        <v>1</v>
      </c>
      <c r="E246" t="s">
        <v>2142</v>
      </c>
      <c r="F246" s="9" t="s">
        <v>869</v>
      </c>
      <c r="G246" s="9" t="s">
        <v>2142</v>
      </c>
      <c r="H246" s="3">
        <f t="shared" si="7"/>
        <v>3947.625</v>
      </c>
      <c r="I246" s="3">
        <v>631.62</v>
      </c>
    </row>
    <row r="247" spans="1:9">
      <c r="A247" t="s">
        <v>1217</v>
      </c>
      <c r="B247" s="1">
        <v>41568</v>
      </c>
      <c r="C247" t="s">
        <v>5619</v>
      </c>
      <c r="D247">
        <v>1</v>
      </c>
      <c r="E247" t="s">
        <v>2142</v>
      </c>
      <c r="F247" s="9" t="s">
        <v>869</v>
      </c>
      <c r="G247" s="9" t="s">
        <v>1455</v>
      </c>
      <c r="H247" s="3">
        <f t="shared" si="7"/>
        <v>3947.625</v>
      </c>
      <c r="I247" s="3">
        <v>631.62</v>
      </c>
    </row>
    <row r="248" spans="1:9">
      <c r="A248" t="s">
        <v>2485</v>
      </c>
      <c r="B248" s="1">
        <v>41575</v>
      </c>
      <c r="C248" t="s">
        <v>5429</v>
      </c>
      <c r="D248">
        <v>1</v>
      </c>
      <c r="E248" t="s">
        <v>5026</v>
      </c>
      <c r="F248" s="9" t="s">
        <v>1601</v>
      </c>
      <c r="G248" s="9" t="s">
        <v>5773</v>
      </c>
      <c r="H248" s="3">
        <f t="shared" si="7"/>
        <v>1150.875</v>
      </c>
      <c r="I248" s="3">
        <v>184.14</v>
      </c>
    </row>
    <row r="249" spans="1:9">
      <c r="A249" t="s">
        <v>1230</v>
      </c>
      <c r="B249" s="1">
        <v>41575</v>
      </c>
      <c r="C249" t="s">
        <v>5454</v>
      </c>
      <c r="D249">
        <v>1</v>
      </c>
      <c r="E249" t="s">
        <v>5026</v>
      </c>
      <c r="F249" s="12" t="s">
        <v>1601</v>
      </c>
      <c r="G249" s="9" t="s">
        <v>5773</v>
      </c>
      <c r="H249" s="3">
        <f t="shared" si="7"/>
        <v>1120.6875</v>
      </c>
      <c r="I249" s="3">
        <v>179.31</v>
      </c>
    </row>
    <row r="250" spans="1:9">
      <c r="A250" t="s">
        <v>4046</v>
      </c>
      <c r="B250" s="1">
        <v>41578</v>
      </c>
      <c r="C250" t="s">
        <v>5543</v>
      </c>
      <c r="D250">
        <v>1</v>
      </c>
      <c r="E250" t="s">
        <v>5026</v>
      </c>
      <c r="F250" s="12" t="s">
        <v>1601</v>
      </c>
      <c r="G250" s="9" t="s">
        <v>5774</v>
      </c>
      <c r="H250" s="3">
        <f t="shared" si="7"/>
        <v>383.625</v>
      </c>
      <c r="I250" s="3">
        <v>61.38</v>
      </c>
    </row>
    <row r="251" spans="1:9">
      <c r="A251" t="s">
        <v>1069</v>
      </c>
      <c r="B251" s="1">
        <v>41557</v>
      </c>
      <c r="C251" t="s">
        <v>5581</v>
      </c>
      <c r="D251">
        <v>2</v>
      </c>
      <c r="E251" t="s">
        <v>94</v>
      </c>
      <c r="F251" s="9" t="s">
        <v>868</v>
      </c>
      <c r="G251" s="9" t="s">
        <v>94</v>
      </c>
      <c r="H251" s="3">
        <f t="shared" si="7"/>
        <v>10700</v>
      </c>
      <c r="I251" s="3">
        <v>1712</v>
      </c>
    </row>
    <row r="252" spans="1:9">
      <c r="A252" t="s">
        <v>1122</v>
      </c>
      <c r="B252" s="1">
        <v>41561</v>
      </c>
      <c r="C252" t="s">
        <v>5598</v>
      </c>
      <c r="D252">
        <v>2</v>
      </c>
      <c r="E252" t="s">
        <v>94</v>
      </c>
      <c r="F252" s="9" t="s">
        <v>868</v>
      </c>
      <c r="G252" s="9" t="s">
        <v>94</v>
      </c>
      <c r="H252" s="3">
        <f t="shared" ref="H252:H315" si="12">+I252/0.16</f>
        <v>19400</v>
      </c>
      <c r="I252" s="3">
        <v>3104</v>
      </c>
    </row>
    <row r="253" spans="1:9">
      <c r="A253" t="s">
        <v>344</v>
      </c>
      <c r="B253" s="1">
        <v>41572</v>
      </c>
      <c r="C253" t="s">
        <v>5637</v>
      </c>
      <c r="D253">
        <v>2</v>
      </c>
      <c r="E253" t="s">
        <v>94</v>
      </c>
      <c r="F253" s="9" t="s">
        <v>868</v>
      </c>
      <c r="G253" s="9" t="s">
        <v>94</v>
      </c>
      <c r="H253" s="3">
        <f t="shared" si="12"/>
        <v>10950</v>
      </c>
      <c r="I253" s="3">
        <v>1752</v>
      </c>
    </row>
    <row r="254" spans="1:9">
      <c r="A254" t="s">
        <v>5673</v>
      </c>
      <c r="B254" s="1">
        <v>41578</v>
      </c>
      <c r="C254" t="s">
        <v>5674</v>
      </c>
      <c r="D254">
        <v>2</v>
      </c>
      <c r="E254" t="s">
        <v>94</v>
      </c>
      <c r="F254" s="9" t="s">
        <v>868</v>
      </c>
      <c r="G254" s="9" t="s">
        <v>94</v>
      </c>
      <c r="H254" s="3">
        <f t="shared" si="12"/>
        <v>21300</v>
      </c>
      <c r="I254" s="3">
        <v>3408</v>
      </c>
    </row>
    <row r="255" spans="1:9">
      <c r="A255" t="s">
        <v>2708</v>
      </c>
      <c r="B255" s="1">
        <v>41556</v>
      </c>
      <c r="C255" t="s">
        <v>5566</v>
      </c>
      <c r="D255">
        <v>1</v>
      </c>
      <c r="E255" t="s">
        <v>5567</v>
      </c>
      <c r="F255" s="12" t="s">
        <v>5775</v>
      </c>
      <c r="G255" s="9" t="s">
        <v>5567</v>
      </c>
      <c r="H255" s="3">
        <f t="shared" si="12"/>
        <v>180</v>
      </c>
      <c r="I255" s="3">
        <v>28.8</v>
      </c>
    </row>
    <row r="256" spans="1:9">
      <c r="A256" t="s">
        <v>488</v>
      </c>
      <c r="B256" s="1">
        <v>41578</v>
      </c>
      <c r="C256" t="s">
        <v>5512</v>
      </c>
      <c r="D256">
        <v>1</v>
      </c>
      <c r="E256" t="s">
        <v>5513</v>
      </c>
      <c r="F256" s="9" t="s">
        <v>4363</v>
      </c>
      <c r="G256" s="9" t="s">
        <v>3843</v>
      </c>
      <c r="H256" s="3">
        <f t="shared" si="12"/>
        <v>221634.8125</v>
      </c>
      <c r="I256" s="3">
        <v>35461.57</v>
      </c>
    </row>
    <row r="257" spans="1:12">
      <c r="A257" t="s">
        <v>5234</v>
      </c>
      <c r="B257" s="1">
        <v>41578</v>
      </c>
      <c r="C257">
        <v>9225</v>
      </c>
      <c r="D257">
        <v>1</v>
      </c>
      <c r="E257" t="s">
        <v>4103</v>
      </c>
      <c r="F257" s="9" t="s">
        <v>4364</v>
      </c>
      <c r="G257" s="9" t="s">
        <v>4103</v>
      </c>
      <c r="H257" s="3">
        <f t="shared" si="12"/>
        <v>319.625</v>
      </c>
      <c r="I257" s="3">
        <v>51.14</v>
      </c>
    </row>
    <row r="258" spans="1:12">
      <c r="A258" t="s">
        <v>717</v>
      </c>
      <c r="B258" s="1">
        <v>41578</v>
      </c>
      <c r="C258" t="s">
        <v>5665</v>
      </c>
      <c r="D258">
        <v>1</v>
      </c>
      <c r="E258" t="s">
        <v>71</v>
      </c>
      <c r="F258" s="28" t="s">
        <v>943</v>
      </c>
      <c r="G258" s="28" t="s">
        <v>71</v>
      </c>
      <c r="H258" s="3">
        <f t="shared" si="12"/>
        <v>41.375</v>
      </c>
      <c r="I258" s="3">
        <v>6.62</v>
      </c>
    </row>
    <row r="259" spans="1:12">
      <c r="A259" t="s">
        <v>294</v>
      </c>
      <c r="B259" s="1">
        <v>41569</v>
      </c>
      <c r="C259" t="s">
        <v>5621</v>
      </c>
      <c r="D259">
        <v>1</v>
      </c>
      <c r="E259" t="s">
        <v>306</v>
      </c>
      <c r="F259" s="9" t="s">
        <v>876</v>
      </c>
      <c r="G259" s="9" t="s">
        <v>306</v>
      </c>
      <c r="H259" s="3">
        <f t="shared" si="12"/>
        <v>32505.9375</v>
      </c>
      <c r="I259" s="3">
        <v>5200.95</v>
      </c>
    </row>
    <row r="260" spans="1:12">
      <c r="A260" t="s">
        <v>331</v>
      </c>
      <c r="B260" s="1">
        <v>41571</v>
      </c>
      <c r="C260" t="s">
        <v>5632</v>
      </c>
      <c r="D260">
        <v>1</v>
      </c>
      <c r="E260" t="s">
        <v>223</v>
      </c>
      <c r="F260" s="28" t="s">
        <v>877</v>
      </c>
      <c r="G260" s="28" t="s">
        <v>223</v>
      </c>
      <c r="H260" s="3">
        <f t="shared" si="12"/>
        <v>19989.75</v>
      </c>
      <c r="I260" s="3">
        <v>3198.36</v>
      </c>
      <c r="J260" s="14" t="e">
        <f>+H260-#REF!</f>
        <v>#REF!</v>
      </c>
      <c r="K260" s="14" t="e">
        <f>+I260-#REF!</f>
        <v>#REF!</v>
      </c>
      <c r="L260" t="s">
        <v>900</v>
      </c>
    </row>
    <row r="261" spans="1:12">
      <c r="A261" t="s">
        <v>4039</v>
      </c>
      <c r="B261" s="1">
        <v>41578</v>
      </c>
      <c r="C261">
        <v>9250</v>
      </c>
      <c r="D261">
        <v>1</v>
      </c>
      <c r="E261" t="s">
        <v>5534</v>
      </c>
      <c r="F261" s="12" t="s">
        <v>4355</v>
      </c>
      <c r="G261" s="9" t="s">
        <v>5534</v>
      </c>
      <c r="H261" s="3">
        <f t="shared" si="12"/>
        <v>51.687499999999993</v>
      </c>
      <c r="I261" s="3">
        <v>8.27</v>
      </c>
    </row>
    <row r="262" spans="1:12">
      <c r="A262" t="s">
        <v>2163</v>
      </c>
      <c r="B262" s="1">
        <v>41559</v>
      </c>
      <c r="C262" t="s">
        <v>5586</v>
      </c>
      <c r="D262">
        <v>1</v>
      </c>
      <c r="E262" t="s">
        <v>52</v>
      </c>
      <c r="F262" s="9" t="s">
        <v>879</v>
      </c>
      <c r="G262" s="9" t="s">
        <v>52</v>
      </c>
      <c r="H262" s="3">
        <f t="shared" si="12"/>
        <v>1897.4374999999998</v>
      </c>
      <c r="I262" s="3">
        <v>303.58999999999997</v>
      </c>
    </row>
    <row r="263" spans="1:12">
      <c r="A263" t="s">
        <v>393</v>
      </c>
      <c r="B263" s="1">
        <v>41576</v>
      </c>
      <c r="C263" t="s">
        <v>5645</v>
      </c>
      <c r="D263">
        <v>1</v>
      </c>
      <c r="E263" t="s">
        <v>968</v>
      </c>
      <c r="F263" s="9" t="s">
        <v>1632</v>
      </c>
      <c r="G263" s="9" t="s">
        <v>968</v>
      </c>
      <c r="H263" s="3">
        <f t="shared" si="12"/>
        <v>6445</v>
      </c>
      <c r="I263" s="3">
        <v>1031.2</v>
      </c>
    </row>
    <row r="264" spans="1:12">
      <c r="A264" t="s">
        <v>395</v>
      </c>
      <c r="B264" s="1">
        <v>41576</v>
      </c>
      <c r="C264" t="s">
        <v>5646</v>
      </c>
      <c r="D264">
        <v>1</v>
      </c>
      <c r="E264" t="s">
        <v>968</v>
      </c>
      <c r="F264" s="9" t="s">
        <v>1632</v>
      </c>
      <c r="G264" s="9" t="s">
        <v>968</v>
      </c>
      <c r="H264" s="3">
        <f t="shared" si="12"/>
        <v>13827.875</v>
      </c>
      <c r="I264" s="3">
        <v>2212.46</v>
      </c>
    </row>
    <row r="265" spans="1:12">
      <c r="A265" t="s">
        <v>3057</v>
      </c>
      <c r="B265" s="1">
        <v>41575</v>
      </c>
      <c r="C265">
        <v>9132</v>
      </c>
      <c r="D265">
        <v>1</v>
      </c>
      <c r="E265" t="s">
        <v>590</v>
      </c>
      <c r="F265" s="9" t="s">
        <v>882</v>
      </c>
      <c r="G265" s="9" t="s">
        <v>590</v>
      </c>
      <c r="H265" s="3">
        <f t="shared" si="12"/>
        <v>237.0625</v>
      </c>
      <c r="I265" s="3">
        <v>37.93</v>
      </c>
    </row>
    <row r="266" spans="1:12">
      <c r="A266" t="s">
        <v>470</v>
      </c>
      <c r="B266" s="1">
        <v>41578</v>
      </c>
      <c r="C266">
        <v>9232</v>
      </c>
      <c r="D266">
        <v>1</v>
      </c>
      <c r="E266" t="s">
        <v>590</v>
      </c>
      <c r="F266" s="9" t="s">
        <v>882</v>
      </c>
      <c r="G266" s="9" t="s">
        <v>590</v>
      </c>
      <c r="H266" s="3">
        <f t="shared" si="12"/>
        <v>110.74999999999999</v>
      </c>
      <c r="I266" s="3">
        <v>17.72</v>
      </c>
    </row>
    <row r="267" spans="1:12">
      <c r="A267" t="s">
        <v>4515</v>
      </c>
      <c r="B267" s="1">
        <v>41575</v>
      </c>
      <c r="C267">
        <v>9137</v>
      </c>
      <c r="D267">
        <v>1</v>
      </c>
      <c r="E267" t="s">
        <v>535</v>
      </c>
      <c r="F267" s="9" t="s">
        <v>884</v>
      </c>
      <c r="G267" s="9" t="s">
        <v>535</v>
      </c>
      <c r="H267" s="3">
        <f t="shared" si="12"/>
        <v>344.8125</v>
      </c>
      <c r="I267" s="3">
        <v>55.17</v>
      </c>
    </row>
    <row r="268" spans="1:12">
      <c r="A268" t="s">
        <v>4901</v>
      </c>
      <c r="B268" s="1">
        <v>41575</v>
      </c>
      <c r="C268">
        <v>9141</v>
      </c>
      <c r="D268">
        <v>1</v>
      </c>
      <c r="E268" t="s">
        <v>535</v>
      </c>
      <c r="F268" s="9" t="s">
        <v>884</v>
      </c>
      <c r="G268" s="9" t="s">
        <v>535</v>
      </c>
      <c r="H268" s="3">
        <f t="shared" si="12"/>
        <v>344.8125</v>
      </c>
      <c r="I268" s="3">
        <v>55.17</v>
      </c>
    </row>
    <row r="269" spans="1:12">
      <c r="A269" t="s">
        <v>5339</v>
      </c>
      <c r="B269" s="1">
        <v>41562</v>
      </c>
      <c r="C269" t="s">
        <v>5340</v>
      </c>
      <c r="D269">
        <v>1</v>
      </c>
      <c r="E269" t="s">
        <v>5341</v>
      </c>
      <c r="F269" t="s">
        <v>1633</v>
      </c>
      <c r="G269" t="s">
        <v>3825</v>
      </c>
      <c r="H269" s="3">
        <f t="shared" si="12"/>
        <v>217444.0625</v>
      </c>
      <c r="I269" s="3">
        <v>34791.050000000003</v>
      </c>
    </row>
    <row r="270" spans="1:12">
      <c r="A270" t="s">
        <v>5416</v>
      </c>
      <c r="B270" s="1">
        <v>41572</v>
      </c>
      <c r="C270" t="s">
        <v>5417</v>
      </c>
      <c r="D270">
        <v>1</v>
      </c>
      <c r="E270" t="s">
        <v>5418</v>
      </c>
      <c r="F270" s="9" t="s">
        <v>1637</v>
      </c>
      <c r="G270" s="9" t="s">
        <v>5418</v>
      </c>
      <c r="H270" s="3">
        <f t="shared" si="12"/>
        <v>309447.5</v>
      </c>
      <c r="I270" s="3">
        <v>49511.6</v>
      </c>
    </row>
    <row r="271" spans="1:12">
      <c r="A271" t="s">
        <v>5408</v>
      </c>
      <c r="B271" s="1">
        <v>41570</v>
      </c>
      <c r="C271" t="s">
        <v>5409</v>
      </c>
      <c r="D271">
        <v>1</v>
      </c>
      <c r="E271" t="s">
        <v>5410</v>
      </c>
      <c r="F271" s="9" t="s">
        <v>1635</v>
      </c>
      <c r="G271" s="9" t="s">
        <v>5410</v>
      </c>
      <c r="H271" s="3">
        <f t="shared" si="12"/>
        <v>330512.6875</v>
      </c>
      <c r="I271" s="3">
        <v>52882.03</v>
      </c>
    </row>
    <row r="272" spans="1:12">
      <c r="A272" t="s">
        <v>1733</v>
      </c>
      <c r="B272" s="1">
        <v>41548</v>
      </c>
      <c r="C272" t="s">
        <v>4473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2"/>
        <v>-288927.5</v>
      </c>
      <c r="I272" s="3">
        <v>-46228.4</v>
      </c>
      <c r="J272" s="3"/>
      <c r="K272" s="72"/>
    </row>
    <row r="273" spans="1:11">
      <c r="A273" t="s">
        <v>5256</v>
      </c>
      <c r="B273" s="1">
        <v>41548</v>
      </c>
      <c r="C273" t="s">
        <v>5257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2"/>
        <v>202461.875</v>
      </c>
      <c r="I273" s="3">
        <v>32393.9</v>
      </c>
      <c r="J273" s="3"/>
      <c r="K273" s="3"/>
    </row>
    <row r="274" spans="1:11">
      <c r="A274" t="s">
        <v>2369</v>
      </c>
      <c r="B274" s="1">
        <v>41548</v>
      </c>
      <c r="C274" t="s">
        <v>5258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2"/>
        <v>296734.25</v>
      </c>
      <c r="I274" s="3">
        <v>47477.48</v>
      </c>
      <c r="J274" s="3"/>
      <c r="K274" s="3"/>
    </row>
    <row r="275" spans="1:11">
      <c r="A275" t="s">
        <v>5259</v>
      </c>
      <c r="B275" s="1">
        <v>41549</v>
      </c>
      <c r="C275" t="s">
        <v>5260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2"/>
        <v>259916.0625</v>
      </c>
      <c r="I275" s="3">
        <v>41586.57</v>
      </c>
      <c r="J275" s="3"/>
      <c r="K275" s="3"/>
    </row>
    <row r="276" spans="1:11">
      <c r="A276" t="s">
        <v>5261</v>
      </c>
      <c r="B276" s="1">
        <v>41549</v>
      </c>
      <c r="C276" t="s">
        <v>4839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2"/>
        <v>311102.9375</v>
      </c>
      <c r="I276" s="3">
        <v>49776.47</v>
      </c>
      <c r="J276" s="3"/>
      <c r="K276" s="3"/>
    </row>
    <row r="277" spans="1:11">
      <c r="A277" t="s">
        <v>5262</v>
      </c>
      <c r="B277" s="1">
        <v>41549</v>
      </c>
      <c r="C277" t="s">
        <v>5263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2"/>
        <v>202461.875</v>
      </c>
      <c r="I277" s="3">
        <v>32393.9</v>
      </c>
      <c r="J277" s="3"/>
      <c r="K277" s="3"/>
    </row>
    <row r="278" spans="1:11">
      <c r="A278" t="s">
        <v>5264</v>
      </c>
      <c r="B278" s="1">
        <v>41549</v>
      </c>
      <c r="C278" t="s">
        <v>5265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2"/>
        <v>187702.5625</v>
      </c>
      <c r="I278" s="3">
        <v>30032.41</v>
      </c>
      <c r="J278" s="3"/>
      <c r="K278" s="3"/>
    </row>
    <row r="279" spans="1:11">
      <c r="A279" t="s">
        <v>5266</v>
      </c>
      <c r="B279" s="1">
        <v>41549</v>
      </c>
      <c r="C279" t="s">
        <v>5267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2"/>
        <v>187702.5625</v>
      </c>
      <c r="I279" s="3">
        <v>30032.41</v>
      </c>
      <c r="J279" s="3"/>
      <c r="K279" s="3"/>
    </row>
    <row r="280" spans="1:11">
      <c r="A280" t="s">
        <v>5269</v>
      </c>
      <c r="B280" s="1">
        <v>41549</v>
      </c>
      <c r="C280" t="s">
        <v>5270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2"/>
        <v>169608.1875</v>
      </c>
      <c r="I280" s="3">
        <v>27137.31</v>
      </c>
    </row>
    <row r="281" spans="1:11">
      <c r="A281" t="s">
        <v>976</v>
      </c>
      <c r="B281" s="1">
        <v>41549</v>
      </c>
      <c r="C281" t="s">
        <v>5268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2"/>
        <v>169608.1875</v>
      </c>
      <c r="I281" s="3">
        <v>27137.31</v>
      </c>
    </row>
    <row r="282" spans="1:11">
      <c r="A282" t="s">
        <v>5271</v>
      </c>
      <c r="B282" s="1">
        <v>41549</v>
      </c>
      <c r="C282" t="s">
        <v>5272</v>
      </c>
      <c r="D282">
        <v>1</v>
      </c>
      <c r="E282" t="s">
        <v>6</v>
      </c>
      <c r="F282" s="30" t="s">
        <v>886</v>
      </c>
      <c r="G282" s="31" t="s">
        <v>887</v>
      </c>
      <c r="H282" s="3">
        <f t="shared" si="12"/>
        <v>277624.5625</v>
      </c>
      <c r="I282" s="3">
        <v>44419.93</v>
      </c>
    </row>
    <row r="283" spans="1:11">
      <c r="A283" t="s">
        <v>5278</v>
      </c>
      <c r="B283" s="1">
        <v>41550</v>
      </c>
      <c r="C283" t="s">
        <v>242</v>
      </c>
      <c r="D283">
        <v>1</v>
      </c>
      <c r="E283" t="s">
        <v>6</v>
      </c>
      <c r="F283" s="30" t="s">
        <v>886</v>
      </c>
      <c r="G283" s="31" t="s">
        <v>887</v>
      </c>
      <c r="H283" s="3">
        <f t="shared" si="12"/>
        <v>-286310.625</v>
      </c>
      <c r="I283" s="3">
        <v>-45809.7</v>
      </c>
      <c r="J283" s="3"/>
      <c r="K283" s="72"/>
    </row>
    <row r="284" spans="1:11">
      <c r="A284" t="s">
        <v>5279</v>
      </c>
      <c r="B284" s="1">
        <v>41550</v>
      </c>
      <c r="C284" t="s">
        <v>5280</v>
      </c>
      <c r="D284">
        <v>1</v>
      </c>
      <c r="E284" t="s">
        <v>6</v>
      </c>
      <c r="F284" s="30" t="s">
        <v>886</v>
      </c>
      <c r="G284" s="31" t="s">
        <v>887</v>
      </c>
      <c r="H284" s="3">
        <f t="shared" si="12"/>
        <v>277689.9375</v>
      </c>
      <c r="I284" s="3">
        <v>44430.39</v>
      </c>
      <c r="J284" s="3"/>
      <c r="K284" s="3"/>
    </row>
    <row r="285" spans="1:11">
      <c r="A285" t="s">
        <v>5286</v>
      </c>
      <c r="B285" s="1">
        <v>41551</v>
      </c>
      <c r="C285" t="s">
        <v>5287</v>
      </c>
      <c r="D285">
        <v>1</v>
      </c>
      <c r="E285" t="s">
        <v>6</v>
      </c>
      <c r="F285" s="30" t="s">
        <v>886</v>
      </c>
      <c r="G285" s="31" t="s">
        <v>887</v>
      </c>
      <c r="H285" s="3">
        <f t="shared" si="12"/>
        <v>202725.8125</v>
      </c>
      <c r="I285" s="3">
        <v>32436.13</v>
      </c>
      <c r="J285" s="3"/>
      <c r="K285" s="3"/>
    </row>
    <row r="286" spans="1:11">
      <c r="A286" t="s">
        <v>5288</v>
      </c>
      <c r="B286" s="1">
        <v>41551</v>
      </c>
      <c r="C286" t="s">
        <v>5289</v>
      </c>
      <c r="D286">
        <v>1</v>
      </c>
      <c r="E286" t="s">
        <v>6</v>
      </c>
      <c r="F286" s="30" t="s">
        <v>886</v>
      </c>
      <c r="G286" s="31" t="s">
        <v>887</v>
      </c>
      <c r="H286" s="3">
        <f t="shared" si="12"/>
        <v>187966.5</v>
      </c>
      <c r="I286" s="3">
        <v>30074.639999999999</v>
      </c>
      <c r="J286" s="3"/>
      <c r="K286" s="3"/>
    </row>
    <row r="287" spans="1:11">
      <c r="A287" t="s">
        <v>5290</v>
      </c>
      <c r="B287" s="1">
        <v>41551</v>
      </c>
      <c r="C287" t="s">
        <v>5291</v>
      </c>
      <c r="D287">
        <v>1</v>
      </c>
      <c r="E287" t="s">
        <v>6</v>
      </c>
      <c r="F287" s="30" t="s">
        <v>886</v>
      </c>
      <c r="G287" s="31" t="s">
        <v>887</v>
      </c>
      <c r="H287" s="3">
        <f t="shared" si="12"/>
        <v>187966.5</v>
      </c>
      <c r="I287" s="3">
        <v>30074.639999999999</v>
      </c>
      <c r="J287" s="3"/>
      <c r="K287" s="3"/>
    </row>
    <row r="288" spans="1:11">
      <c r="A288" t="s">
        <v>5292</v>
      </c>
      <c r="B288" s="1">
        <v>41551</v>
      </c>
      <c r="C288" t="s">
        <v>5293</v>
      </c>
      <c r="D288">
        <v>1</v>
      </c>
      <c r="E288" t="s">
        <v>6</v>
      </c>
      <c r="F288" s="30" t="s">
        <v>886</v>
      </c>
      <c r="G288" s="31" t="s">
        <v>887</v>
      </c>
      <c r="H288" s="3">
        <f t="shared" si="12"/>
        <v>187966.5</v>
      </c>
      <c r="I288" s="3">
        <v>30074.639999999999</v>
      </c>
      <c r="J288" s="3"/>
      <c r="K288" s="3"/>
    </row>
    <row r="289" spans="1:11">
      <c r="A289" t="s">
        <v>1017</v>
      </c>
      <c r="B289" s="1">
        <v>41551</v>
      </c>
      <c r="C289" t="s">
        <v>5294</v>
      </c>
      <c r="D289">
        <v>1</v>
      </c>
      <c r="E289" t="s">
        <v>6</v>
      </c>
      <c r="F289" s="30" t="s">
        <v>886</v>
      </c>
      <c r="G289" s="31" t="s">
        <v>887</v>
      </c>
      <c r="H289" s="3">
        <f t="shared" si="12"/>
        <v>202725.8125</v>
      </c>
      <c r="I289" s="3">
        <v>32436.13</v>
      </c>
      <c r="J289" s="3"/>
      <c r="K289" s="3"/>
    </row>
    <row r="290" spans="1:11">
      <c r="A290" t="s">
        <v>1019</v>
      </c>
      <c r="B290" s="1">
        <v>41551</v>
      </c>
      <c r="C290" t="s">
        <v>5295</v>
      </c>
      <c r="D290">
        <v>1</v>
      </c>
      <c r="E290" t="s">
        <v>6</v>
      </c>
      <c r="F290" s="30" t="s">
        <v>886</v>
      </c>
      <c r="G290" s="31" t="s">
        <v>887</v>
      </c>
      <c r="H290" s="3">
        <f t="shared" si="12"/>
        <v>202725.8125</v>
      </c>
      <c r="I290" s="3">
        <v>32436.13</v>
      </c>
      <c r="J290" s="3"/>
      <c r="K290" s="3"/>
    </row>
    <row r="291" spans="1:11">
      <c r="A291" t="s">
        <v>1021</v>
      </c>
      <c r="B291" s="1">
        <v>41551</v>
      </c>
      <c r="C291" t="s">
        <v>5296</v>
      </c>
      <c r="D291">
        <v>1</v>
      </c>
      <c r="E291" t="s">
        <v>6</v>
      </c>
      <c r="F291" s="30" t="s">
        <v>886</v>
      </c>
      <c r="G291" s="31" t="s">
        <v>887</v>
      </c>
      <c r="H291" s="3">
        <f t="shared" si="12"/>
        <v>202725.8125</v>
      </c>
      <c r="I291" s="3">
        <v>32436.13</v>
      </c>
      <c r="J291" s="3"/>
      <c r="K291" s="3"/>
    </row>
    <row r="292" spans="1:11">
      <c r="A292" t="s">
        <v>5297</v>
      </c>
      <c r="B292" s="1">
        <v>41551</v>
      </c>
      <c r="C292" t="s">
        <v>5298</v>
      </c>
      <c r="D292">
        <v>1</v>
      </c>
      <c r="E292" t="s">
        <v>6</v>
      </c>
      <c r="F292" s="30" t="s">
        <v>886</v>
      </c>
      <c r="G292" s="31" t="s">
        <v>887</v>
      </c>
      <c r="H292" s="3">
        <f t="shared" si="12"/>
        <v>202725.8125</v>
      </c>
      <c r="I292" s="3">
        <v>32436.13</v>
      </c>
      <c r="J292" s="3"/>
      <c r="K292" s="3"/>
    </row>
    <row r="293" spans="1:11">
      <c r="A293" t="s">
        <v>1023</v>
      </c>
      <c r="B293" s="1">
        <v>41551</v>
      </c>
      <c r="C293" t="s">
        <v>5299</v>
      </c>
      <c r="D293">
        <v>1</v>
      </c>
      <c r="E293" t="s">
        <v>6</v>
      </c>
      <c r="F293" s="30" t="s">
        <v>886</v>
      </c>
      <c r="G293" s="31" t="s">
        <v>887</v>
      </c>
      <c r="H293" s="3">
        <f t="shared" si="12"/>
        <v>202725.8125</v>
      </c>
      <c r="I293" s="3">
        <v>32436.13</v>
      </c>
      <c r="J293" s="3"/>
      <c r="K293" s="3"/>
    </row>
    <row r="294" spans="1:11">
      <c r="A294" t="s">
        <v>3818</v>
      </c>
      <c r="B294" s="1">
        <v>41551</v>
      </c>
      <c r="C294" t="s">
        <v>5300</v>
      </c>
      <c r="D294">
        <v>1</v>
      </c>
      <c r="E294" t="s">
        <v>6</v>
      </c>
      <c r="F294" s="30" t="s">
        <v>886</v>
      </c>
      <c r="G294" s="31" t="s">
        <v>887</v>
      </c>
      <c r="H294" s="3">
        <f t="shared" si="12"/>
        <v>259916.0625</v>
      </c>
      <c r="I294" s="3">
        <v>41586.57</v>
      </c>
      <c r="J294" s="3"/>
      <c r="K294" s="3"/>
    </row>
    <row r="295" spans="1:11">
      <c r="A295" t="s">
        <v>5301</v>
      </c>
      <c r="B295" s="1">
        <v>41551</v>
      </c>
      <c r="C295" t="s">
        <v>5302</v>
      </c>
      <c r="D295">
        <v>1</v>
      </c>
      <c r="E295" t="s">
        <v>6</v>
      </c>
      <c r="F295" s="30" t="s">
        <v>886</v>
      </c>
      <c r="G295" s="31" t="s">
        <v>887</v>
      </c>
      <c r="H295" s="3">
        <f t="shared" si="12"/>
        <v>259916.0625</v>
      </c>
      <c r="I295" s="3">
        <v>41586.57</v>
      </c>
      <c r="J295" s="3"/>
      <c r="K295" s="3"/>
    </row>
    <row r="296" spans="1:11">
      <c r="A296" t="s">
        <v>5303</v>
      </c>
      <c r="B296" s="1">
        <v>41551</v>
      </c>
      <c r="C296" t="s">
        <v>5304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12"/>
        <v>259060.125</v>
      </c>
      <c r="I296" s="3">
        <v>41449.620000000003</v>
      </c>
      <c r="J296" s="3"/>
      <c r="K296" s="3"/>
    </row>
    <row r="297" spans="1:11">
      <c r="A297" t="s">
        <v>5305</v>
      </c>
      <c r="B297" s="1">
        <v>41554</v>
      </c>
      <c r="C297" t="s">
        <v>4816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12"/>
        <v>-210084.93749999997</v>
      </c>
      <c r="I297" s="3">
        <v>-33613.589999999997</v>
      </c>
      <c r="J297" s="3"/>
      <c r="K297" s="72"/>
    </row>
    <row r="298" spans="1:11">
      <c r="A298" t="s">
        <v>3832</v>
      </c>
      <c r="B298" s="1">
        <v>41554</v>
      </c>
      <c r="C298" t="s">
        <v>5306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12"/>
        <v>296734.25</v>
      </c>
      <c r="I298" s="3">
        <v>47477.48</v>
      </c>
      <c r="J298" s="3"/>
      <c r="K298" s="3"/>
    </row>
    <row r="299" spans="1:11">
      <c r="A299" t="s">
        <v>5313</v>
      </c>
      <c r="B299" s="1">
        <v>41556</v>
      </c>
      <c r="C299" t="s">
        <v>5314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12"/>
        <v>300276.5625</v>
      </c>
      <c r="I299" s="3">
        <v>48044.25</v>
      </c>
      <c r="J299" s="3"/>
      <c r="K299" s="3"/>
    </row>
    <row r="300" spans="1:11">
      <c r="A300" t="s">
        <v>1767</v>
      </c>
      <c r="B300" s="1">
        <v>41556</v>
      </c>
      <c r="C300" t="s">
        <v>5315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12"/>
        <v>202461.875</v>
      </c>
      <c r="I300" s="3">
        <v>32393.9</v>
      </c>
      <c r="J300" s="3"/>
      <c r="K300" s="3"/>
    </row>
    <row r="301" spans="1:11">
      <c r="A301" t="s">
        <v>5316</v>
      </c>
      <c r="B301" s="1">
        <v>41556</v>
      </c>
      <c r="C301" t="s">
        <v>5317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12"/>
        <v>209821</v>
      </c>
      <c r="I301" s="3">
        <v>33571.360000000001</v>
      </c>
      <c r="J301" s="3"/>
      <c r="K301" s="3"/>
    </row>
    <row r="302" spans="1:11">
      <c r="A302" t="s">
        <v>4407</v>
      </c>
      <c r="B302" s="1">
        <v>41556</v>
      </c>
      <c r="C302" t="s">
        <v>5318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12"/>
        <v>162082.3125</v>
      </c>
      <c r="I302" s="3">
        <v>25933.17</v>
      </c>
      <c r="J302" s="3"/>
      <c r="K302" s="3"/>
    </row>
    <row r="303" spans="1:11">
      <c r="A303" t="s">
        <v>2392</v>
      </c>
      <c r="B303" s="1">
        <v>41556</v>
      </c>
      <c r="C303" t="s">
        <v>5319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12"/>
        <v>169608.1875</v>
      </c>
      <c r="I303" s="3">
        <v>27137.31</v>
      </c>
      <c r="J303" s="3"/>
      <c r="K303" s="3"/>
    </row>
    <row r="304" spans="1:11">
      <c r="A304" t="s">
        <v>63</v>
      </c>
      <c r="B304" s="1">
        <v>41556</v>
      </c>
      <c r="C304" t="s">
        <v>5320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12"/>
        <v>202725.8125</v>
      </c>
      <c r="I304" s="3">
        <v>32436.13</v>
      </c>
      <c r="J304" s="3"/>
      <c r="K304" s="3"/>
    </row>
    <row r="305" spans="1:11">
      <c r="A305" t="s">
        <v>5321</v>
      </c>
      <c r="B305" s="1">
        <v>41556</v>
      </c>
      <c r="C305" t="s">
        <v>5322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12"/>
        <v>202725.8125</v>
      </c>
      <c r="I305" s="3">
        <v>32436.13</v>
      </c>
      <c r="J305" s="3"/>
      <c r="K305" s="3"/>
    </row>
    <row r="306" spans="1:11">
      <c r="A306" t="s">
        <v>5328</v>
      </c>
      <c r="B306" s="1">
        <v>41558</v>
      </c>
      <c r="C306" t="s">
        <v>5329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12"/>
        <v>296733.375</v>
      </c>
      <c r="I306" s="3">
        <v>47477.34</v>
      </c>
      <c r="J306" s="3"/>
      <c r="K306" s="3"/>
    </row>
    <row r="307" spans="1:11">
      <c r="A307" t="s">
        <v>5330</v>
      </c>
      <c r="B307" s="1">
        <v>41558</v>
      </c>
      <c r="C307" t="s">
        <v>5331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12"/>
        <v>296733.375</v>
      </c>
      <c r="I307" s="3">
        <v>47477.34</v>
      </c>
      <c r="J307" s="3"/>
      <c r="K307" s="3"/>
    </row>
    <row r="308" spans="1:11">
      <c r="A308" t="s">
        <v>5334</v>
      </c>
      <c r="B308" s="1">
        <v>41561</v>
      </c>
      <c r="C308" t="s">
        <v>5335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12"/>
        <v>202725.8125</v>
      </c>
      <c r="I308" s="3">
        <v>32436.13</v>
      </c>
      <c r="J308" s="3"/>
      <c r="K308" s="3"/>
    </row>
    <row r="309" spans="1:11">
      <c r="A309" t="s">
        <v>5348</v>
      </c>
      <c r="B309" s="1">
        <v>41562</v>
      </c>
      <c r="C309" t="s">
        <v>5349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12"/>
        <v>296733.375</v>
      </c>
      <c r="I309" s="3">
        <v>47477.34</v>
      </c>
      <c r="J309" s="3"/>
      <c r="K309" s="3"/>
    </row>
    <row r="310" spans="1:11">
      <c r="A310" t="s">
        <v>5350</v>
      </c>
      <c r="B310" s="1">
        <v>41563</v>
      </c>
      <c r="C310" t="s">
        <v>5351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12"/>
        <v>476941.625</v>
      </c>
      <c r="I310" s="3">
        <v>76310.66</v>
      </c>
      <c r="J310" s="3"/>
      <c r="K310" s="3"/>
    </row>
    <row r="311" spans="1:11">
      <c r="A311" t="s">
        <v>1178</v>
      </c>
      <c r="B311" s="1">
        <v>41563</v>
      </c>
      <c r="C311" t="s">
        <v>4826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12"/>
        <v>-210084.93749999997</v>
      </c>
      <c r="I311" s="3">
        <v>-33613.589999999997</v>
      </c>
      <c r="J311" s="3"/>
      <c r="K311" s="72"/>
    </row>
    <row r="312" spans="1:11">
      <c r="A312" t="s">
        <v>5354</v>
      </c>
      <c r="B312" s="1">
        <v>41563</v>
      </c>
      <c r="C312" t="s">
        <v>4826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12"/>
        <v>209821</v>
      </c>
      <c r="I312" s="3">
        <v>33571.360000000001</v>
      </c>
      <c r="J312" s="3"/>
      <c r="K312" s="3"/>
    </row>
    <row r="313" spans="1:11">
      <c r="A313" t="s">
        <v>4833</v>
      </c>
      <c r="B313" s="1">
        <v>41564</v>
      </c>
      <c r="C313" t="s">
        <v>5314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12"/>
        <v>-300276.5625</v>
      </c>
      <c r="I313" s="3">
        <v>-48044.25</v>
      </c>
      <c r="J313" s="3"/>
      <c r="K313" s="72"/>
    </row>
    <row r="314" spans="1:11">
      <c r="A314" t="s">
        <v>2433</v>
      </c>
      <c r="B314" s="1">
        <v>41564</v>
      </c>
      <c r="C314" t="s">
        <v>5391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12"/>
        <v>300276.5625</v>
      </c>
      <c r="I314" s="3">
        <v>48044.25</v>
      </c>
      <c r="J314" s="3"/>
      <c r="K314" s="3"/>
    </row>
    <row r="315" spans="1:11">
      <c r="A315" t="s">
        <v>5392</v>
      </c>
      <c r="B315" s="1">
        <v>41568</v>
      </c>
      <c r="C315" t="s">
        <v>5393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12"/>
        <v>202725.8125</v>
      </c>
      <c r="I315" s="3">
        <v>32436.13</v>
      </c>
      <c r="J315" s="3"/>
      <c r="K315" s="3"/>
    </row>
    <row r="316" spans="1:11">
      <c r="A316" t="s">
        <v>5401</v>
      </c>
      <c r="B316" s="1">
        <v>41569</v>
      </c>
      <c r="C316" t="s">
        <v>5265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ref="H316:H399" si="13">+I316/0.16</f>
        <v>-187702.5625</v>
      </c>
      <c r="I316" s="3">
        <v>-30032.41</v>
      </c>
      <c r="J316" s="3"/>
      <c r="K316" s="72"/>
    </row>
    <row r="317" spans="1:11">
      <c r="A317" t="s">
        <v>5402</v>
      </c>
      <c r="B317" s="1">
        <v>41569</v>
      </c>
      <c r="C317" t="s">
        <v>5403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si="13"/>
        <v>187702.5625</v>
      </c>
      <c r="I317" s="3">
        <v>30032.41</v>
      </c>
      <c r="J317" s="3"/>
      <c r="K317" s="3"/>
    </row>
    <row r="318" spans="1:11">
      <c r="A318" t="s">
        <v>5404</v>
      </c>
      <c r="B318" s="1">
        <v>41570</v>
      </c>
      <c r="C318" t="s">
        <v>5405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13"/>
        <v>217444.0625</v>
      </c>
      <c r="I318" s="3">
        <v>34791.050000000003</v>
      </c>
      <c r="J318" s="3"/>
      <c r="K318" s="3"/>
    </row>
    <row r="319" spans="1:11">
      <c r="A319" t="s">
        <v>5419</v>
      </c>
      <c r="B319" s="1">
        <v>41572</v>
      </c>
      <c r="C319" t="s">
        <v>5420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13"/>
        <v>180602.62499999997</v>
      </c>
      <c r="I319" s="3">
        <v>28896.42</v>
      </c>
      <c r="J319" s="3"/>
      <c r="K319" s="3"/>
    </row>
    <row r="320" spans="1:11">
      <c r="A320" t="s">
        <v>1367</v>
      </c>
      <c r="B320" s="1">
        <v>41573</v>
      </c>
      <c r="C320" t="s">
        <v>5421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13"/>
        <v>187966.5</v>
      </c>
      <c r="I320" s="3">
        <v>30074.639999999999</v>
      </c>
      <c r="J320" s="3"/>
      <c r="K320" s="3"/>
    </row>
    <row r="321" spans="1:11">
      <c r="A321" t="s">
        <v>2469</v>
      </c>
      <c r="B321" s="1">
        <v>41573</v>
      </c>
      <c r="C321" t="s">
        <v>4886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13"/>
        <v>-217444.0625</v>
      </c>
      <c r="I321" s="3">
        <v>-34791.050000000003</v>
      </c>
      <c r="J321" s="3"/>
      <c r="K321" s="72"/>
    </row>
    <row r="322" spans="1:11">
      <c r="A322" t="s">
        <v>5434</v>
      </c>
      <c r="B322" s="1">
        <v>41575</v>
      </c>
      <c r="C322" t="s">
        <v>5435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13"/>
        <v>296733.375</v>
      </c>
      <c r="I322" s="3">
        <v>47477.34</v>
      </c>
      <c r="J322" s="3"/>
      <c r="K322" s="3"/>
    </row>
    <row r="323" spans="1:11">
      <c r="A323" t="s">
        <v>5230</v>
      </c>
      <c r="B323" s="1">
        <v>41575</v>
      </c>
      <c r="C323" t="s">
        <v>5436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13"/>
        <v>202725.8125</v>
      </c>
      <c r="I323" s="3">
        <v>32436.13</v>
      </c>
      <c r="J323" s="3"/>
      <c r="K323" s="3"/>
    </row>
    <row r="324" spans="1:11">
      <c r="A324" t="s">
        <v>4914</v>
      </c>
      <c r="B324" s="1">
        <v>41575</v>
      </c>
      <c r="C324" t="s">
        <v>5437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13"/>
        <v>180498.125</v>
      </c>
      <c r="I324" s="3">
        <v>28879.7</v>
      </c>
      <c r="J324" s="3"/>
      <c r="K324" s="3"/>
    </row>
    <row r="325" spans="1:11">
      <c r="A325" t="s">
        <v>5220</v>
      </c>
      <c r="B325" s="1">
        <v>41575</v>
      </c>
      <c r="C325" t="s">
        <v>5438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13"/>
        <v>259916.0625</v>
      </c>
      <c r="I325" s="3">
        <v>41586.57</v>
      </c>
      <c r="J325" s="3"/>
      <c r="K325" s="3"/>
    </row>
    <row r="326" spans="1:11">
      <c r="A326" t="s">
        <v>5221</v>
      </c>
      <c r="B326" s="1">
        <v>41575</v>
      </c>
      <c r="C326" t="s">
        <v>5439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13"/>
        <v>355043.625</v>
      </c>
      <c r="I326" s="3">
        <v>56806.98</v>
      </c>
      <c r="J326" s="3"/>
      <c r="K326" s="3"/>
    </row>
    <row r="327" spans="1:11">
      <c r="A327" t="s">
        <v>4921</v>
      </c>
      <c r="B327" s="1">
        <v>41575</v>
      </c>
      <c r="C327" t="s">
        <v>5440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13"/>
        <v>355043.625</v>
      </c>
      <c r="I327" s="3">
        <v>56806.98</v>
      </c>
      <c r="J327" s="3"/>
      <c r="K327" s="3"/>
    </row>
    <row r="328" spans="1:11">
      <c r="A328" t="s">
        <v>5200</v>
      </c>
      <c r="B328" s="1">
        <v>41575</v>
      </c>
      <c r="C328" t="s">
        <v>5441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13"/>
        <v>355043.625</v>
      </c>
      <c r="I328" s="3">
        <v>56806.98</v>
      </c>
      <c r="J328" s="3"/>
      <c r="K328" s="3"/>
    </row>
    <row r="329" spans="1:11">
      <c r="A329" t="s">
        <v>5442</v>
      </c>
      <c r="B329" s="1">
        <v>41575</v>
      </c>
      <c r="C329" t="s">
        <v>5443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13"/>
        <v>550808</v>
      </c>
      <c r="I329" s="3">
        <v>88129.279999999999</v>
      </c>
      <c r="J329" s="3"/>
      <c r="K329" s="3"/>
    </row>
    <row r="330" spans="1:11">
      <c r="A330" t="s">
        <v>5444</v>
      </c>
      <c r="B330" s="1">
        <v>41575</v>
      </c>
      <c r="C330" t="s">
        <v>5445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13"/>
        <v>296733.375</v>
      </c>
      <c r="I330" s="3">
        <v>47477.34</v>
      </c>
      <c r="J330" s="3"/>
      <c r="K330" s="3"/>
    </row>
    <row r="331" spans="1:11">
      <c r="A331" t="s">
        <v>5446</v>
      </c>
      <c r="B331" s="1">
        <v>41575</v>
      </c>
      <c r="C331" t="s">
        <v>5447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13"/>
        <v>210084.93749999997</v>
      </c>
      <c r="I331" s="3">
        <v>33613.589999999997</v>
      </c>
      <c r="J331" s="3"/>
      <c r="K331" s="3"/>
    </row>
    <row r="332" spans="1:11">
      <c r="A332" t="s">
        <v>4924</v>
      </c>
      <c r="B332" s="1">
        <v>41575</v>
      </c>
      <c r="C332" t="s">
        <v>5448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13"/>
        <v>309450.625</v>
      </c>
      <c r="I332" s="3">
        <v>49512.1</v>
      </c>
      <c r="J332" s="3"/>
      <c r="K332" s="3"/>
    </row>
    <row r="333" spans="1:11">
      <c r="A333" t="s">
        <v>5202</v>
      </c>
      <c r="B333" s="1">
        <v>41575</v>
      </c>
      <c r="C333" t="s">
        <v>5449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13"/>
        <v>301376.1875</v>
      </c>
      <c r="I333" s="3">
        <v>48220.19</v>
      </c>
      <c r="J333" s="3"/>
      <c r="K333" s="3"/>
    </row>
    <row r="334" spans="1:11">
      <c r="A334" t="s">
        <v>4927</v>
      </c>
      <c r="B334" s="1">
        <v>41575</v>
      </c>
      <c r="C334" t="s">
        <v>5450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13"/>
        <v>259916.0625</v>
      </c>
      <c r="I334" s="3">
        <v>41586.57</v>
      </c>
      <c r="J334" s="3"/>
      <c r="K334" s="3"/>
    </row>
    <row r="335" spans="1:11">
      <c r="A335" t="s">
        <v>3117</v>
      </c>
      <c r="B335" s="1">
        <v>41576</v>
      </c>
      <c r="C335" t="s">
        <v>5472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13"/>
        <v>322237.5</v>
      </c>
      <c r="I335" s="3">
        <v>51558</v>
      </c>
      <c r="J335" s="3"/>
      <c r="K335" s="3"/>
    </row>
    <row r="336" spans="1:11">
      <c r="A336" t="s">
        <v>3122</v>
      </c>
      <c r="B336" s="1">
        <v>41576</v>
      </c>
      <c r="C336" t="s">
        <v>5475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13"/>
        <v>217444.0625</v>
      </c>
      <c r="I336" s="3">
        <v>34791.050000000003</v>
      </c>
      <c r="J336" s="3"/>
      <c r="K336" s="3"/>
    </row>
    <row r="337" spans="1:11">
      <c r="A337" t="s">
        <v>1464</v>
      </c>
      <c r="B337" s="1">
        <v>41576</v>
      </c>
      <c r="C337" t="s">
        <v>5492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13"/>
        <v>355043.625</v>
      </c>
      <c r="I337" s="3">
        <v>56806.98</v>
      </c>
      <c r="J337" s="3"/>
      <c r="K337" s="3"/>
    </row>
    <row r="338" spans="1:11">
      <c r="A338" t="s">
        <v>5493</v>
      </c>
      <c r="B338" s="1">
        <v>41576</v>
      </c>
      <c r="C338" t="s">
        <v>5494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13"/>
        <v>311102.9375</v>
      </c>
      <c r="I338" s="3">
        <v>49776.47</v>
      </c>
      <c r="J338" s="3"/>
      <c r="K338" s="3"/>
    </row>
    <row r="339" spans="1:11">
      <c r="A339" t="s">
        <v>5495</v>
      </c>
      <c r="B339" s="1">
        <v>41577</v>
      </c>
      <c r="C339" t="s">
        <v>5496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13"/>
        <v>202725.8125</v>
      </c>
      <c r="I339" s="3">
        <v>32436.13</v>
      </c>
      <c r="J339" s="3"/>
      <c r="K339" s="3"/>
    </row>
    <row r="340" spans="1:11">
      <c r="A340" t="s">
        <v>1524</v>
      </c>
      <c r="B340" s="1">
        <v>41577</v>
      </c>
      <c r="C340" t="s">
        <v>5497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13"/>
        <v>180498.125</v>
      </c>
      <c r="I340" s="3">
        <v>28879.7</v>
      </c>
      <c r="J340" s="3"/>
      <c r="K340" s="3"/>
    </row>
    <row r="341" spans="1:11">
      <c r="A341" t="s">
        <v>1527</v>
      </c>
      <c r="B341" s="1">
        <v>41577</v>
      </c>
      <c r="C341" t="s">
        <v>5498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13"/>
        <v>296733.375</v>
      </c>
      <c r="I341" s="3">
        <v>47477.34</v>
      </c>
      <c r="J341" s="3"/>
      <c r="K341" s="3"/>
    </row>
    <row r="342" spans="1:11">
      <c r="A342" t="s">
        <v>1721</v>
      </c>
      <c r="B342" s="1">
        <v>41577</v>
      </c>
      <c r="C342" t="s">
        <v>5448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si="13"/>
        <v>-309450.625</v>
      </c>
      <c r="I342" s="3">
        <v>-49512.1</v>
      </c>
      <c r="J342" s="3"/>
      <c r="K342" s="72"/>
    </row>
    <row r="343" spans="1:11">
      <c r="A343" t="s">
        <v>462</v>
      </c>
      <c r="B343" s="1">
        <v>41577</v>
      </c>
      <c r="C343" t="s">
        <v>5499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si="13"/>
        <v>309450.625</v>
      </c>
      <c r="I343" s="3">
        <v>49512.1</v>
      </c>
      <c r="J343" s="3"/>
      <c r="K343" s="3"/>
    </row>
    <row r="344" spans="1:11">
      <c r="A344" t="s">
        <v>2586</v>
      </c>
      <c r="B344" s="1">
        <v>41577</v>
      </c>
      <c r="C344" t="s">
        <v>5500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13"/>
        <v>202461.875</v>
      </c>
      <c r="I344" s="3">
        <v>32393.9</v>
      </c>
      <c r="J344" s="3"/>
      <c r="K344" s="3"/>
    </row>
    <row r="345" spans="1:11">
      <c r="A345" t="s">
        <v>5235</v>
      </c>
      <c r="B345" s="1">
        <v>41578</v>
      </c>
      <c r="C345" t="s">
        <v>5504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13"/>
        <v>217444.0625</v>
      </c>
      <c r="I345" s="3">
        <v>34791.050000000003</v>
      </c>
      <c r="J345" s="3"/>
      <c r="K345" s="3"/>
    </row>
    <row r="346" spans="1:11">
      <c r="A346" t="s">
        <v>650</v>
      </c>
      <c r="B346" s="1">
        <v>41578</v>
      </c>
      <c r="C346" t="s">
        <v>5520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13"/>
        <v>221634.8125</v>
      </c>
      <c r="I346" s="3">
        <v>35461.57</v>
      </c>
      <c r="J346" s="3"/>
      <c r="K346" s="3"/>
    </row>
    <row r="347" spans="1:11">
      <c r="A347" t="s">
        <v>656</v>
      </c>
      <c r="B347" s="1">
        <v>41578</v>
      </c>
      <c r="C347" t="s">
        <v>5521</v>
      </c>
      <c r="D347">
        <v>1</v>
      </c>
      <c r="E347" t="s">
        <v>6</v>
      </c>
      <c r="F347" s="30" t="s">
        <v>886</v>
      </c>
      <c r="G347" s="31" t="s">
        <v>887</v>
      </c>
      <c r="H347" s="3">
        <f t="shared" si="13"/>
        <v>180602.62499999997</v>
      </c>
      <c r="I347" s="3">
        <v>28896.42</v>
      </c>
      <c r="J347" s="3"/>
      <c r="K347" s="3"/>
    </row>
    <row r="348" spans="1:11">
      <c r="A348" t="s">
        <v>671</v>
      </c>
      <c r="B348" s="1">
        <v>41578</v>
      </c>
      <c r="C348" t="s">
        <v>5522</v>
      </c>
      <c r="D348">
        <v>1</v>
      </c>
      <c r="E348" t="s">
        <v>6</v>
      </c>
      <c r="F348" s="30" t="s">
        <v>886</v>
      </c>
      <c r="G348" s="31" t="s">
        <v>887</v>
      </c>
      <c r="H348" s="3">
        <f t="shared" si="13"/>
        <v>330512.6875</v>
      </c>
      <c r="I348" s="3">
        <v>52882.03</v>
      </c>
      <c r="J348" s="3"/>
      <c r="K348" s="3"/>
    </row>
    <row r="349" spans="1:11">
      <c r="A349" t="s">
        <v>4593</v>
      </c>
      <c r="B349" s="1">
        <v>41578</v>
      </c>
      <c r="C349" t="s">
        <v>5523</v>
      </c>
      <c r="D349">
        <v>1</v>
      </c>
      <c r="E349" t="s">
        <v>6</v>
      </c>
      <c r="F349" s="30" t="s">
        <v>886</v>
      </c>
      <c r="G349" s="31" t="s">
        <v>887</v>
      </c>
      <c r="H349" s="3">
        <f t="shared" si="13"/>
        <v>176664.125</v>
      </c>
      <c r="I349" s="3">
        <v>28266.26</v>
      </c>
      <c r="J349" s="3"/>
      <c r="K349" s="3"/>
    </row>
    <row r="350" spans="1:11">
      <c r="A350" t="s">
        <v>1006</v>
      </c>
      <c r="B350" s="1">
        <v>41552</v>
      </c>
      <c r="C350" t="s">
        <v>5560</v>
      </c>
      <c r="D350">
        <v>1</v>
      </c>
      <c r="E350" t="s">
        <v>6</v>
      </c>
      <c r="F350" s="67" t="s">
        <v>829</v>
      </c>
      <c r="G350" s="68" t="s">
        <v>6</v>
      </c>
      <c r="H350" s="3">
        <f t="shared" si="13"/>
        <v>126963.9375</v>
      </c>
      <c r="I350" s="3">
        <v>20314.23</v>
      </c>
    </row>
    <row r="351" spans="1:11">
      <c r="A351" t="s">
        <v>2136</v>
      </c>
      <c r="B351" s="1">
        <v>41552</v>
      </c>
      <c r="C351" t="s">
        <v>5561</v>
      </c>
      <c r="D351">
        <v>1</v>
      </c>
      <c r="E351" t="s">
        <v>6</v>
      </c>
      <c r="F351" s="67" t="s">
        <v>829</v>
      </c>
      <c r="G351" s="68" t="s">
        <v>6</v>
      </c>
      <c r="H351" s="3">
        <f t="shared" si="13"/>
        <v>195506.5</v>
      </c>
      <c r="I351" s="3">
        <v>31281.040000000001</v>
      </c>
    </row>
    <row r="352" spans="1:11">
      <c r="A352" t="s">
        <v>5527</v>
      </c>
      <c r="B352" s="1">
        <v>41578</v>
      </c>
      <c r="C352" t="s">
        <v>5528</v>
      </c>
      <c r="D352">
        <v>1</v>
      </c>
      <c r="E352" t="s">
        <v>5529</v>
      </c>
      <c r="F352" s="67" t="s">
        <v>829</v>
      </c>
      <c r="G352" s="68" t="s">
        <v>6</v>
      </c>
      <c r="H352" s="3">
        <f t="shared" si="13"/>
        <v>559274.75</v>
      </c>
      <c r="I352" s="3">
        <v>89483.96</v>
      </c>
    </row>
    <row r="353" spans="1:11">
      <c r="A353" t="s">
        <v>249</v>
      </c>
      <c r="B353" s="1">
        <v>41564</v>
      </c>
      <c r="C353" t="s">
        <v>5366</v>
      </c>
      <c r="D353">
        <v>1</v>
      </c>
      <c r="E353" t="s">
        <v>5367</v>
      </c>
      <c r="F353" t="s">
        <v>946</v>
      </c>
      <c r="G353" t="s">
        <v>947</v>
      </c>
      <c r="H353" s="46">
        <f t="shared" ref="H353:H396" si="14">I353/0.16</f>
        <v>176.8125</v>
      </c>
      <c r="I353" s="46">
        <v>28.29</v>
      </c>
      <c r="J353" s="3"/>
      <c r="K353" s="3"/>
    </row>
    <row r="354" spans="1:11">
      <c r="A354" t="s">
        <v>249</v>
      </c>
      <c r="B354" s="1">
        <v>41564</v>
      </c>
      <c r="C354" t="s">
        <v>5366</v>
      </c>
      <c r="D354">
        <v>1</v>
      </c>
      <c r="E354" t="s">
        <v>5367</v>
      </c>
      <c r="F354" s="64" t="s">
        <v>941</v>
      </c>
      <c r="G354" s="9" t="s">
        <v>1641</v>
      </c>
      <c r="H354" s="65">
        <f t="shared" si="14"/>
        <v>77.5625</v>
      </c>
      <c r="I354" s="65">
        <v>12.41</v>
      </c>
    </row>
    <row r="355" spans="1:11">
      <c r="A355" t="s">
        <v>249</v>
      </c>
      <c r="B355" s="1">
        <v>41564</v>
      </c>
      <c r="C355" t="s">
        <v>5366</v>
      </c>
      <c r="D355">
        <v>1</v>
      </c>
      <c r="E355" t="s">
        <v>5367</v>
      </c>
      <c r="F355" s="28" t="s">
        <v>5205</v>
      </c>
      <c r="G355" s="28" t="s">
        <v>5206</v>
      </c>
      <c r="H355" s="47">
        <f t="shared" si="14"/>
        <v>394.5</v>
      </c>
      <c r="I355" s="47">
        <v>63.12</v>
      </c>
      <c r="J355" s="14">
        <f>648.88-H353-H354-H355</f>
        <v>4.9999999999954525E-3</v>
      </c>
      <c r="K355" s="14">
        <f>103.82-I354-I353-I355</f>
        <v>0</v>
      </c>
    </row>
    <row r="356" spans="1:11">
      <c r="A356" t="s">
        <v>5378</v>
      </c>
      <c r="B356" s="1">
        <v>41564</v>
      </c>
      <c r="C356" t="s">
        <v>5379</v>
      </c>
      <c r="D356">
        <v>1</v>
      </c>
      <c r="E356" t="s">
        <v>5380</v>
      </c>
      <c r="F356" s="9" t="s">
        <v>3751</v>
      </c>
      <c r="G356" s="9" t="s">
        <v>4343</v>
      </c>
      <c r="H356" s="65">
        <f t="shared" si="14"/>
        <v>86.187499999999986</v>
      </c>
      <c r="I356" s="65">
        <v>13.79</v>
      </c>
      <c r="J356" s="3">
        <f>+K356/0.16</f>
        <v>0</v>
      </c>
      <c r="K356" s="3"/>
    </row>
    <row r="357" spans="1:11">
      <c r="A357" t="s">
        <v>5378</v>
      </c>
      <c r="B357" s="1">
        <v>41564</v>
      </c>
      <c r="C357" t="s">
        <v>5379</v>
      </c>
      <c r="D357">
        <v>1</v>
      </c>
      <c r="E357" t="s">
        <v>5380</v>
      </c>
      <c r="F357" t="s">
        <v>946</v>
      </c>
      <c r="G357" t="s">
        <v>947</v>
      </c>
      <c r="H357" s="3">
        <f t="shared" si="14"/>
        <v>127.62500000000001</v>
      </c>
      <c r="I357" s="46">
        <v>20.420000000000002</v>
      </c>
    </row>
    <row r="358" spans="1:11">
      <c r="A358" t="s">
        <v>5378</v>
      </c>
      <c r="B358" s="1">
        <v>41564</v>
      </c>
      <c r="C358" t="s">
        <v>5379</v>
      </c>
      <c r="D358">
        <v>1</v>
      </c>
      <c r="E358" t="s">
        <v>5380</v>
      </c>
      <c r="F358" t="s">
        <v>946</v>
      </c>
      <c r="G358" t="s">
        <v>947</v>
      </c>
      <c r="H358" s="3">
        <f t="shared" si="14"/>
        <v>116.43749999999999</v>
      </c>
      <c r="I358" s="46">
        <v>18.63</v>
      </c>
    </row>
    <row r="359" spans="1:11">
      <c r="A359" t="s">
        <v>5378</v>
      </c>
      <c r="B359" s="1">
        <v>41564</v>
      </c>
      <c r="C359" t="s">
        <v>5379</v>
      </c>
      <c r="D359">
        <v>1</v>
      </c>
      <c r="E359" t="s">
        <v>5380</v>
      </c>
      <c r="F359" s="28" t="s">
        <v>1671</v>
      </c>
      <c r="G359" s="28" t="s">
        <v>5739</v>
      </c>
      <c r="H359" s="47">
        <f t="shared" si="14"/>
        <v>292.5</v>
      </c>
      <c r="I359" s="47">
        <v>46.8</v>
      </c>
      <c r="J359" s="14">
        <f>622.75-H356-H357-H358-H359</f>
        <v>0</v>
      </c>
      <c r="K359" s="14">
        <f>99.64-I356-I357-I358-I359</f>
        <v>0</v>
      </c>
    </row>
    <row r="360" spans="1:11">
      <c r="A360" t="s">
        <v>243</v>
      </c>
      <c r="B360" s="1">
        <v>41564</v>
      </c>
      <c r="C360" t="s">
        <v>5362</v>
      </c>
      <c r="D360">
        <v>1</v>
      </c>
      <c r="E360" t="s">
        <v>5363</v>
      </c>
      <c r="F360" s="9" t="s">
        <v>941</v>
      </c>
      <c r="G360" s="9" t="s">
        <v>1641</v>
      </c>
      <c r="H360" s="65">
        <f t="shared" si="14"/>
        <v>66.375</v>
      </c>
      <c r="I360" s="65">
        <v>10.62</v>
      </c>
      <c r="J360" s="3"/>
      <c r="K360" s="3"/>
    </row>
    <row r="361" spans="1:11">
      <c r="A361" t="s">
        <v>243</v>
      </c>
      <c r="B361" s="1">
        <v>41564</v>
      </c>
      <c r="C361" t="s">
        <v>5362</v>
      </c>
      <c r="D361">
        <v>1</v>
      </c>
      <c r="E361" t="s">
        <v>5363</v>
      </c>
      <c r="F361" s="9" t="s">
        <v>1651</v>
      </c>
      <c r="G361" s="9" t="s">
        <v>3782</v>
      </c>
      <c r="H361" s="65">
        <f t="shared" si="14"/>
        <v>334.3125</v>
      </c>
      <c r="I361" s="65">
        <v>53.49</v>
      </c>
    </row>
    <row r="362" spans="1:11">
      <c r="A362" t="s">
        <v>243</v>
      </c>
      <c r="B362" s="1">
        <v>41564</v>
      </c>
      <c r="C362" t="s">
        <v>5362</v>
      </c>
      <c r="D362">
        <v>1</v>
      </c>
      <c r="E362" t="s">
        <v>5363</v>
      </c>
      <c r="F362" t="s">
        <v>946</v>
      </c>
      <c r="G362" t="s">
        <v>947</v>
      </c>
      <c r="H362" s="46">
        <f t="shared" si="14"/>
        <v>388</v>
      </c>
      <c r="I362" s="46">
        <v>62.08</v>
      </c>
      <c r="J362" s="14">
        <f>788.69-H360-H361-H362</f>
        <v>2.5000000000545697E-3</v>
      </c>
      <c r="K362" s="14">
        <f>126.19-I360-I361-I362</f>
        <v>0</v>
      </c>
    </row>
    <row r="363" spans="1:11">
      <c r="A363" t="s">
        <v>3913</v>
      </c>
      <c r="B363" s="1">
        <v>41564</v>
      </c>
      <c r="C363" t="s">
        <v>5389</v>
      </c>
      <c r="D363">
        <v>1</v>
      </c>
      <c r="E363" t="s">
        <v>5390</v>
      </c>
      <c r="F363" t="s">
        <v>946</v>
      </c>
      <c r="G363" t="s">
        <v>947</v>
      </c>
      <c r="H363" s="46">
        <f t="shared" si="14"/>
        <v>663.125</v>
      </c>
      <c r="I363" s="46">
        <v>106.1</v>
      </c>
      <c r="J363" s="3"/>
      <c r="K363" s="3"/>
    </row>
    <row r="364" spans="1:11">
      <c r="A364" t="s">
        <v>3913</v>
      </c>
      <c r="B364" s="1">
        <v>41564</v>
      </c>
      <c r="C364" t="s">
        <v>5389</v>
      </c>
      <c r="D364">
        <v>1</v>
      </c>
      <c r="E364" t="s">
        <v>5390</v>
      </c>
      <c r="F364" s="28" t="s">
        <v>939</v>
      </c>
      <c r="G364" s="28" t="s">
        <v>940</v>
      </c>
      <c r="H364" s="47">
        <f t="shared" si="14"/>
        <v>292.5</v>
      </c>
      <c r="I364" s="47">
        <v>46.8</v>
      </c>
    </row>
    <row r="365" spans="1:11">
      <c r="A365" t="s">
        <v>3913</v>
      </c>
      <c r="B365" s="1">
        <v>41564</v>
      </c>
      <c r="C365" t="s">
        <v>5389</v>
      </c>
      <c r="D365">
        <v>1</v>
      </c>
      <c r="E365" t="s">
        <v>5390</v>
      </c>
      <c r="F365" s="28" t="s">
        <v>913</v>
      </c>
      <c r="G365" s="28" t="s">
        <v>914</v>
      </c>
      <c r="H365" s="47">
        <f t="shared" si="14"/>
        <v>585.0625</v>
      </c>
      <c r="I365" s="47">
        <v>93.61</v>
      </c>
      <c r="J365" s="14">
        <f>1540.69-H363-H364-H365</f>
        <v>2.5000000000545697E-3</v>
      </c>
      <c r="K365" s="14">
        <f>246.51-I363-I364-I365</f>
        <v>0</v>
      </c>
    </row>
    <row r="366" spans="1:11">
      <c r="A366" t="s">
        <v>2998</v>
      </c>
      <c r="B366" s="1">
        <v>41564</v>
      </c>
      <c r="C366" t="s">
        <v>5364</v>
      </c>
      <c r="D366">
        <v>1</v>
      </c>
      <c r="E366" t="s">
        <v>5365</v>
      </c>
      <c r="F366" s="9" t="s">
        <v>1582</v>
      </c>
      <c r="G366" s="9" t="s">
        <v>5779</v>
      </c>
      <c r="H366" s="65">
        <f t="shared" si="14"/>
        <v>94.8125</v>
      </c>
      <c r="I366" s="65">
        <v>15.17</v>
      </c>
      <c r="J366" s="3"/>
      <c r="K366" s="3"/>
    </row>
    <row r="367" spans="1:11">
      <c r="A367" t="s">
        <v>2998</v>
      </c>
      <c r="B367" s="1">
        <v>41564</v>
      </c>
      <c r="C367" t="s">
        <v>5364</v>
      </c>
      <c r="D367">
        <v>1</v>
      </c>
      <c r="E367" t="s">
        <v>5365</v>
      </c>
      <c r="F367" s="28" t="s">
        <v>913</v>
      </c>
      <c r="G367" s="28" t="s">
        <v>914</v>
      </c>
      <c r="H367" s="47">
        <f t="shared" si="14"/>
        <v>547.5</v>
      </c>
      <c r="I367" s="47">
        <v>87.6</v>
      </c>
    </row>
    <row r="368" spans="1:11">
      <c r="A368" t="s">
        <v>2998</v>
      </c>
      <c r="B368" s="1">
        <v>41564</v>
      </c>
      <c r="C368" t="s">
        <v>5364</v>
      </c>
      <c r="D368">
        <v>1</v>
      </c>
      <c r="E368" t="s">
        <v>5365</v>
      </c>
      <c r="F368" t="s">
        <v>946</v>
      </c>
      <c r="G368" t="s">
        <v>947</v>
      </c>
      <c r="H368" s="46">
        <f t="shared" si="14"/>
        <v>663.125</v>
      </c>
      <c r="I368" s="46">
        <v>106.1</v>
      </c>
    </row>
    <row r="369" spans="1:12">
      <c r="A369" t="s">
        <v>2998</v>
      </c>
      <c r="B369" s="1">
        <v>41564</v>
      </c>
      <c r="C369" t="s">
        <v>5364</v>
      </c>
      <c r="D369">
        <v>1</v>
      </c>
      <c r="E369" t="s">
        <v>5365</v>
      </c>
      <c r="F369" s="28" t="s">
        <v>939</v>
      </c>
      <c r="G369" s="28" t="s">
        <v>940</v>
      </c>
      <c r="H369" s="47">
        <f t="shared" si="14"/>
        <v>292.5</v>
      </c>
      <c r="I369" s="47">
        <v>46.8</v>
      </c>
      <c r="J369" s="14">
        <f>1597.94-H366-H367-H368-H369</f>
        <v>2.5000000000545697E-3</v>
      </c>
      <c r="K369" s="14">
        <f>255.67-I366-I367-I368-I369</f>
        <v>0</v>
      </c>
    </row>
    <row r="370" spans="1:12">
      <c r="A370" t="s">
        <v>5375</v>
      </c>
      <c r="B370" s="1">
        <v>41564</v>
      </c>
      <c r="C370" t="s">
        <v>5376</v>
      </c>
      <c r="D370">
        <v>1</v>
      </c>
      <c r="E370" t="s">
        <v>5377</v>
      </c>
      <c r="F370" t="s">
        <v>946</v>
      </c>
      <c r="G370" s="33" t="s">
        <v>947</v>
      </c>
      <c r="H370" s="46">
        <f t="shared" si="14"/>
        <v>136.25</v>
      </c>
      <c r="I370" s="46">
        <v>21.8</v>
      </c>
      <c r="J370" s="3"/>
      <c r="K370" s="3"/>
    </row>
    <row r="371" spans="1:12">
      <c r="A371" t="s">
        <v>5375</v>
      </c>
      <c r="B371" s="1">
        <v>41564</v>
      </c>
      <c r="C371" t="s">
        <v>5376</v>
      </c>
      <c r="D371">
        <v>1</v>
      </c>
      <c r="E371" t="s">
        <v>5377</v>
      </c>
      <c r="F371" t="s">
        <v>946</v>
      </c>
      <c r="G371" s="33" t="s">
        <v>947</v>
      </c>
      <c r="H371" s="46">
        <f t="shared" si="14"/>
        <v>259.5625</v>
      </c>
      <c r="I371" s="46">
        <v>41.53</v>
      </c>
    </row>
    <row r="372" spans="1:12">
      <c r="A372" t="s">
        <v>5375</v>
      </c>
      <c r="B372" s="1">
        <v>41564</v>
      </c>
      <c r="C372" t="s">
        <v>5376</v>
      </c>
      <c r="D372">
        <v>1</v>
      </c>
      <c r="E372" t="s">
        <v>5377</v>
      </c>
      <c r="F372" s="28" t="s">
        <v>939</v>
      </c>
      <c r="G372" s="28" t="s">
        <v>940</v>
      </c>
      <c r="H372" s="47">
        <f t="shared" si="14"/>
        <v>334.3125</v>
      </c>
      <c r="I372" s="47">
        <v>53.49</v>
      </c>
      <c r="J372" s="14">
        <f>730.13-H370-H371-H372</f>
        <v>4.9999999999954525E-3</v>
      </c>
      <c r="K372" s="14">
        <f>116.82-I370-I371-I372</f>
        <v>0</v>
      </c>
    </row>
    <row r="373" spans="1:12">
      <c r="A373" t="s">
        <v>3903</v>
      </c>
      <c r="B373" s="1">
        <v>41564</v>
      </c>
      <c r="C373" t="s">
        <v>5370</v>
      </c>
      <c r="D373">
        <v>1</v>
      </c>
      <c r="E373" t="s">
        <v>5371</v>
      </c>
      <c r="F373" t="s">
        <v>946</v>
      </c>
      <c r="G373" t="s">
        <v>947</v>
      </c>
      <c r="H373" s="46">
        <f t="shared" si="14"/>
        <v>102</v>
      </c>
      <c r="I373" s="46">
        <f>19.32-3</f>
        <v>16.32</v>
      </c>
      <c r="J373" s="3"/>
      <c r="K373" s="3"/>
    </row>
    <row r="374" spans="1:12">
      <c r="A374" t="s">
        <v>3903</v>
      </c>
      <c r="B374" s="1">
        <v>41564</v>
      </c>
      <c r="C374" t="s">
        <v>5370</v>
      </c>
      <c r="D374">
        <v>1</v>
      </c>
      <c r="E374" t="s">
        <v>5371</v>
      </c>
      <c r="F374" s="9" t="s">
        <v>5780</v>
      </c>
      <c r="G374" s="9" t="s">
        <v>5781</v>
      </c>
      <c r="H374" s="65">
        <f t="shared" si="14"/>
        <v>334.375</v>
      </c>
      <c r="I374" s="65">
        <v>53.5</v>
      </c>
    </row>
    <row r="375" spans="1:12">
      <c r="A375" t="s">
        <v>3903</v>
      </c>
      <c r="B375" s="1">
        <v>41564</v>
      </c>
      <c r="C375" t="s">
        <v>5370</v>
      </c>
      <c r="D375">
        <v>1</v>
      </c>
      <c r="E375" t="s">
        <v>5371</v>
      </c>
      <c r="F375" s="28" t="s">
        <v>3353</v>
      </c>
      <c r="G375" s="28" t="s">
        <v>5782</v>
      </c>
      <c r="H375" s="47">
        <f t="shared" si="14"/>
        <v>83.625</v>
      </c>
      <c r="I375" s="47">
        <v>13.38</v>
      </c>
    </row>
    <row r="376" spans="1:12">
      <c r="A376" t="s">
        <v>3903</v>
      </c>
      <c r="B376" s="1">
        <v>41564</v>
      </c>
      <c r="C376" t="s">
        <v>5370</v>
      </c>
      <c r="D376">
        <v>1</v>
      </c>
      <c r="E376" t="s">
        <v>5371</v>
      </c>
      <c r="F376" s="9" t="s">
        <v>3751</v>
      </c>
      <c r="G376" s="9" t="s">
        <v>4343</v>
      </c>
      <c r="H376" s="65">
        <f t="shared" si="14"/>
        <v>96.3125</v>
      </c>
      <c r="I376" s="65">
        <v>15.41</v>
      </c>
      <c r="J376" s="14">
        <f>616.31-H373-H374-H375-H376</f>
        <v>-2.5000000000545697E-3</v>
      </c>
      <c r="K376" s="14">
        <f>98.61-I373-I374-I375-I376</f>
        <v>0</v>
      </c>
      <c r="L376" t="s">
        <v>900</v>
      </c>
    </row>
    <row r="377" spans="1:12">
      <c r="A377" t="s">
        <v>1428</v>
      </c>
      <c r="B377" s="1">
        <v>41576</v>
      </c>
      <c r="C377">
        <v>9005288</v>
      </c>
      <c r="D377">
        <v>1</v>
      </c>
      <c r="E377" t="s">
        <v>5466</v>
      </c>
      <c r="F377" t="s">
        <v>946</v>
      </c>
      <c r="G377" t="s">
        <v>947</v>
      </c>
      <c r="H377" s="46">
        <f t="shared" si="14"/>
        <v>56.6875</v>
      </c>
      <c r="I377" s="46">
        <f>8.97+0.1</f>
        <v>9.07</v>
      </c>
      <c r="J377" s="3"/>
      <c r="K377" s="3"/>
    </row>
    <row r="378" spans="1:12">
      <c r="A378" t="s">
        <v>1428</v>
      </c>
      <c r="B378" s="1">
        <v>41576</v>
      </c>
      <c r="C378">
        <v>9005288</v>
      </c>
      <c r="D378">
        <v>1</v>
      </c>
      <c r="E378" t="s">
        <v>5466</v>
      </c>
      <c r="F378" s="28" t="s">
        <v>954</v>
      </c>
      <c r="G378" s="28" t="s">
        <v>2276</v>
      </c>
      <c r="H378" s="47">
        <f t="shared" si="14"/>
        <v>66.0625</v>
      </c>
      <c r="I378" s="47">
        <v>10.57</v>
      </c>
      <c r="J378" s="14">
        <f>122.75-H377-H378</f>
        <v>0</v>
      </c>
      <c r="K378" s="14">
        <f>19.64-I377-I378</f>
        <v>0</v>
      </c>
      <c r="L378" t="s">
        <v>900</v>
      </c>
    </row>
    <row r="379" spans="1:12">
      <c r="A379" t="s">
        <v>3111</v>
      </c>
      <c r="B379" s="1">
        <v>41576</v>
      </c>
      <c r="C379" t="s">
        <v>5469</v>
      </c>
      <c r="D379">
        <v>1</v>
      </c>
      <c r="E379" t="s">
        <v>5470</v>
      </c>
      <c r="F379" s="28" t="s">
        <v>925</v>
      </c>
      <c r="G379" s="28" t="s">
        <v>926</v>
      </c>
      <c r="H379" s="47">
        <f t="shared" si="14"/>
        <v>334.375</v>
      </c>
      <c r="I379" s="47">
        <v>53.5</v>
      </c>
      <c r="J379" s="3"/>
      <c r="K379" s="3"/>
    </row>
    <row r="380" spans="1:12">
      <c r="A380" t="s">
        <v>3111</v>
      </c>
      <c r="B380" s="1">
        <v>41576</v>
      </c>
      <c r="C380" t="s">
        <v>5469</v>
      </c>
      <c r="D380">
        <v>1</v>
      </c>
      <c r="E380" t="s">
        <v>5470</v>
      </c>
      <c r="F380" s="9" t="s">
        <v>3751</v>
      </c>
      <c r="G380" s="9" t="s">
        <v>4343</v>
      </c>
      <c r="H380" s="65">
        <f t="shared" si="14"/>
        <v>86.187499999999986</v>
      </c>
      <c r="I380" s="65">
        <v>13.79</v>
      </c>
    </row>
    <row r="381" spans="1:12">
      <c r="A381" t="s">
        <v>3111</v>
      </c>
      <c r="B381" s="1">
        <v>41576</v>
      </c>
      <c r="C381" t="s">
        <v>5469</v>
      </c>
      <c r="D381">
        <v>1</v>
      </c>
      <c r="E381" t="s">
        <v>5470</v>
      </c>
      <c r="F381" t="s">
        <v>946</v>
      </c>
      <c r="G381" s="33" t="s">
        <v>947</v>
      </c>
      <c r="H381" s="46">
        <f t="shared" si="14"/>
        <v>120.75</v>
      </c>
      <c r="I381" s="46">
        <v>19.32</v>
      </c>
      <c r="J381" s="14">
        <f>541.31-H379-H380-H381</f>
        <v>-2.5000000000403588E-3</v>
      </c>
      <c r="K381" s="14">
        <f>86.61-I379-I380-I381</f>
        <v>0</v>
      </c>
    </row>
    <row r="382" spans="1:12">
      <c r="A382" t="s">
        <v>1430</v>
      </c>
      <c r="B382" s="1">
        <v>41576</v>
      </c>
      <c r="C382" t="s">
        <v>5467</v>
      </c>
      <c r="D382">
        <v>1</v>
      </c>
      <c r="E382" t="s">
        <v>5468</v>
      </c>
      <c r="F382" s="9" t="s">
        <v>4383</v>
      </c>
      <c r="G382" s="9" t="s">
        <v>5423</v>
      </c>
      <c r="H382" s="65">
        <f t="shared" si="14"/>
        <v>122.4375</v>
      </c>
      <c r="I382" s="65">
        <v>19.59</v>
      </c>
      <c r="J382" s="3"/>
      <c r="K382" s="3"/>
    </row>
    <row r="383" spans="1:12">
      <c r="A383" t="s">
        <v>1430</v>
      </c>
      <c r="B383" s="1">
        <v>41576</v>
      </c>
      <c r="C383" t="s">
        <v>5467</v>
      </c>
      <c r="D383">
        <v>1</v>
      </c>
      <c r="E383" t="s">
        <v>5468</v>
      </c>
      <c r="F383" s="28" t="s">
        <v>2343</v>
      </c>
      <c r="G383" s="28" t="s">
        <v>2344</v>
      </c>
      <c r="H383" s="47">
        <f t="shared" si="14"/>
        <v>334.5625</v>
      </c>
      <c r="I383" s="47">
        <v>53.53</v>
      </c>
    </row>
    <row r="384" spans="1:12">
      <c r="A384" t="s">
        <v>1430</v>
      </c>
      <c r="B384" s="1">
        <v>41576</v>
      </c>
      <c r="C384" t="s">
        <v>5467</v>
      </c>
      <c r="D384">
        <v>1</v>
      </c>
      <c r="E384" t="s">
        <v>5468</v>
      </c>
      <c r="F384" t="s">
        <v>946</v>
      </c>
      <c r="G384" t="s">
        <v>947</v>
      </c>
      <c r="H384" s="46">
        <f t="shared" si="14"/>
        <v>176.8125</v>
      </c>
      <c r="I384" s="46">
        <v>28.29</v>
      </c>
      <c r="J384" s="14">
        <f>633.81-H382-H383-H384</f>
        <v>-2.5000000000545697E-3</v>
      </c>
      <c r="K384" s="14">
        <f>101.41-I382-I383-I384</f>
        <v>0</v>
      </c>
    </row>
    <row r="385" spans="1:12">
      <c r="A385" t="s">
        <v>467</v>
      </c>
      <c r="B385" s="1">
        <v>41578</v>
      </c>
      <c r="C385" t="s">
        <v>5509</v>
      </c>
      <c r="D385">
        <v>1</v>
      </c>
      <c r="E385" t="s">
        <v>5510</v>
      </c>
      <c r="F385" t="s">
        <v>946</v>
      </c>
      <c r="G385" t="s">
        <v>947</v>
      </c>
      <c r="H385" s="46">
        <f t="shared" si="14"/>
        <v>176.8125</v>
      </c>
      <c r="I385" s="46">
        <v>28.29</v>
      </c>
      <c r="J385" s="3"/>
      <c r="K385" s="3"/>
    </row>
    <row r="386" spans="1:12">
      <c r="A386" t="s">
        <v>467</v>
      </c>
      <c r="B386" s="1">
        <v>41578</v>
      </c>
      <c r="C386" t="s">
        <v>5509</v>
      </c>
      <c r="D386">
        <v>1</v>
      </c>
      <c r="E386" t="s">
        <v>5510</v>
      </c>
      <c r="F386" s="9" t="s">
        <v>1649</v>
      </c>
      <c r="G386" s="9" t="s">
        <v>1650</v>
      </c>
      <c r="H386" s="65">
        <f t="shared" si="14"/>
        <v>76.75</v>
      </c>
      <c r="I386" s="65">
        <v>12.28</v>
      </c>
    </row>
    <row r="387" spans="1:12">
      <c r="A387" t="s">
        <v>467</v>
      </c>
      <c r="B387" s="1">
        <v>41578</v>
      </c>
      <c r="C387" t="s">
        <v>5509</v>
      </c>
      <c r="D387">
        <v>1</v>
      </c>
      <c r="E387" t="s">
        <v>5510</v>
      </c>
      <c r="F387" s="28" t="s">
        <v>2343</v>
      </c>
      <c r="G387" s="28" t="s">
        <v>2344</v>
      </c>
      <c r="H387" s="47">
        <f t="shared" si="14"/>
        <v>351.1875</v>
      </c>
      <c r="I387" s="47">
        <v>56.19</v>
      </c>
      <c r="J387" s="14">
        <f>604.75-H385-H386-H387</f>
        <v>0</v>
      </c>
      <c r="K387" s="14">
        <f>96.76-I385-I386-I387</f>
        <v>0</v>
      </c>
    </row>
    <row r="388" spans="1:12">
      <c r="A388" t="s">
        <v>1436</v>
      </c>
      <c r="B388" s="1">
        <v>41576</v>
      </c>
      <c r="C388">
        <v>9201</v>
      </c>
      <c r="D388">
        <v>1</v>
      </c>
      <c r="E388" t="s">
        <v>5471</v>
      </c>
      <c r="F388" s="9" t="s">
        <v>941</v>
      </c>
      <c r="G388" s="9" t="s">
        <v>1641</v>
      </c>
      <c r="H388" s="65">
        <f t="shared" si="14"/>
        <v>76.6875</v>
      </c>
      <c r="I388" s="65">
        <v>12.27</v>
      </c>
      <c r="J388" s="3"/>
      <c r="K388" s="3"/>
    </row>
    <row r="389" spans="1:12">
      <c r="A389" t="s">
        <v>1436</v>
      </c>
      <c r="B389" s="1">
        <v>41576</v>
      </c>
      <c r="C389">
        <v>9201</v>
      </c>
      <c r="D389">
        <v>1</v>
      </c>
      <c r="E389" t="s">
        <v>5471</v>
      </c>
      <c r="F389" s="28" t="s">
        <v>4700</v>
      </c>
      <c r="G389" s="28" t="s">
        <v>4701</v>
      </c>
      <c r="H389" s="47">
        <f t="shared" si="14"/>
        <v>506.87499999999994</v>
      </c>
      <c r="I389" s="47">
        <v>81.099999999999994</v>
      </c>
    </row>
    <row r="390" spans="1:12">
      <c r="A390" t="s">
        <v>1436</v>
      </c>
      <c r="B390" s="1">
        <v>41576</v>
      </c>
      <c r="C390">
        <v>9201</v>
      </c>
      <c r="D390">
        <v>1</v>
      </c>
      <c r="E390" t="s">
        <v>5471</v>
      </c>
      <c r="F390" s="28" t="s">
        <v>5784</v>
      </c>
      <c r="G390" s="28" t="s">
        <v>5785</v>
      </c>
      <c r="H390" s="47">
        <f t="shared" si="14"/>
        <v>292.625</v>
      </c>
      <c r="I390" s="47">
        <v>46.82</v>
      </c>
    </row>
    <row r="391" spans="1:12">
      <c r="A391" t="s">
        <v>1436</v>
      </c>
      <c r="B391" s="1">
        <v>41576</v>
      </c>
      <c r="C391">
        <v>9201</v>
      </c>
      <c r="D391">
        <v>1</v>
      </c>
      <c r="E391" t="s">
        <v>5471</v>
      </c>
      <c r="F391" s="9" t="s">
        <v>1582</v>
      </c>
      <c r="G391" s="9" t="s">
        <v>5779</v>
      </c>
      <c r="H391" s="65">
        <f t="shared" si="14"/>
        <v>69</v>
      </c>
      <c r="I391" s="65">
        <v>11.04</v>
      </c>
    </row>
    <row r="392" spans="1:12">
      <c r="A392" t="s">
        <v>1436</v>
      </c>
      <c r="B392" s="1">
        <v>41576</v>
      </c>
      <c r="C392">
        <v>9201</v>
      </c>
      <c r="D392">
        <v>1</v>
      </c>
      <c r="E392" t="s">
        <v>5471</v>
      </c>
      <c r="F392" s="9" t="s">
        <v>2888</v>
      </c>
      <c r="G392" s="9" t="s">
        <v>2889</v>
      </c>
      <c r="H392" s="65">
        <f t="shared" si="14"/>
        <v>81.9375</v>
      </c>
      <c r="I392" s="65">
        <v>13.11</v>
      </c>
    </row>
    <row r="393" spans="1:12">
      <c r="A393" t="s">
        <v>1436</v>
      </c>
      <c r="B393" s="1">
        <v>41576</v>
      </c>
      <c r="C393">
        <v>9201</v>
      </c>
      <c r="D393">
        <v>1</v>
      </c>
      <c r="E393" t="s">
        <v>5471</v>
      </c>
      <c r="F393" s="28" t="s">
        <v>5786</v>
      </c>
      <c r="G393" s="28" t="s">
        <v>5787</v>
      </c>
      <c r="H393" s="47">
        <f t="shared" si="14"/>
        <v>497.87499999999994</v>
      </c>
      <c r="I393" s="47">
        <v>79.66</v>
      </c>
    </row>
    <row r="394" spans="1:12">
      <c r="A394" t="s">
        <v>1436</v>
      </c>
      <c r="B394" s="1">
        <v>41576</v>
      </c>
      <c r="C394">
        <v>9201</v>
      </c>
      <c r="D394">
        <v>1</v>
      </c>
      <c r="E394" t="s">
        <v>5471</v>
      </c>
      <c r="F394" s="28" t="s">
        <v>2880</v>
      </c>
      <c r="G394" s="28" t="s">
        <v>2881</v>
      </c>
      <c r="H394" s="47">
        <f t="shared" si="14"/>
        <v>880.0625</v>
      </c>
      <c r="I394" s="47">
        <v>140.81</v>
      </c>
    </row>
    <row r="395" spans="1:12">
      <c r="A395" t="s">
        <v>1436</v>
      </c>
      <c r="B395" s="1">
        <v>41576</v>
      </c>
      <c r="C395">
        <v>9201</v>
      </c>
      <c r="D395">
        <v>1</v>
      </c>
      <c r="E395" t="s">
        <v>5471</v>
      </c>
      <c r="F395" s="28" t="s">
        <v>4698</v>
      </c>
      <c r="G395" s="28" t="s">
        <v>4699</v>
      </c>
      <c r="H395" s="47">
        <f t="shared" si="14"/>
        <v>557.5</v>
      </c>
      <c r="I395" s="47">
        <v>89.2</v>
      </c>
    </row>
    <row r="396" spans="1:12">
      <c r="A396" t="s">
        <v>1436</v>
      </c>
      <c r="B396" s="1">
        <v>41576</v>
      </c>
      <c r="C396">
        <v>9201</v>
      </c>
      <c r="D396">
        <v>1</v>
      </c>
      <c r="E396" t="s">
        <v>5471</v>
      </c>
      <c r="F396" t="s">
        <v>946</v>
      </c>
      <c r="G396" t="s">
        <v>947</v>
      </c>
      <c r="H396" s="46">
        <f t="shared" si="14"/>
        <v>1464.9374999999998</v>
      </c>
      <c r="I396" s="46">
        <f>284.39-50</f>
        <v>234.39</v>
      </c>
      <c r="J396" s="14">
        <f>4427.5-H388-H389-H390-H391-H392-H393-H394-H395-H396</f>
        <v>0</v>
      </c>
      <c r="K396" s="14">
        <f>708.4-I388-I389-I390-I391-I392-I393-I394-I395-I396</f>
        <v>0</v>
      </c>
      <c r="L396" t="s">
        <v>900</v>
      </c>
    </row>
    <row r="397" spans="1:12">
      <c r="A397" t="s">
        <v>335</v>
      </c>
      <c r="B397" s="1">
        <v>41571</v>
      </c>
      <c r="C397" t="s">
        <v>5634</v>
      </c>
      <c r="D397">
        <v>1</v>
      </c>
      <c r="E397" t="s">
        <v>4287</v>
      </c>
      <c r="F397" s="9" t="s">
        <v>4381</v>
      </c>
      <c r="G397" s="9" t="s">
        <v>4287</v>
      </c>
      <c r="H397" s="3">
        <f t="shared" si="13"/>
        <v>1900</v>
      </c>
      <c r="I397" s="3">
        <v>304</v>
      </c>
    </row>
    <row r="398" spans="1:12">
      <c r="A398" t="s">
        <v>2099</v>
      </c>
      <c r="B398" s="1">
        <v>41576</v>
      </c>
      <c r="C398">
        <v>9213</v>
      </c>
      <c r="D398">
        <v>1</v>
      </c>
      <c r="E398" t="s">
        <v>4040</v>
      </c>
      <c r="F398" s="33" t="s">
        <v>4376</v>
      </c>
      <c r="G398" t="s">
        <v>4040</v>
      </c>
      <c r="H398" s="3">
        <f t="shared" si="13"/>
        <v>146.4375</v>
      </c>
      <c r="I398" s="3">
        <v>23.43</v>
      </c>
    </row>
    <row r="399" spans="1:12">
      <c r="A399" t="s">
        <v>4043</v>
      </c>
      <c r="B399" s="1">
        <v>41578</v>
      </c>
      <c r="C399" t="s">
        <v>5538</v>
      </c>
      <c r="D399">
        <v>1</v>
      </c>
      <c r="E399" t="s">
        <v>5539</v>
      </c>
      <c r="F399" s="41" t="s">
        <v>5776</v>
      </c>
      <c r="G399" t="s">
        <v>5539</v>
      </c>
      <c r="H399" s="3">
        <f t="shared" si="13"/>
        <v>264.6875</v>
      </c>
      <c r="I399" s="3">
        <v>42.35</v>
      </c>
    </row>
    <row r="401" spans="1:10">
      <c r="H401" s="3">
        <f>SUM(H8:H400)</f>
        <v>22726693.0625</v>
      </c>
      <c r="I401" s="3">
        <f>SUM(I8:I400)</f>
        <v>3636270.8899999964</v>
      </c>
    </row>
    <row r="404" spans="1:10">
      <c r="H404" s="3">
        <f>4608547.47-972276.58</f>
        <v>3636270.8899999997</v>
      </c>
      <c r="I404" s="3">
        <f>+H404-I401</f>
        <v>0</v>
      </c>
    </row>
    <row r="406" spans="1:10">
      <c r="A406" s="151"/>
      <c r="B406" s="151"/>
      <c r="C406" s="151"/>
      <c r="D406" s="151"/>
      <c r="E406" s="151"/>
      <c r="F406" s="151" t="s">
        <v>724</v>
      </c>
      <c r="G406" s="151" t="s">
        <v>725</v>
      </c>
      <c r="H406" s="152" t="s">
        <v>732</v>
      </c>
      <c r="I406" s="151" t="s">
        <v>726</v>
      </c>
      <c r="J406" s="151" t="s">
        <v>7073</v>
      </c>
    </row>
    <row r="407" spans="1:10">
      <c r="A407" s="174" t="s">
        <v>7099</v>
      </c>
      <c r="B407">
        <v>85</v>
      </c>
      <c r="F407" s="9" t="s">
        <v>5721</v>
      </c>
      <c r="G407" s="9" t="s">
        <v>5571</v>
      </c>
      <c r="H407" s="3">
        <f>+I407/0.16</f>
        <v>2324</v>
      </c>
      <c r="I407" s="3">
        <f>+SUMIF($F$8:$F$399,F407,$I$8:$I$399)</f>
        <v>371.84</v>
      </c>
    </row>
    <row r="408" spans="1:10">
      <c r="A408" s="174" t="s">
        <v>7099</v>
      </c>
      <c r="B408">
        <v>85</v>
      </c>
      <c r="F408" s="9" t="s">
        <v>5719</v>
      </c>
      <c r="G408" s="9" t="s">
        <v>5612</v>
      </c>
      <c r="H408" s="3">
        <f t="shared" ref="H408:H471" si="15">+I408/0.16</f>
        <v>44500</v>
      </c>
      <c r="I408" s="3">
        <f t="shared" ref="I408:I471" si="16">+SUMIF($F$8:$F$399,F408,$I$8:$I$399)</f>
        <v>7120</v>
      </c>
    </row>
    <row r="409" spans="1:10">
      <c r="A409" s="174" t="s">
        <v>7099</v>
      </c>
      <c r="B409">
        <v>85</v>
      </c>
      <c r="F409" s="9" t="s">
        <v>1574</v>
      </c>
      <c r="G409" s="9" t="s">
        <v>991</v>
      </c>
      <c r="H409" s="3">
        <f t="shared" si="15"/>
        <v>176668.5625</v>
      </c>
      <c r="I409" s="3">
        <f t="shared" si="16"/>
        <v>28266.97</v>
      </c>
    </row>
    <row r="410" spans="1:10">
      <c r="A410" s="174" t="s">
        <v>7099</v>
      </c>
      <c r="B410">
        <v>85</v>
      </c>
      <c r="F410" s="13" t="s">
        <v>1578</v>
      </c>
      <c r="G410" s="75" t="s">
        <v>1579</v>
      </c>
      <c r="H410" s="3">
        <f t="shared" si="15"/>
        <v>1184.1875</v>
      </c>
      <c r="I410" s="3">
        <f t="shared" si="16"/>
        <v>189.47</v>
      </c>
    </row>
    <row r="411" spans="1:10">
      <c r="A411" s="174" t="s">
        <v>7099</v>
      </c>
      <c r="B411">
        <v>85</v>
      </c>
      <c r="F411" s="28" t="s">
        <v>939</v>
      </c>
      <c r="G411" s="28" t="s">
        <v>940</v>
      </c>
      <c r="H411" s="3">
        <f t="shared" si="15"/>
        <v>919.3125</v>
      </c>
      <c r="I411" s="3">
        <f t="shared" si="16"/>
        <v>147.09</v>
      </c>
    </row>
    <row r="412" spans="1:10">
      <c r="A412" s="174" t="s">
        <v>7099</v>
      </c>
      <c r="B412">
        <v>85</v>
      </c>
      <c r="F412" s="28" t="s">
        <v>1671</v>
      </c>
      <c r="G412" s="28" t="s">
        <v>5739</v>
      </c>
      <c r="H412" s="3">
        <f t="shared" si="15"/>
        <v>585.3125</v>
      </c>
      <c r="I412" s="3">
        <f t="shared" si="16"/>
        <v>93.65</v>
      </c>
    </row>
    <row r="413" spans="1:10">
      <c r="A413" s="174" t="s">
        <v>7099</v>
      </c>
      <c r="B413">
        <v>85</v>
      </c>
      <c r="F413" s="9" t="s">
        <v>809</v>
      </c>
      <c r="G413" s="9" t="s">
        <v>5428</v>
      </c>
      <c r="H413" s="3">
        <f t="shared" si="15"/>
        <v>264.6875</v>
      </c>
      <c r="I413" s="3">
        <f t="shared" si="16"/>
        <v>42.35</v>
      </c>
    </row>
    <row r="414" spans="1:10">
      <c r="A414" s="174" t="s">
        <v>7099</v>
      </c>
      <c r="B414">
        <v>85</v>
      </c>
      <c r="F414" s="9" t="s">
        <v>5722</v>
      </c>
      <c r="G414" s="9" t="s">
        <v>5610</v>
      </c>
      <c r="H414" s="3">
        <f t="shared" si="15"/>
        <v>8500</v>
      </c>
      <c r="I414" s="3">
        <f t="shared" si="16"/>
        <v>1360</v>
      </c>
    </row>
    <row r="415" spans="1:10">
      <c r="A415" s="174" t="s">
        <v>7099</v>
      </c>
      <c r="B415">
        <v>85</v>
      </c>
      <c r="F415" s="9" t="s">
        <v>1649</v>
      </c>
      <c r="G415" s="9" t="s">
        <v>1650</v>
      </c>
      <c r="H415" s="3">
        <f t="shared" si="15"/>
        <v>76.75</v>
      </c>
      <c r="I415" s="3">
        <f t="shared" si="16"/>
        <v>12.28</v>
      </c>
    </row>
    <row r="416" spans="1:10">
      <c r="A416" s="174" t="s">
        <v>7099</v>
      </c>
      <c r="B416">
        <v>85</v>
      </c>
      <c r="F416" s="12" t="s">
        <v>2269</v>
      </c>
      <c r="G416" s="9" t="s">
        <v>2080</v>
      </c>
      <c r="H416" s="3">
        <f t="shared" si="15"/>
        <v>385</v>
      </c>
      <c r="I416" s="3">
        <f t="shared" si="16"/>
        <v>61.6</v>
      </c>
    </row>
    <row r="417" spans="1:9">
      <c r="A417" s="174" t="s">
        <v>7099</v>
      </c>
      <c r="B417">
        <v>85</v>
      </c>
      <c r="F417" s="9" t="s">
        <v>748</v>
      </c>
      <c r="G417" s="9" t="s">
        <v>481</v>
      </c>
      <c r="H417" s="3">
        <f t="shared" si="15"/>
        <v>654.6875</v>
      </c>
      <c r="I417" s="3">
        <f t="shared" si="16"/>
        <v>104.75</v>
      </c>
    </row>
    <row r="418" spans="1:9">
      <c r="A418" s="174" t="s">
        <v>7099</v>
      </c>
      <c r="B418">
        <v>85</v>
      </c>
      <c r="F418" s="9" t="s">
        <v>941</v>
      </c>
      <c r="G418" s="9" t="s">
        <v>1641</v>
      </c>
      <c r="H418" s="3">
        <f t="shared" si="15"/>
        <v>293.87499999999994</v>
      </c>
      <c r="I418" s="3">
        <f t="shared" si="16"/>
        <v>47.019999999999996</v>
      </c>
    </row>
    <row r="419" spans="1:9">
      <c r="A419" s="174" t="s">
        <v>7099</v>
      </c>
      <c r="B419">
        <v>85</v>
      </c>
      <c r="F419" s="9" t="s">
        <v>5723</v>
      </c>
      <c r="G419" s="9" t="s">
        <v>5507</v>
      </c>
      <c r="H419" s="3">
        <f t="shared" si="15"/>
        <v>94.375</v>
      </c>
      <c r="I419" s="3">
        <f t="shared" si="16"/>
        <v>15.1</v>
      </c>
    </row>
    <row r="420" spans="1:9">
      <c r="A420" s="174" t="s">
        <v>7099</v>
      </c>
      <c r="B420">
        <v>85</v>
      </c>
      <c r="F420" s="9" t="s">
        <v>734</v>
      </c>
      <c r="G420" s="9" t="s">
        <v>735</v>
      </c>
      <c r="H420" s="3">
        <f t="shared" si="15"/>
        <v>703040</v>
      </c>
      <c r="I420" s="3">
        <f t="shared" si="16"/>
        <v>112486.39999999999</v>
      </c>
    </row>
    <row r="421" spans="1:9">
      <c r="A421" s="174" t="s">
        <v>7099</v>
      </c>
      <c r="B421">
        <v>85</v>
      </c>
      <c r="F421" s="8" t="s">
        <v>2267</v>
      </c>
      <c r="G421" s="9" t="s">
        <v>1757</v>
      </c>
      <c r="H421" s="3">
        <f t="shared" si="15"/>
        <v>212747.3125</v>
      </c>
      <c r="I421" s="3">
        <f t="shared" si="16"/>
        <v>34039.57</v>
      </c>
    </row>
    <row r="422" spans="1:9">
      <c r="A422" s="174" t="s">
        <v>7099</v>
      </c>
      <c r="B422">
        <v>85</v>
      </c>
      <c r="F422" s="9" t="s">
        <v>1651</v>
      </c>
      <c r="G422" s="9" t="s">
        <v>3782</v>
      </c>
      <c r="H422" s="3">
        <f t="shared" si="15"/>
        <v>334.3125</v>
      </c>
      <c r="I422" s="3">
        <f t="shared" si="16"/>
        <v>53.49</v>
      </c>
    </row>
    <row r="423" spans="1:9">
      <c r="A423" s="174" t="s">
        <v>7099</v>
      </c>
      <c r="B423">
        <v>85</v>
      </c>
      <c r="F423" s="28" t="s">
        <v>4700</v>
      </c>
      <c r="G423" s="28" t="s">
        <v>4701</v>
      </c>
      <c r="H423" s="3">
        <f t="shared" si="15"/>
        <v>506.87499999999994</v>
      </c>
      <c r="I423" s="3">
        <f t="shared" si="16"/>
        <v>81.099999999999994</v>
      </c>
    </row>
    <row r="424" spans="1:9">
      <c r="A424" s="174" t="s">
        <v>7099</v>
      </c>
      <c r="B424">
        <v>85</v>
      </c>
      <c r="F424" s="28" t="s">
        <v>5753</v>
      </c>
      <c r="G424" s="28" t="s">
        <v>5754</v>
      </c>
      <c r="H424" s="3">
        <f t="shared" si="15"/>
        <v>459.81249999999994</v>
      </c>
      <c r="I424" s="3">
        <f t="shared" si="16"/>
        <v>73.569999999999993</v>
      </c>
    </row>
    <row r="425" spans="1:9">
      <c r="A425" s="174" t="s">
        <v>7099</v>
      </c>
      <c r="B425">
        <v>85</v>
      </c>
      <c r="F425" s="117" t="s">
        <v>1572</v>
      </c>
      <c r="G425" s="117" t="s">
        <v>1573</v>
      </c>
      <c r="H425" s="3">
        <f t="shared" si="15"/>
        <v>237671.25</v>
      </c>
      <c r="I425" s="3">
        <f t="shared" si="16"/>
        <v>38027.4</v>
      </c>
    </row>
    <row r="426" spans="1:9">
      <c r="A426" s="174" t="s">
        <v>7099</v>
      </c>
      <c r="B426">
        <v>85</v>
      </c>
      <c r="F426" s="9" t="s">
        <v>4703</v>
      </c>
      <c r="G426" s="9" t="s">
        <v>5407</v>
      </c>
      <c r="H426" s="3">
        <f t="shared" si="15"/>
        <v>212747.3125</v>
      </c>
      <c r="I426" s="3">
        <f t="shared" si="16"/>
        <v>34039.57</v>
      </c>
    </row>
    <row r="427" spans="1:9">
      <c r="A427" s="174" t="s">
        <v>7099</v>
      </c>
      <c r="B427">
        <v>85</v>
      </c>
      <c r="F427" s="12" t="s">
        <v>4715</v>
      </c>
      <c r="G427" s="9" t="s">
        <v>828</v>
      </c>
      <c r="H427" s="3">
        <f t="shared" si="15"/>
        <v>14159.25</v>
      </c>
      <c r="I427" s="3">
        <f t="shared" si="16"/>
        <v>2265.48</v>
      </c>
    </row>
    <row r="428" spans="1:9">
      <c r="A428" s="174" t="s">
        <v>7099</v>
      </c>
      <c r="B428">
        <v>85</v>
      </c>
      <c r="F428" s="12" t="s">
        <v>821</v>
      </c>
      <c r="G428" s="12" t="s">
        <v>2272</v>
      </c>
      <c r="H428" s="3">
        <f t="shared" si="15"/>
        <v>265</v>
      </c>
      <c r="I428" s="3">
        <f t="shared" si="16"/>
        <v>42.4</v>
      </c>
    </row>
    <row r="429" spans="1:9">
      <c r="A429" s="174" t="s">
        <v>7099</v>
      </c>
      <c r="B429">
        <v>85</v>
      </c>
      <c r="F429" s="9" t="s">
        <v>5175</v>
      </c>
      <c r="G429" s="9" t="s">
        <v>5755</v>
      </c>
      <c r="H429" s="3">
        <f t="shared" si="15"/>
        <v>103.49999999999999</v>
      </c>
      <c r="I429" s="3">
        <f t="shared" si="16"/>
        <v>16.559999999999999</v>
      </c>
    </row>
    <row r="430" spans="1:9">
      <c r="A430" s="174" t="s">
        <v>7099</v>
      </c>
      <c r="B430">
        <v>85</v>
      </c>
      <c r="F430" s="12" t="s">
        <v>823</v>
      </c>
      <c r="G430" s="20" t="s">
        <v>824</v>
      </c>
      <c r="H430" s="3">
        <f t="shared" si="15"/>
        <v>530</v>
      </c>
      <c r="I430" s="3">
        <f t="shared" si="16"/>
        <v>84.8</v>
      </c>
    </row>
    <row r="431" spans="1:9">
      <c r="A431" s="174" t="s">
        <v>7099</v>
      </c>
      <c r="B431">
        <v>85</v>
      </c>
      <c r="F431" s="36" t="s">
        <v>950</v>
      </c>
      <c r="G431" s="20" t="s">
        <v>951</v>
      </c>
      <c r="H431" s="3">
        <f t="shared" si="15"/>
        <v>8354.0625</v>
      </c>
      <c r="I431" s="3">
        <f t="shared" si="16"/>
        <v>1336.65</v>
      </c>
    </row>
    <row r="432" spans="1:9">
      <c r="A432" s="174" t="s">
        <v>7099</v>
      </c>
      <c r="B432">
        <v>85</v>
      </c>
      <c r="F432" s="12" t="s">
        <v>825</v>
      </c>
      <c r="G432" s="20" t="s">
        <v>826</v>
      </c>
      <c r="H432" s="3">
        <f t="shared" si="15"/>
        <v>126</v>
      </c>
      <c r="I432" s="3">
        <f t="shared" si="16"/>
        <v>20.16</v>
      </c>
    </row>
    <row r="433" spans="1:9">
      <c r="A433" s="174" t="s">
        <v>7099</v>
      </c>
      <c r="B433">
        <v>85</v>
      </c>
      <c r="F433" s="8" t="s">
        <v>772</v>
      </c>
      <c r="G433" s="9" t="s">
        <v>29</v>
      </c>
      <c r="H433" s="3">
        <f t="shared" si="15"/>
        <v>1121973</v>
      </c>
      <c r="I433" s="3">
        <f t="shared" si="16"/>
        <v>179515.68000000002</v>
      </c>
    </row>
    <row r="434" spans="1:9">
      <c r="A434" s="174" t="s">
        <v>7099</v>
      </c>
      <c r="B434">
        <v>85</v>
      </c>
      <c r="F434" s="9" t="s">
        <v>5770</v>
      </c>
      <c r="G434" s="9" t="s">
        <v>5490</v>
      </c>
      <c r="H434" s="3">
        <f t="shared" si="15"/>
        <v>220.6875</v>
      </c>
      <c r="I434" s="3">
        <f t="shared" si="16"/>
        <v>35.31</v>
      </c>
    </row>
    <row r="435" spans="1:9">
      <c r="A435" s="174" t="s">
        <v>7099</v>
      </c>
      <c r="B435">
        <v>85</v>
      </c>
      <c r="F435" s="12" t="s">
        <v>755</v>
      </c>
      <c r="G435" s="9" t="s">
        <v>756</v>
      </c>
      <c r="H435" s="3">
        <f t="shared" si="15"/>
        <v>191130.625</v>
      </c>
      <c r="I435" s="3">
        <f t="shared" si="16"/>
        <v>30580.9</v>
      </c>
    </row>
    <row r="436" spans="1:9">
      <c r="A436" s="174" t="s">
        <v>7099</v>
      </c>
      <c r="B436">
        <v>85</v>
      </c>
      <c r="F436" s="12" t="s">
        <v>2847</v>
      </c>
      <c r="G436" s="9" t="s">
        <v>5460</v>
      </c>
      <c r="H436" s="3">
        <f t="shared" si="15"/>
        <v>297.875</v>
      </c>
      <c r="I436" s="3">
        <f t="shared" si="16"/>
        <v>47.66</v>
      </c>
    </row>
    <row r="437" spans="1:9">
      <c r="A437" s="174" t="s">
        <v>7099</v>
      </c>
      <c r="B437">
        <v>85</v>
      </c>
      <c r="F437" s="9" t="s">
        <v>5726</v>
      </c>
      <c r="G437" s="9" t="s">
        <v>5661</v>
      </c>
      <c r="H437" s="3">
        <f t="shared" si="15"/>
        <v>129310.3125</v>
      </c>
      <c r="I437" s="3">
        <f t="shared" si="16"/>
        <v>20689.650000000001</v>
      </c>
    </row>
    <row r="438" spans="1:9">
      <c r="A438" s="174" t="s">
        <v>7099</v>
      </c>
      <c r="B438">
        <v>85</v>
      </c>
      <c r="F438" s="9" t="s">
        <v>5724</v>
      </c>
      <c r="G438" s="9" t="s">
        <v>5395</v>
      </c>
      <c r="H438" s="3">
        <f t="shared" si="15"/>
        <v>210084.93749999997</v>
      </c>
      <c r="I438" s="3">
        <f t="shared" si="16"/>
        <v>33613.589999999997</v>
      </c>
    </row>
    <row r="439" spans="1:9">
      <c r="A439" s="174" t="s">
        <v>7099</v>
      </c>
      <c r="B439">
        <v>85</v>
      </c>
      <c r="F439" s="9" t="s">
        <v>5728</v>
      </c>
      <c r="G439" s="9" t="s">
        <v>5729</v>
      </c>
      <c r="H439" s="3">
        <f t="shared" si="15"/>
        <v>327.625</v>
      </c>
      <c r="I439" s="3">
        <f t="shared" si="16"/>
        <v>52.42</v>
      </c>
    </row>
    <row r="440" spans="1:9">
      <c r="A440" s="174" t="s">
        <v>7099</v>
      </c>
      <c r="B440">
        <v>85</v>
      </c>
      <c r="F440" s="9" t="s">
        <v>1577</v>
      </c>
      <c r="G440" s="9" t="s">
        <v>1062</v>
      </c>
      <c r="H440" s="3">
        <f t="shared" si="15"/>
        <v>7206.8749999999991</v>
      </c>
      <c r="I440" s="3">
        <f t="shared" si="16"/>
        <v>1153.0999999999999</v>
      </c>
    </row>
    <row r="441" spans="1:9">
      <c r="A441" s="174" t="s">
        <v>7099</v>
      </c>
      <c r="B441">
        <v>85</v>
      </c>
      <c r="F441" s="12" t="s">
        <v>5725</v>
      </c>
      <c r="G441" s="9" t="s">
        <v>5464</v>
      </c>
      <c r="H441" s="3">
        <f t="shared" si="15"/>
        <v>393.125</v>
      </c>
      <c r="I441" s="3">
        <f t="shared" si="16"/>
        <v>62.9</v>
      </c>
    </row>
    <row r="442" spans="1:9">
      <c r="A442" s="174" t="s">
        <v>7099</v>
      </c>
      <c r="B442">
        <v>85</v>
      </c>
      <c r="F442" s="9" t="s">
        <v>5727</v>
      </c>
      <c r="G442" s="9" t="s">
        <v>5485</v>
      </c>
      <c r="H442" s="3">
        <f t="shared" si="15"/>
        <v>130.875</v>
      </c>
      <c r="I442" s="3">
        <f t="shared" si="16"/>
        <v>20.94</v>
      </c>
    </row>
    <row r="443" spans="1:9">
      <c r="A443" s="174" t="s">
        <v>7099</v>
      </c>
      <c r="B443">
        <v>85</v>
      </c>
      <c r="F443" s="9" t="s">
        <v>764</v>
      </c>
      <c r="G443" s="9" t="s">
        <v>100</v>
      </c>
      <c r="H443" s="3">
        <f t="shared" si="15"/>
        <v>19337.0625</v>
      </c>
      <c r="I443" s="3">
        <f t="shared" si="16"/>
        <v>3093.93</v>
      </c>
    </row>
    <row r="444" spans="1:9">
      <c r="A444" s="174" t="s">
        <v>7099</v>
      </c>
      <c r="B444">
        <v>85</v>
      </c>
      <c r="F444" s="9" t="s">
        <v>4338</v>
      </c>
      <c r="G444" s="9" t="s">
        <v>4289</v>
      </c>
      <c r="H444" s="3">
        <f t="shared" si="15"/>
        <v>8500</v>
      </c>
      <c r="I444" s="3">
        <f t="shared" si="16"/>
        <v>1360</v>
      </c>
    </row>
    <row r="445" spans="1:9">
      <c r="A445" s="174" t="s">
        <v>7099</v>
      </c>
      <c r="B445">
        <v>85</v>
      </c>
      <c r="F445" s="9" t="s">
        <v>770</v>
      </c>
      <c r="G445" s="9" t="s">
        <v>1142</v>
      </c>
      <c r="H445" s="3">
        <f t="shared" si="15"/>
        <v>10403</v>
      </c>
      <c r="I445" s="3">
        <f t="shared" si="16"/>
        <v>1664.48</v>
      </c>
    </row>
    <row r="446" spans="1:9">
      <c r="A446" s="174" t="s">
        <v>7099</v>
      </c>
      <c r="B446">
        <v>85</v>
      </c>
      <c r="F446" s="8" t="s">
        <v>759</v>
      </c>
      <c r="G446" s="9" t="s">
        <v>760</v>
      </c>
      <c r="H446" s="3">
        <f t="shared" si="15"/>
        <v>205379.4375</v>
      </c>
      <c r="I446" s="3">
        <f t="shared" si="16"/>
        <v>32860.71</v>
      </c>
    </row>
    <row r="447" spans="1:9">
      <c r="A447" s="174" t="s">
        <v>7099</v>
      </c>
      <c r="B447">
        <v>85</v>
      </c>
      <c r="F447" s="8" t="s">
        <v>5750</v>
      </c>
      <c r="G447" s="9" t="s">
        <v>5751</v>
      </c>
      <c r="H447" s="3">
        <f t="shared" si="15"/>
        <v>13979.0625</v>
      </c>
      <c r="I447" s="3">
        <f t="shared" si="16"/>
        <v>2236.65</v>
      </c>
    </row>
    <row r="448" spans="1:9">
      <c r="A448" s="174" t="s">
        <v>7099</v>
      </c>
      <c r="B448">
        <v>85</v>
      </c>
      <c r="F448" s="12" t="s">
        <v>767</v>
      </c>
      <c r="G448" s="9" t="s">
        <v>549</v>
      </c>
      <c r="H448" s="3">
        <f t="shared" si="15"/>
        <v>1079.3125</v>
      </c>
      <c r="I448" s="3">
        <f t="shared" si="16"/>
        <v>172.69</v>
      </c>
    </row>
    <row r="449" spans="1:9">
      <c r="A449" s="174" t="s">
        <v>7099</v>
      </c>
      <c r="B449">
        <v>85</v>
      </c>
      <c r="F449" s="9" t="s">
        <v>1601</v>
      </c>
      <c r="G449" s="9" t="s">
        <v>5773</v>
      </c>
      <c r="H449" s="3">
        <f t="shared" si="15"/>
        <v>2655.1875</v>
      </c>
      <c r="I449" s="3">
        <f t="shared" si="16"/>
        <v>424.83</v>
      </c>
    </row>
    <row r="450" spans="1:9">
      <c r="A450" s="174" t="s">
        <v>7099</v>
      </c>
      <c r="B450">
        <v>85</v>
      </c>
      <c r="F450" s="9" t="s">
        <v>1587</v>
      </c>
      <c r="G450" s="9" t="s">
        <v>5484</v>
      </c>
      <c r="H450" s="3">
        <f t="shared" si="15"/>
        <v>808</v>
      </c>
      <c r="I450" s="3">
        <f t="shared" si="16"/>
        <v>129.28</v>
      </c>
    </row>
    <row r="451" spans="1:9">
      <c r="A451" s="174" t="s">
        <v>7099</v>
      </c>
      <c r="B451">
        <v>85</v>
      </c>
      <c r="F451" s="9" t="s">
        <v>1576</v>
      </c>
      <c r="G451" s="9" t="s">
        <v>1059</v>
      </c>
      <c r="H451" s="3">
        <f t="shared" si="15"/>
        <v>827.62499999999989</v>
      </c>
      <c r="I451" s="3">
        <f t="shared" si="16"/>
        <v>132.41999999999999</v>
      </c>
    </row>
    <row r="452" spans="1:9">
      <c r="A452" s="174" t="s">
        <v>7099</v>
      </c>
      <c r="B452">
        <v>85</v>
      </c>
      <c r="F452" s="9" t="s">
        <v>777</v>
      </c>
      <c r="G452" s="9" t="s">
        <v>296</v>
      </c>
      <c r="H452" s="3">
        <f t="shared" si="15"/>
        <v>6217.5</v>
      </c>
      <c r="I452" s="3">
        <f t="shared" si="16"/>
        <v>994.8</v>
      </c>
    </row>
    <row r="453" spans="1:9">
      <c r="A453" s="174" t="s">
        <v>7099</v>
      </c>
      <c r="B453">
        <v>85</v>
      </c>
      <c r="F453" s="9" t="s">
        <v>2290</v>
      </c>
      <c r="G453" s="9" t="s">
        <v>2291</v>
      </c>
      <c r="H453" s="3">
        <f t="shared" si="15"/>
        <v>425</v>
      </c>
      <c r="I453" s="3">
        <f t="shared" si="16"/>
        <v>68</v>
      </c>
    </row>
    <row r="454" spans="1:9">
      <c r="A454" s="174" t="s">
        <v>7099</v>
      </c>
      <c r="B454">
        <v>85</v>
      </c>
      <c r="F454" s="12" t="s">
        <v>5733</v>
      </c>
      <c r="G454" s="9" t="s">
        <v>5465</v>
      </c>
      <c r="H454" s="3">
        <f t="shared" si="15"/>
        <v>519.4375</v>
      </c>
      <c r="I454" s="3">
        <f t="shared" si="16"/>
        <v>83.11</v>
      </c>
    </row>
    <row r="455" spans="1:9">
      <c r="A455" s="174" t="s">
        <v>7099</v>
      </c>
      <c r="B455">
        <v>85</v>
      </c>
      <c r="F455" s="9" t="s">
        <v>2849</v>
      </c>
      <c r="G455" s="9" t="s">
        <v>983</v>
      </c>
      <c r="H455" s="3">
        <f t="shared" si="15"/>
        <v>50000</v>
      </c>
      <c r="I455" s="3">
        <f t="shared" si="16"/>
        <v>8000</v>
      </c>
    </row>
    <row r="456" spans="1:9">
      <c r="A456" s="174" t="s">
        <v>7099</v>
      </c>
      <c r="B456">
        <v>85</v>
      </c>
      <c r="F456" s="9" t="s">
        <v>5732</v>
      </c>
      <c r="G456" s="9" t="s">
        <v>5614</v>
      </c>
      <c r="H456" s="3">
        <f t="shared" si="15"/>
        <v>11850.3125</v>
      </c>
      <c r="I456" s="3">
        <f t="shared" si="16"/>
        <v>1896.05</v>
      </c>
    </row>
    <row r="457" spans="1:9">
      <c r="A457" s="174" t="s">
        <v>7099</v>
      </c>
      <c r="B457">
        <v>85</v>
      </c>
      <c r="F457" s="9" t="s">
        <v>781</v>
      </c>
      <c r="G457" s="9" t="s">
        <v>80</v>
      </c>
      <c r="H457" s="3">
        <f t="shared" si="15"/>
        <v>4583</v>
      </c>
      <c r="I457" s="3">
        <f t="shared" si="16"/>
        <v>733.28</v>
      </c>
    </row>
    <row r="458" spans="1:9">
      <c r="A458" s="174" t="s">
        <v>7099</v>
      </c>
      <c r="B458">
        <v>85</v>
      </c>
      <c r="F458" s="9" t="s">
        <v>780</v>
      </c>
      <c r="G458" s="9" t="s">
        <v>373</v>
      </c>
      <c r="H458" s="3">
        <f t="shared" si="15"/>
        <v>110906.62499999999</v>
      </c>
      <c r="I458" s="3">
        <f t="shared" si="16"/>
        <v>17745.059999999998</v>
      </c>
    </row>
    <row r="459" spans="1:9">
      <c r="A459" s="174" t="s">
        <v>7099</v>
      </c>
      <c r="B459">
        <v>85</v>
      </c>
      <c r="F459" s="12" t="s">
        <v>784</v>
      </c>
      <c r="G459" s="9" t="s">
        <v>618</v>
      </c>
      <c r="H459" s="3">
        <f t="shared" si="15"/>
        <v>311.1875</v>
      </c>
      <c r="I459" s="3">
        <f t="shared" si="16"/>
        <v>49.79</v>
      </c>
    </row>
    <row r="460" spans="1:9">
      <c r="A460" s="174" t="s">
        <v>7099</v>
      </c>
      <c r="B460">
        <v>85</v>
      </c>
      <c r="F460" s="9" t="s">
        <v>739</v>
      </c>
      <c r="G460" s="9" t="s">
        <v>469</v>
      </c>
      <c r="H460" s="3">
        <f t="shared" si="15"/>
        <v>861.99999999999989</v>
      </c>
      <c r="I460" s="3">
        <f t="shared" si="16"/>
        <v>137.91999999999999</v>
      </c>
    </row>
    <row r="461" spans="1:9">
      <c r="A461" s="174" t="s">
        <v>7099</v>
      </c>
      <c r="B461">
        <v>85</v>
      </c>
      <c r="F461" s="9" t="s">
        <v>786</v>
      </c>
      <c r="G461" s="9" t="s">
        <v>5502</v>
      </c>
      <c r="H461" s="3">
        <f t="shared" si="15"/>
        <v>252.31249999999997</v>
      </c>
      <c r="I461" s="3">
        <f t="shared" si="16"/>
        <v>40.369999999999997</v>
      </c>
    </row>
    <row r="462" spans="1:9">
      <c r="A462" s="174" t="s">
        <v>7099</v>
      </c>
      <c r="B462">
        <v>85</v>
      </c>
      <c r="F462" s="12" t="s">
        <v>789</v>
      </c>
      <c r="G462" s="9" t="s">
        <v>1444</v>
      </c>
      <c r="H462" s="3">
        <f t="shared" si="15"/>
        <v>22.4375</v>
      </c>
      <c r="I462" s="3">
        <f t="shared" si="16"/>
        <v>3.59</v>
      </c>
    </row>
    <row r="463" spans="1:9">
      <c r="A463" s="174" t="s">
        <v>7099</v>
      </c>
      <c r="B463">
        <v>85</v>
      </c>
      <c r="F463" s="28" t="s">
        <v>5744</v>
      </c>
      <c r="G463" s="28" t="s">
        <v>5745</v>
      </c>
      <c r="H463" s="3">
        <f t="shared" si="15"/>
        <v>41.8125</v>
      </c>
      <c r="I463" s="3">
        <f t="shared" si="16"/>
        <v>6.69</v>
      </c>
    </row>
    <row r="464" spans="1:9">
      <c r="A464" s="174" t="s">
        <v>7099</v>
      </c>
      <c r="B464">
        <v>85</v>
      </c>
      <c r="F464" s="28" t="s">
        <v>5756</v>
      </c>
      <c r="G464" s="28" t="s">
        <v>2276</v>
      </c>
      <c r="H464" s="3">
        <f t="shared" si="15"/>
        <v>501.625</v>
      </c>
      <c r="I464" s="3">
        <f t="shared" si="16"/>
        <v>80.260000000000005</v>
      </c>
    </row>
    <row r="465" spans="1:10">
      <c r="A465" s="174" t="s">
        <v>7099</v>
      </c>
      <c r="B465">
        <v>85</v>
      </c>
      <c r="F465" s="28" t="s">
        <v>954</v>
      </c>
      <c r="G465" s="28" t="s">
        <v>2276</v>
      </c>
      <c r="H465" s="3">
        <f t="shared" si="15"/>
        <v>66.0625</v>
      </c>
      <c r="I465" s="3">
        <f t="shared" si="16"/>
        <v>10.57</v>
      </c>
    </row>
    <row r="466" spans="1:10">
      <c r="A466" s="174" t="s">
        <v>7099</v>
      </c>
      <c r="B466">
        <v>85</v>
      </c>
      <c r="F466" s="9" t="s">
        <v>5734</v>
      </c>
      <c r="G466" s="9" t="s">
        <v>5501</v>
      </c>
      <c r="H466" s="3">
        <f t="shared" si="15"/>
        <v>119.875</v>
      </c>
      <c r="I466" s="3">
        <f t="shared" si="16"/>
        <v>19.18</v>
      </c>
    </row>
    <row r="467" spans="1:10">
      <c r="A467" s="174" t="s">
        <v>7099</v>
      </c>
      <c r="B467">
        <v>85</v>
      </c>
      <c r="F467" s="9" t="s">
        <v>5735</v>
      </c>
      <c r="G467" s="9" t="s">
        <v>5644</v>
      </c>
      <c r="H467" s="3">
        <f t="shared" si="15"/>
        <v>1089</v>
      </c>
      <c r="I467" s="3">
        <f t="shared" si="16"/>
        <v>174.24</v>
      </c>
    </row>
    <row r="468" spans="1:10">
      <c r="A468" s="174" t="s">
        <v>7099</v>
      </c>
      <c r="B468">
        <v>6</v>
      </c>
      <c r="F468" s="9" t="s">
        <v>2302</v>
      </c>
      <c r="G468" s="9" t="s">
        <v>5358</v>
      </c>
      <c r="H468" s="3">
        <f t="shared" si="15"/>
        <v>1562.875</v>
      </c>
      <c r="I468" s="3">
        <f t="shared" si="16"/>
        <v>250.06</v>
      </c>
      <c r="J468">
        <f>10.73+51.79</f>
        <v>62.519999999999996</v>
      </c>
    </row>
    <row r="469" spans="1:10">
      <c r="A469" s="174" t="s">
        <v>7099</v>
      </c>
      <c r="B469">
        <v>85</v>
      </c>
      <c r="F469" s="9" t="s">
        <v>794</v>
      </c>
      <c r="G469" s="9" t="s">
        <v>612</v>
      </c>
      <c r="H469" s="3">
        <f t="shared" si="15"/>
        <v>252.9375</v>
      </c>
      <c r="I469" s="3">
        <f t="shared" si="16"/>
        <v>40.47</v>
      </c>
    </row>
    <row r="470" spans="1:10">
      <c r="A470" s="174" t="s">
        <v>7099</v>
      </c>
      <c r="B470">
        <v>85</v>
      </c>
      <c r="F470" s="28" t="s">
        <v>5784</v>
      </c>
      <c r="G470" s="28" t="s">
        <v>5785</v>
      </c>
      <c r="H470" s="3">
        <f t="shared" si="15"/>
        <v>292.625</v>
      </c>
      <c r="I470" s="3">
        <f t="shared" si="16"/>
        <v>46.82</v>
      </c>
    </row>
    <row r="471" spans="1:10">
      <c r="A471" s="174" t="s">
        <v>7099</v>
      </c>
      <c r="B471">
        <v>85</v>
      </c>
      <c r="F471" s="9" t="s">
        <v>1580</v>
      </c>
      <c r="G471" s="9" t="s">
        <v>5508</v>
      </c>
      <c r="H471" s="3">
        <f t="shared" si="15"/>
        <v>40.3125</v>
      </c>
      <c r="I471" s="3">
        <f t="shared" si="16"/>
        <v>6.45</v>
      </c>
    </row>
    <row r="472" spans="1:10">
      <c r="A472" s="174" t="s">
        <v>7099</v>
      </c>
      <c r="B472">
        <v>85</v>
      </c>
      <c r="F472" s="9" t="s">
        <v>778</v>
      </c>
      <c r="G472" s="9" t="s">
        <v>779</v>
      </c>
      <c r="H472" s="3">
        <f t="shared" ref="H472:H535" si="17">+I472/0.16</f>
        <v>1150</v>
      </c>
      <c r="I472" s="3">
        <f t="shared" ref="I472:I535" si="18">+SUMIF($F$8:$F$399,F472,$I$8:$I$399)</f>
        <v>184</v>
      </c>
    </row>
    <row r="473" spans="1:10">
      <c r="A473" s="174" t="s">
        <v>7099</v>
      </c>
      <c r="B473">
        <v>85</v>
      </c>
      <c r="F473" s="28" t="s">
        <v>5205</v>
      </c>
      <c r="G473" s="28" t="s">
        <v>5206</v>
      </c>
      <c r="H473" s="3">
        <f t="shared" si="17"/>
        <v>394.5</v>
      </c>
      <c r="I473" s="3">
        <f t="shared" si="18"/>
        <v>63.12</v>
      </c>
    </row>
    <row r="474" spans="1:10">
      <c r="A474" s="174" t="s">
        <v>7099</v>
      </c>
      <c r="B474">
        <v>85</v>
      </c>
      <c r="F474" s="9" t="s">
        <v>5757</v>
      </c>
      <c r="G474" s="9" t="s">
        <v>5758</v>
      </c>
      <c r="H474" s="3">
        <f t="shared" si="17"/>
        <v>376.1875</v>
      </c>
      <c r="I474" s="3">
        <f t="shared" si="18"/>
        <v>60.19</v>
      </c>
    </row>
    <row r="475" spans="1:10">
      <c r="A475" s="174" t="s">
        <v>7099</v>
      </c>
      <c r="B475">
        <v>85</v>
      </c>
      <c r="F475" s="9" t="s">
        <v>798</v>
      </c>
      <c r="G475" s="9" t="s">
        <v>77</v>
      </c>
      <c r="H475" s="3">
        <f t="shared" si="17"/>
        <v>3688.8125</v>
      </c>
      <c r="I475" s="3">
        <f t="shared" si="18"/>
        <v>590.21</v>
      </c>
    </row>
    <row r="476" spans="1:10">
      <c r="A476" s="174" t="s">
        <v>7099</v>
      </c>
      <c r="B476">
        <v>85</v>
      </c>
      <c r="F476" s="9" t="s">
        <v>1713</v>
      </c>
      <c r="G476" s="9" t="s">
        <v>2914</v>
      </c>
      <c r="H476" s="3">
        <f t="shared" si="17"/>
        <v>221.5625</v>
      </c>
      <c r="I476" s="3">
        <f t="shared" si="18"/>
        <v>35.450000000000003</v>
      </c>
    </row>
    <row r="477" spans="1:10">
      <c r="A477" s="174" t="s">
        <v>7099</v>
      </c>
      <c r="B477">
        <v>85</v>
      </c>
      <c r="F477" t="s">
        <v>946</v>
      </c>
      <c r="G477" t="s">
        <v>947</v>
      </c>
      <c r="H477" s="3">
        <f t="shared" si="17"/>
        <v>11830.499999999998</v>
      </c>
      <c r="I477" s="3">
        <f t="shared" si="18"/>
        <v>1892.8799999999997</v>
      </c>
    </row>
    <row r="478" spans="1:10">
      <c r="A478" s="174" t="s">
        <v>7099</v>
      </c>
      <c r="B478">
        <v>85</v>
      </c>
      <c r="F478" s="12" t="s">
        <v>5736</v>
      </c>
      <c r="G478" s="9" t="s">
        <v>5569</v>
      </c>
      <c r="H478" s="3">
        <f t="shared" si="17"/>
        <v>12500</v>
      </c>
      <c r="I478" s="3">
        <f t="shared" si="18"/>
        <v>2000</v>
      </c>
    </row>
    <row r="479" spans="1:10">
      <c r="A479" s="174" t="s">
        <v>7099</v>
      </c>
      <c r="B479">
        <v>85</v>
      </c>
      <c r="F479" s="9" t="s">
        <v>2285</v>
      </c>
      <c r="G479" s="9" t="s">
        <v>3820</v>
      </c>
      <c r="H479" s="3">
        <f t="shared" si="17"/>
        <v>191130.625</v>
      </c>
      <c r="I479" s="3">
        <f t="shared" si="18"/>
        <v>30580.9</v>
      </c>
    </row>
    <row r="480" spans="1:10">
      <c r="A480" s="174" t="s">
        <v>7099</v>
      </c>
      <c r="B480">
        <v>85</v>
      </c>
      <c r="F480" s="28" t="s">
        <v>2277</v>
      </c>
      <c r="G480" s="28" t="s">
        <v>2278</v>
      </c>
      <c r="H480" s="3">
        <f t="shared" si="17"/>
        <v>334.75</v>
      </c>
      <c r="I480" s="3">
        <f t="shared" si="18"/>
        <v>53.56</v>
      </c>
    </row>
    <row r="481" spans="1:10">
      <c r="A481" s="174" t="s">
        <v>7099</v>
      </c>
      <c r="B481">
        <v>85</v>
      </c>
      <c r="F481" s="12" t="s">
        <v>1600</v>
      </c>
      <c r="G481" s="9" t="s">
        <v>1011</v>
      </c>
      <c r="H481" s="3">
        <f t="shared" si="17"/>
        <v>10379.375</v>
      </c>
      <c r="I481" s="3">
        <f t="shared" si="18"/>
        <v>1660.7</v>
      </c>
    </row>
    <row r="482" spans="1:10">
      <c r="A482" s="174" t="s">
        <v>7099</v>
      </c>
      <c r="B482">
        <v>85</v>
      </c>
      <c r="F482" s="9" t="s">
        <v>5742</v>
      </c>
      <c r="G482" s="9" t="s">
        <v>5743</v>
      </c>
      <c r="H482" s="3">
        <f t="shared" si="17"/>
        <v>260</v>
      </c>
      <c r="I482" s="3">
        <f t="shared" si="18"/>
        <v>41.6</v>
      </c>
    </row>
    <row r="483" spans="1:10">
      <c r="A483" s="174" t="s">
        <v>7099</v>
      </c>
      <c r="B483">
        <v>85</v>
      </c>
      <c r="F483" s="12" t="s">
        <v>830</v>
      </c>
      <c r="G483" s="20" t="s">
        <v>831</v>
      </c>
      <c r="H483" s="3">
        <f t="shared" si="17"/>
        <v>453</v>
      </c>
      <c r="I483" s="3">
        <f t="shared" si="18"/>
        <v>72.48</v>
      </c>
    </row>
    <row r="484" spans="1:10">
      <c r="A484" s="174" t="s">
        <v>7099</v>
      </c>
      <c r="B484">
        <v>85</v>
      </c>
      <c r="F484" s="9" t="s">
        <v>803</v>
      </c>
      <c r="G484" s="9" t="s">
        <v>74</v>
      </c>
      <c r="H484" s="3">
        <f t="shared" si="17"/>
        <v>7207.1249999999991</v>
      </c>
      <c r="I484" s="3">
        <f t="shared" si="18"/>
        <v>1153.1399999999999</v>
      </c>
    </row>
    <row r="485" spans="1:10">
      <c r="A485" s="174" t="s">
        <v>7099</v>
      </c>
      <c r="B485">
        <v>85</v>
      </c>
      <c r="F485" s="9" t="s">
        <v>801</v>
      </c>
      <c r="G485" s="9" t="s">
        <v>215</v>
      </c>
      <c r="H485" s="3">
        <f t="shared" si="17"/>
        <v>15800</v>
      </c>
      <c r="I485" s="3">
        <f t="shared" si="18"/>
        <v>2528</v>
      </c>
    </row>
    <row r="486" spans="1:10">
      <c r="A486" s="174" t="s">
        <v>7099</v>
      </c>
      <c r="B486">
        <v>85</v>
      </c>
      <c r="F486" s="12" t="s">
        <v>805</v>
      </c>
      <c r="G486" s="9" t="s">
        <v>112</v>
      </c>
      <c r="H486" s="3">
        <f t="shared" si="17"/>
        <v>35000</v>
      </c>
      <c r="I486" s="3">
        <f t="shared" si="18"/>
        <v>5600</v>
      </c>
    </row>
    <row r="487" spans="1:10">
      <c r="A487" s="174" t="s">
        <v>7099</v>
      </c>
      <c r="B487">
        <v>85</v>
      </c>
      <c r="F487" s="9" t="s">
        <v>1667</v>
      </c>
      <c r="G487" s="9" t="s">
        <v>5503</v>
      </c>
      <c r="H487" s="3">
        <f t="shared" si="17"/>
        <v>83.625</v>
      </c>
      <c r="I487" s="3">
        <f t="shared" si="18"/>
        <v>13.38</v>
      </c>
    </row>
    <row r="488" spans="1:10">
      <c r="A488" s="174" t="s">
        <v>7099</v>
      </c>
      <c r="B488">
        <v>85</v>
      </c>
      <c r="F488" s="9" t="s">
        <v>5737</v>
      </c>
      <c r="G488" s="9" t="s">
        <v>5491</v>
      </c>
      <c r="H488" s="3">
        <f t="shared" si="17"/>
        <v>1034.4375</v>
      </c>
      <c r="I488" s="3">
        <f t="shared" si="18"/>
        <v>165.51</v>
      </c>
    </row>
    <row r="489" spans="1:10">
      <c r="A489" s="174" t="s">
        <v>7099</v>
      </c>
      <c r="B489">
        <v>85</v>
      </c>
      <c r="F489" s="64" t="s">
        <v>2922</v>
      </c>
      <c r="G489" s="9" t="s">
        <v>2923</v>
      </c>
      <c r="H489" s="3">
        <f t="shared" si="17"/>
        <v>4991.625</v>
      </c>
      <c r="I489" s="3">
        <f t="shared" si="18"/>
        <v>798.66000000000008</v>
      </c>
    </row>
    <row r="490" spans="1:10">
      <c r="A490" s="174" t="s">
        <v>7099</v>
      </c>
      <c r="B490">
        <v>6</v>
      </c>
      <c r="F490" s="11" t="s">
        <v>802</v>
      </c>
      <c r="G490" s="11" t="s">
        <v>226</v>
      </c>
      <c r="H490" s="3">
        <f t="shared" si="17"/>
        <v>298</v>
      </c>
      <c r="I490" s="3">
        <f t="shared" si="18"/>
        <v>47.68</v>
      </c>
      <c r="J490">
        <v>7.88</v>
      </c>
    </row>
    <row r="491" spans="1:10">
      <c r="A491" s="174" t="s">
        <v>7099</v>
      </c>
      <c r="B491">
        <v>85</v>
      </c>
      <c r="F491" s="9" t="s">
        <v>806</v>
      </c>
      <c r="G491" s="9" t="s">
        <v>207</v>
      </c>
      <c r="H491" s="3">
        <f t="shared" si="17"/>
        <v>7238.3124999999991</v>
      </c>
      <c r="I491" s="3">
        <f t="shared" si="18"/>
        <v>1158.1299999999999</v>
      </c>
    </row>
    <row r="492" spans="1:10">
      <c r="A492" s="174" t="s">
        <v>7099</v>
      </c>
      <c r="B492">
        <v>85</v>
      </c>
      <c r="F492" s="9" t="s">
        <v>811</v>
      </c>
      <c r="G492" s="9" t="s">
        <v>5425</v>
      </c>
      <c r="H492" s="3">
        <f t="shared" si="17"/>
        <v>54.437500000000007</v>
      </c>
      <c r="I492" s="3">
        <f t="shared" si="18"/>
        <v>8.7100000000000009</v>
      </c>
    </row>
    <row r="493" spans="1:10">
      <c r="A493" s="174" t="s">
        <v>7099</v>
      </c>
      <c r="B493">
        <v>85</v>
      </c>
      <c r="F493" s="12" t="s">
        <v>1618</v>
      </c>
      <c r="G493" s="9" t="s">
        <v>5768</v>
      </c>
      <c r="H493" s="3">
        <f t="shared" si="17"/>
        <v>200</v>
      </c>
      <c r="I493" s="3">
        <f t="shared" si="18"/>
        <v>32</v>
      </c>
    </row>
    <row r="494" spans="1:10">
      <c r="A494" s="174" t="s">
        <v>7099</v>
      </c>
      <c r="B494">
        <v>85</v>
      </c>
      <c r="F494" s="9" t="s">
        <v>5780</v>
      </c>
      <c r="G494" s="9" t="s">
        <v>5781</v>
      </c>
      <c r="H494" s="3">
        <f t="shared" si="17"/>
        <v>334.375</v>
      </c>
      <c r="I494" s="3">
        <f t="shared" si="18"/>
        <v>53.5</v>
      </c>
    </row>
    <row r="495" spans="1:10">
      <c r="A495" s="174" t="s">
        <v>7099</v>
      </c>
      <c r="B495">
        <v>6</v>
      </c>
      <c r="F495" s="18" t="s">
        <v>816</v>
      </c>
      <c r="G495" s="19" t="s">
        <v>817</v>
      </c>
      <c r="H495" s="3">
        <f t="shared" si="17"/>
        <v>107142.875</v>
      </c>
      <c r="I495" s="3">
        <f t="shared" si="18"/>
        <v>17142.86</v>
      </c>
      <c r="J495">
        <v>11428.57</v>
      </c>
    </row>
    <row r="496" spans="1:10">
      <c r="A496" s="174" t="s">
        <v>7099</v>
      </c>
      <c r="B496">
        <v>85</v>
      </c>
      <c r="F496" s="9" t="s">
        <v>2856</v>
      </c>
      <c r="G496" s="9" t="s">
        <v>2827</v>
      </c>
      <c r="H496" s="3">
        <f t="shared" si="17"/>
        <v>27000</v>
      </c>
      <c r="I496" s="3">
        <f t="shared" si="18"/>
        <v>4320</v>
      </c>
    </row>
    <row r="497" spans="1:10">
      <c r="A497" s="174" t="s">
        <v>7099</v>
      </c>
      <c r="B497">
        <v>85</v>
      </c>
      <c r="F497" s="9" t="s">
        <v>1582</v>
      </c>
      <c r="G497" s="9" t="s">
        <v>5779</v>
      </c>
      <c r="H497" s="3">
        <f t="shared" si="17"/>
        <v>163.8125</v>
      </c>
      <c r="I497" s="3">
        <f t="shared" si="18"/>
        <v>26.21</v>
      </c>
    </row>
    <row r="498" spans="1:10">
      <c r="A498" s="174" t="s">
        <v>7099</v>
      </c>
      <c r="B498">
        <v>85</v>
      </c>
      <c r="F498" s="9" t="s">
        <v>738</v>
      </c>
      <c r="G498" s="9" t="s">
        <v>517</v>
      </c>
      <c r="H498" s="3">
        <f t="shared" si="17"/>
        <v>135.6875</v>
      </c>
      <c r="I498" s="3">
        <f t="shared" si="18"/>
        <v>21.71</v>
      </c>
    </row>
    <row r="499" spans="1:10">
      <c r="A499" s="174" t="s">
        <v>7099</v>
      </c>
      <c r="B499">
        <v>85</v>
      </c>
      <c r="F499" s="9" t="s">
        <v>2305</v>
      </c>
      <c r="G499" s="9" t="s">
        <v>2157</v>
      </c>
      <c r="H499" s="3">
        <f t="shared" si="17"/>
        <v>860</v>
      </c>
      <c r="I499" s="3">
        <f t="shared" si="18"/>
        <v>137.6</v>
      </c>
    </row>
    <row r="500" spans="1:10">
      <c r="A500" s="174" t="s">
        <v>7099</v>
      </c>
      <c r="B500">
        <v>85</v>
      </c>
      <c r="F500" s="12" t="s">
        <v>4355</v>
      </c>
      <c r="G500" s="9" t="s">
        <v>5534</v>
      </c>
      <c r="H500" s="3">
        <f t="shared" si="17"/>
        <v>51.687499999999993</v>
      </c>
      <c r="I500" s="3">
        <f t="shared" si="18"/>
        <v>8.27</v>
      </c>
    </row>
    <row r="501" spans="1:10">
      <c r="A501" s="174" t="s">
        <v>7099</v>
      </c>
      <c r="B501">
        <v>85</v>
      </c>
      <c r="F501" s="9" t="s">
        <v>836</v>
      </c>
      <c r="G501" s="9" t="s">
        <v>558</v>
      </c>
      <c r="H501" s="3">
        <f t="shared" si="17"/>
        <v>1100</v>
      </c>
      <c r="I501" s="3">
        <f t="shared" si="18"/>
        <v>176</v>
      </c>
    </row>
    <row r="502" spans="1:10">
      <c r="A502" s="174" t="s">
        <v>7099</v>
      </c>
      <c r="B502">
        <v>85</v>
      </c>
      <c r="F502" s="9" t="s">
        <v>820</v>
      </c>
      <c r="G502" s="9" t="s">
        <v>97</v>
      </c>
      <c r="H502" s="3">
        <f t="shared" si="17"/>
        <v>6828.4999999999991</v>
      </c>
      <c r="I502" s="3">
        <f t="shared" si="18"/>
        <v>1092.56</v>
      </c>
    </row>
    <row r="503" spans="1:10">
      <c r="A503" s="174" t="s">
        <v>7099</v>
      </c>
      <c r="B503">
        <v>85</v>
      </c>
      <c r="F503" s="9" t="s">
        <v>5190</v>
      </c>
      <c r="G503" s="9" t="s">
        <v>5149</v>
      </c>
      <c r="H503" s="3">
        <f t="shared" si="17"/>
        <v>8025</v>
      </c>
      <c r="I503" s="3">
        <f t="shared" si="18"/>
        <v>1284</v>
      </c>
    </row>
    <row r="504" spans="1:10">
      <c r="A504" s="174" t="s">
        <v>7099</v>
      </c>
      <c r="B504">
        <v>85</v>
      </c>
      <c r="F504" s="9" t="s">
        <v>1615</v>
      </c>
      <c r="G504" s="9" t="s">
        <v>1449</v>
      </c>
      <c r="H504" s="3">
        <f t="shared" si="17"/>
        <v>245.9375</v>
      </c>
      <c r="I504" s="3">
        <f t="shared" si="18"/>
        <v>39.35</v>
      </c>
    </row>
    <row r="505" spans="1:10">
      <c r="A505" s="174" t="s">
        <v>7099</v>
      </c>
      <c r="B505">
        <v>85</v>
      </c>
      <c r="F505" s="12" t="s">
        <v>818</v>
      </c>
      <c r="G505" s="9" t="s">
        <v>584</v>
      </c>
      <c r="H505" s="3">
        <f t="shared" si="17"/>
        <v>358.5</v>
      </c>
      <c r="I505" s="3">
        <f t="shared" si="18"/>
        <v>57.36</v>
      </c>
    </row>
    <row r="506" spans="1:10">
      <c r="A506" s="174" t="s">
        <v>7099</v>
      </c>
      <c r="B506">
        <v>85</v>
      </c>
      <c r="F506" s="9" t="s">
        <v>733</v>
      </c>
      <c r="G506" s="9" t="s">
        <v>124</v>
      </c>
      <c r="H506" s="3">
        <f t="shared" si="17"/>
        <v>6614.6874999999991</v>
      </c>
      <c r="I506" s="3">
        <f t="shared" si="18"/>
        <v>1058.3499999999999</v>
      </c>
    </row>
    <row r="507" spans="1:10">
      <c r="A507" s="174" t="s">
        <v>7099</v>
      </c>
      <c r="B507">
        <v>85</v>
      </c>
      <c r="F507" s="9" t="s">
        <v>839</v>
      </c>
      <c r="G507" s="9" t="s">
        <v>229</v>
      </c>
      <c r="H507" s="3">
        <f t="shared" si="17"/>
        <v>474</v>
      </c>
      <c r="I507" s="3">
        <f t="shared" si="18"/>
        <v>75.84</v>
      </c>
    </row>
    <row r="508" spans="1:10">
      <c r="A508" s="174" t="s">
        <v>7099</v>
      </c>
      <c r="B508">
        <v>85</v>
      </c>
      <c r="F508" s="9" t="s">
        <v>2888</v>
      </c>
      <c r="G508" s="9" t="s">
        <v>2889</v>
      </c>
      <c r="H508" s="3">
        <f t="shared" si="17"/>
        <v>81.9375</v>
      </c>
      <c r="I508" s="3">
        <f t="shared" si="18"/>
        <v>13.11</v>
      </c>
    </row>
    <row r="509" spans="1:10">
      <c r="A509" s="174" t="s">
        <v>7099</v>
      </c>
      <c r="B509">
        <v>85</v>
      </c>
      <c r="F509" s="9" t="s">
        <v>838</v>
      </c>
      <c r="G509" s="9" t="s">
        <v>49</v>
      </c>
      <c r="H509" s="3">
        <f t="shared" si="17"/>
        <v>100</v>
      </c>
      <c r="I509" s="3">
        <f t="shared" si="18"/>
        <v>16</v>
      </c>
    </row>
    <row r="510" spans="1:10">
      <c r="A510" s="174" t="s">
        <v>7099</v>
      </c>
      <c r="B510">
        <v>6</v>
      </c>
      <c r="F510" s="18" t="s">
        <v>843</v>
      </c>
      <c r="G510" s="19" t="s">
        <v>844</v>
      </c>
      <c r="H510" s="3">
        <f t="shared" si="17"/>
        <v>107142.875</v>
      </c>
      <c r="I510" s="3">
        <f t="shared" si="18"/>
        <v>17142.86</v>
      </c>
      <c r="J510">
        <v>11428.57</v>
      </c>
    </row>
    <row r="511" spans="1:10">
      <c r="A511" s="174" t="s">
        <v>7099</v>
      </c>
      <c r="B511">
        <v>85</v>
      </c>
      <c r="F511" s="36" t="s">
        <v>2924</v>
      </c>
      <c r="G511" s="9" t="s">
        <v>2925</v>
      </c>
      <c r="H511" s="3">
        <f t="shared" si="17"/>
        <v>173.25</v>
      </c>
      <c r="I511" s="3">
        <f t="shared" si="18"/>
        <v>27.72</v>
      </c>
    </row>
    <row r="512" spans="1:10">
      <c r="A512" s="174" t="s">
        <v>7099</v>
      </c>
      <c r="B512">
        <v>85</v>
      </c>
      <c r="F512" s="9" t="s">
        <v>847</v>
      </c>
      <c r="G512" s="9" t="s">
        <v>4570</v>
      </c>
      <c r="H512" s="3">
        <f t="shared" si="17"/>
        <v>44</v>
      </c>
      <c r="I512" s="3">
        <f t="shared" si="18"/>
        <v>7.04</v>
      </c>
    </row>
    <row r="513" spans="1:9">
      <c r="A513" s="174" t="s">
        <v>7099</v>
      </c>
      <c r="B513">
        <v>85</v>
      </c>
      <c r="F513" s="13" t="s">
        <v>856</v>
      </c>
      <c r="G513" s="9" t="s">
        <v>857</v>
      </c>
      <c r="H513" s="3">
        <f t="shared" si="17"/>
        <v>229880.4375</v>
      </c>
      <c r="I513" s="3">
        <f t="shared" si="18"/>
        <v>36780.870000000003</v>
      </c>
    </row>
    <row r="514" spans="1:9">
      <c r="A514" s="174" t="s">
        <v>7099</v>
      </c>
      <c r="B514">
        <v>85</v>
      </c>
      <c r="F514" s="9" t="s">
        <v>851</v>
      </c>
      <c r="G514" s="9" t="s">
        <v>86</v>
      </c>
      <c r="H514" s="3">
        <f t="shared" si="17"/>
        <v>5615.4375</v>
      </c>
      <c r="I514" s="3">
        <f t="shared" si="18"/>
        <v>898.47</v>
      </c>
    </row>
    <row r="515" spans="1:9">
      <c r="A515" s="174" t="s">
        <v>7099</v>
      </c>
      <c r="B515">
        <v>85</v>
      </c>
      <c r="F515" s="36" t="s">
        <v>2296</v>
      </c>
      <c r="G515" s="9" t="s">
        <v>2297</v>
      </c>
      <c r="H515" s="3">
        <f t="shared" si="17"/>
        <v>198.375</v>
      </c>
      <c r="I515" s="3">
        <f t="shared" si="18"/>
        <v>31.74</v>
      </c>
    </row>
    <row r="516" spans="1:9">
      <c r="A516" s="174" t="s">
        <v>7099</v>
      </c>
      <c r="B516">
        <v>85</v>
      </c>
      <c r="F516" s="28" t="s">
        <v>5786</v>
      </c>
      <c r="G516" s="28" t="s">
        <v>5787</v>
      </c>
      <c r="H516" s="3">
        <f t="shared" si="17"/>
        <v>497.87499999999994</v>
      </c>
      <c r="I516" s="3">
        <f t="shared" si="18"/>
        <v>79.66</v>
      </c>
    </row>
    <row r="517" spans="1:9">
      <c r="A517" s="174" t="s">
        <v>7099</v>
      </c>
      <c r="B517">
        <v>85</v>
      </c>
      <c r="F517" s="9" t="s">
        <v>1717</v>
      </c>
      <c r="G517" s="9" t="s">
        <v>1718</v>
      </c>
      <c r="H517" s="3">
        <f t="shared" si="17"/>
        <v>1495.375</v>
      </c>
      <c r="I517" s="3">
        <f t="shared" si="18"/>
        <v>239.26</v>
      </c>
    </row>
    <row r="518" spans="1:9">
      <c r="A518" s="174" t="s">
        <v>7099</v>
      </c>
      <c r="B518">
        <v>85</v>
      </c>
      <c r="F518" s="28" t="s">
        <v>925</v>
      </c>
      <c r="G518" s="28" t="s">
        <v>926</v>
      </c>
      <c r="H518" s="3">
        <f t="shared" si="17"/>
        <v>334.375</v>
      </c>
      <c r="I518" s="3">
        <f t="shared" si="18"/>
        <v>53.5</v>
      </c>
    </row>
    <row r="519" spans="1:9">
      <c r="A519" s="174" t="s">
        <v>7099</v>
      </c>
      <c r="B519">
        <v>85</v>
      </c>
      <c r="F519" s="12" t="s">
        <v>849</v>
      </c>
      <c r="G519" s="9" t="s">
        <v>127</v>
      </c>
      <c r="H519" s="3">
        <f t="shared" si="17"/>
        <v>1100</v>
      </c>
      <c r="I519" s="3">
        <f t="shared" si="18"/>
        <v>176</v>
      </c>
    </row>
    <row r="520" spans="1:9">
      <c r="A520" s="174" t="s">
        <v>7099</v>
      </c>
      <c r="B520">
        <v>85</v>
      </c>
      <c r="F520" s="9" t="s">
        <v>850</v>
      </c>
      <c r="G520" s="9" t="s">
        <v>89</v>
      </c>
      <c r="H520" s="3">
        <f t="shared" si="17"/>
        <v>900</v>
      </c>
      <c r="I520" s="3">
        <f t="shared" si="18"/>
        <v>144</v>
      </c>
    </row>
    <row r="521" spans="1:9">
      <c r="A521" s="174" t="s">
        <v>7099</v>
      </c>
      <c r="B521">
        <v>85</v>
      </c>
      <c r="F521" s="28" t="s">
        <v>2287</v>
      </c>
      <c r="G521" s="28" t="s">
        <v>2288</v>
      </c>
      <c r="H521" s="3">
        <f t="shared" si="17"/>
        <v>877.75</v>
      </c>
      <c r="I521" s="3">
        <f t="shared" si="18"/>
        <v>140.44</v>
      </c>
    </row>
    <row r="522" spans="1:9">
      <c r="A522" s="174" t="s">
        <v>7099</v>
      </c>
      <c r="B522">
        <v>85</v>
      </c>
      <c r="F522" s="9" t="s">
        <v>5740</v>
      </c>
      <c r="G522" s="9" t="s">
        <v>5741</v>
      </c>
      <c r="H522" s="3">
        <f t="shared" si="17"/>
        <v>102.62500000000001</v>
      </c>
      <c r="I522" s="3">
        <f t="shared" si="18"/>
        <v>16.420000000000002</v>
      </c>
    </row>
    <row r="523" spans="1:9">
      <c r="A523" s="174" t="s">
        <v>7099</v>
      </c>
      <c r="B523">
        <v>85</v>
      </c>
      <c r="F523" s="9" t="s">
        <v>4383</v>
      </c>
      <c r="G523" s="9" t="s">
        <v>5423</v>
      </c>
      <c r="H523" s="3">
        <f t="shared" si="17"/>
        <v>508.62499999999994</v>
      </c>
      <c r="I523" s="3">
        <f t="shared" si="18"/>
        <v>81.38</v>
      </c>
    </row>
    <row r="524" spans="1:9">
      <c r="A524" s="174" t="s">
        <v>7099</v>
      </c>
      <c r="B524">
        <v>85</v>
      </c>
      <c r="F524" s="9" t="s">
        <v>858</v>
      </c>
      <c r="G524" s="9" t="s">
        <v>3600</v>
      </c>
      <c r="H524" s="3">
        <f t="shared" si="17"/>
        <v>350</v>
      </c>
      <c r="I524" s="3">
        <f t="shared" si="18"/>
        <v>56</v>
      </c>
    </row>
    <row r="525" spans="1:9">
      <c r="A525" s="174" t="s">
        <v>7099</v>
      </c>
      <c r="B525">
        <v>85</v>
      </c>
      <c r="F525" s="17" t="s">
        <v>862</v>
      </c>
      <c r="G525" s="9" t="s">
        <v>402</v>
      </c>
      <c r="H525" s="3">
        <f t="shared" si="17"/>
        <v>0</v>
      </c>
      <c r="I525" s="3">
        <f t="shared" si="18"/>
        <v>0</v>
      </c>
    </row>
    <row r="526" spans="1:9">
      <c r="A526" s="174" t="s">
        <v>7099</v>
      </c>
      <c r="B526">
        <v>85</v>
      </c>
      <c r="F526" s="9" t="s">
        <v>5759</v>
      </c>
      <c r="G526" s="9" t="s">
        <v>5760</v>
      </c>
      <c r="H526" s="3">
        <f t="shared" si="17"/>
        <v>56.0625</v>
      </c>
      <c r="I526" s="3">
        <f t="shared" si="18"/>
        <v>8.9700000000000006</v>
      </c>
    </row>
    <row r="527" spans="1:9">
      <c r="A527" s="174" t="s">
        <v>7099</v>
      </c>
      <c r="B527">
        <v>85</v>
      </c>
      <c r="F527" s="9" t="s">
        <v>859</v>
      </c>
      <c r="G527" s="9" t="s">
        <v>174</v>
      </c>
      <c r="H527" s="3">
        <f t="shared" si="17"/>
        <v>45646.124999999993</v>
      </c>
      <c r="I527" s="3">
        <f t="shared" si="18"/>
        <v>7303.3799999999992</v>
      </c>
    </row>
    <row r="528" spans="1:9">
      <c r="A528" s="174" t="s">
        <v>7099</v>
      </c>
      <c r="B528">
        <v>85</v>
      </c>
      <c r="F528" s="12" t="s">
        <v>5720</v>
      </c>
      <c r="G528" s="9" t="s">
        <v>5542</v>
      </c>
      <c r="H528" s="3">
        <f t="shared" si="17"/>
        <v>224.125</v>
      </c>
      <c r="I528" s="3">
        <f t="shared" si="18"/>
        <v>35.86</v>
      </c>
    </row>
    <row r="529" spans="1:9">
      <c r="A529" s="174" t="s">
        <v>7099</v>
      </c>
      <c r="B529">
        <v>85</v>
      </c>
      <c r="F529" s="9" t="s">
        <v>5771</v>
      </c>
      <c r="G529" s="9" t="s">
        <v>5700</v>
      </c>
      <c r="H529" s="3">
        <f t="shared" si="17"/>
        <v>6536.125</v>
      </c>
      <c r="I529" s="3">
        <f t="shared" si="18"/>
        <v>1045.78</v>
      </c>
    </row>
    <row r="530" spans="1:9">
      <c r="A530" s="174" t="s">
        <v>7099</v>
      </c>
      <c r="B530">
        <v>85</v>
      </c>
      <c r="F530" s="12" t="s">
        <v>5772</v>
      </c>
      <c r="G530" s="9" t="s">
        <v>5459</v>
      </c>
      <c r="H530" s="3">
        <f t="shared" si="17"/>
        <v>73.25</v>
      </c>
      <c r="I530" s="3">
        <f t="shared" si="18"/>
        <v>11.72</v>
      </c>
    </row>
    <row r="531" spans="1:9">
      <c r="A531" s="174" t="s">
        <v>7099</v>
      </c>
      <c r="B531">
        <v>85</v>
      </c>
      <c r="F531" s="9" t="s">
        <v>5761</v>
      </c>
      <c r="G531" s="9" t="s">
        <v>5762</v>
      </c>
      <c r="H531" s="3">
        <f t="shared" si="17"/>
        <v>334.375</v>
      </c>
      <c r="I531" s="3">
        <f t="shared" si="18"/>
        <v>53.5</v>
      </c>
    </row>
    <row r="532" spans="1:9">
      <c r="A532" s="174" t="s">
        <v>7099</v>
      </c>
      <c r="B532">
        <v>85</v>
      </c>
      <c r="F532" s="9" t="s">
        <v>921</v>
      </c>
      <c r="G532" s="9" t="s">
        <v>5752</v>
      </c>
      <c r="H532" s="3">
        <f t="shared" si="17"/>
        <v>25227.125</v>
      </c>
      <c r="I532" s="3">
        <f t="shared" si="18"/>
        <v>4036.34</v>
      </c>
    </row>
    <row r="533" spans="1:9">
      <c r="A533" s="174" t="s">
        <v>7099</v>
      </c>
      <c r="B533">
        <v>85</v>
      </c>
      <c r="F533" t="s">
        <v>5168</v>
      </c>
      <c r="G533" t="s">
        <v>7071</v>
      </c>
      <c r="H533" s="3">
        <f t="shared" si="17"/>
        <v>440</v>
      </c>
      <c r="I533" s="3">
        <f t="shared" si="18"/>
        <v>70.400000000000006</v>
      </c>
    </row>
    <row r="534" spans="1:9">
      <c r="A534" s="174" t="s">
        <v>7099</v>
      </c>
      <c r="B534">
        <v>85</v>
      </c>
      <c r="F534" s="12" t="s">
        <v>869</v>
      </c>
      <c r="G534" s="9" t="s">
        <v>2142</v>
      </c>
      <c r="H534" s="3">
        <f t="shared" si="17"/>
        <v>7949.75</v>
      </c>
      <c r="I534" s="3">
        <f t="shared" si="18"/>
        <v>1271.96</v>
      </c>
    </row>
    <row r="535" spans="1:9">
      <c r="A535" s="174" t="s">
        <v>7099</v>
      </c>
      <c r="B535">
        <v>85</v>
      </c>
      <c r="F535" s="9" t="s">
        <v>868</v>
      </c>
      <c r="G535" s="9" t="s">
        <v>94</v>
      </c>
      <c r="H535" s="3">
        <f t="shared" si="17"/>
        <v>62350</v>
      </c>
      <c r="I535" s="3">
        <f t="shared" si="18"/>
        <v>9976</v>
      </c>
    </row>
    <row r="536" spans="1:9">
      <c r="A536" s="174" t="s">
        <v>7099</v>
      </c>
      <c r="B536">
        <v>85</v>
      </c>
      <c r="F536" s="9" t="s">
        <v>5763</v>
      </c>
      <c r="G536" s="9" t="s">
        <v>5764</v>
      </c>
      <c r="H536" s="3">
        <f t="shared" ref="H536:H571" si="19">+I536/0.16</f>
        <v>107.74999999999999</v>
      </c>
      <c r="I536" s="3">
        <f t="shared" ref="I536:I571" si="20">+SUMIF($F$8:$F$399,F536,$I$8:$I$399)</f>
        <v>17.239999999999998</v>
      </c>
    </row>
    <row r="537" spans="1:9">
      <c r="A537" s="174" t="s">
        <v>7099</v>
      </c>
      <c r="B537">
        <v>85</v>
      </c>
      <c r="F537" s="9" t="s">
        <v>5769</v>
      </c>
      <c r="G537" s="9" t="s">
        <v>5505</v>
      </c>
      <c r="H537" s="3">
        <f t="shared" si="19"/>
        <v>607.75</v>
      </c>
      <c r="I537" s="3">
        <f t="shared" si="20"/>
        <v>97.24</v>
      </c>
    </row>
    <row r="538" spans="1:9">
      <c r="A538" s="174" t="s">
        <v>7099</v>
      </c>
      <c r="B538">
        <v>85</v>
      </c>
      <c r="F538" s="12" t="s">
        <v>742</v>
      </c>
      <c r="G538" s="9" t="s">
        <v>602</v>
      </c>
      <c r="H538" s="3">
        <f t="shared" si="19"/>
        <v>62.0625</v>
      </c>
      <c r="I538" s="3">
        <f t="shared" si="20"/>
        <v>9.93</v>
      </c>
    </row>
    <row r="539" spans="1:9">
      <c r="A539" s="174" t="s">
        <v>7099</v>
      </c>
      <c r="B539">
        <v>85</v>
      </c>
      <c r="F539" s="64" t="s">
        <v>2910</v>
      </c>
      <c r="G539" s="9" t="s">
        <v>5767</v>
      </c>
      <c r="H539" s="3">
        <f t="shared" si="19"/>
        <v>148.25</v>
      </c>
      <c r="I539" s="3">
        <f t="shared" si="20"/>
        <v>23.72</v>
      </c>
    </row>
    <row r="540" spans="1:9">
      <c r="A540" s="174" t="s">
        <v>7099</v>
      </c>
      <c r="B540">
        <v>85</v>
      </c>
      <c r="F540" s="12" t="s">
        <v>5748</v>
      </c>
      <c r="G540" s="9" t="s">
        <v>5532</v>
      </c>
      <c r="H540" s="3">
        <f t="shared" si="19"/>
        <v>200</v>
      </c>
      <c r="I540" s="3">
        <f t="shared" si="20"/>
        <v>32</v>
      </c>
    </row>
    <row r="541" spans="1:9">
      <c r="A541" s="174" t="s">
        <v>7099</v>
      </c>
      <c r="B541">
        <v>85</v>
      </c>
      <c r="F541" s="12" t="s">
        <v>865</v>
      </c>
      <c r="G541" s="9" t="s">
        <v>158</v>
      </c>
      <c r="H541" s="3">
        <f t="shared" si="19"/>
        <v>2000</v>
      </c>
      <c r="I541" s="3">
        <f t="shared" si="20"/>
        <v>320</v>
      </c>
    </row>
    <row r="542" spans="1:9">
      <c r="A542" s="174" t="s">
        <v>7099</v>
      </c>
      <c r="B542">
        <v>85</v>
      </c>
      <c r="F542" s="12" t="s">
        <v>5775</v>
      </c>
      <c r="G542" s="9" t="s">
        <v>5567</v>
      </c>
      <c r="H542" s="3">
        <f t="shared" si="19"/>
        <v>180</v>
      </c>
      <c r="I542" s="3">
        <f t="shared" si="20"/>
        <v>28.8</v>
      </c>
    </row>
    <row r="543" spans="1:9">
      <c r="A543" s="174" t="s">
        <v>7099</v>
      </c>
      <c r="B543">
        <v>85</v>
      </c>
      <c r="F543" s="28" t="s">
        <v>943</v>
      </c>
      <c r="G543" s="28" t="s">
        <v>3761</v>
      </c>
      <c r="H543" s="3">
        <f t="shared" si="19"/>
        <v>1412.0625</v>
      </c>
      <c r="I543" s="3">
        <f t="shared" si="20"/>
        <v>225.93</v>
      </c>
    </row>
    <row r="544" spans="1:9">
      <c r="A544" s="174" t="s">
        <v>7099</v>
      </c>
      <c r="B544">
        <v>85</v>
      </c>
      <c r="F544" s="9" t="s">
        <v>1684</v>
      </c>
      <c r="G544" s="9" t="s">
        <v>1685</v>
      </c>
      <c r="H544" s="3">
        <f t="shared" si="19"/>
        <v>334.3125</v>
      </c>
      <c r="I544" s="3">
        <f t="shared" si="20"/>
        <v>53.49</v>
      </c>
    </row>
    <row r="545" spans="1:9">
      <c r="A545" s="174" t="s">
        <v>7099</v>
      </c>
      <c r="B545">
        <v>85</v>
      </c>
      <c r="F545" s="28" t="s">
        <v>2880</v>
      </c>
      <c r="G545" s="28" t="s">
        <v>2881</v>
      </c>
      <c r="H545" s="3">
        <f t="shared" si="19"/>
        <v>880.0625</v>
      </c>
      <c r="I545" s="3">
        <f t="shared" si="20"/>
        <v>140.81</v>
      </c>
    </row>
    <row r="546" spans="1:9">
      <c r="A546" s="174" t="s">
        <v>7099</v>
      </c>
      <c r="B546">
        <v>85</v>
      </c>
      <c r="F546" s="28" t="s">
        <v>3353</v>
      </c>
      <c r="G546" s="28" t="s">
        <v>5782</v>
      </c>
      <c r="H546" s="3">
        <f t="shared" si="19"/>
        <v>83.625</v>
      </c>
      <c r="I546" s="3">
        <f t="shared" si="20"/>
        <v>13.38</v>
      </c>
    </row>
    <row r="547" spans="1:9">
      <c r="A547" s="174" t="s">
        <v>7099</v>
      </c>
      <c r="B547">
        <v>85</v>
      </c>
      <c r="F547" s="28" t="s">
        <v>877</v>
      </c>
      <c r="G547" s="28" t="s">
        <v>223</v>
      </c>
      <c r="H547" s="3">
        <f t="shared" si="19"/>
        <v>45406.5625</v>
      </c>
      <c r="I547" s="3">
        <f t="shared" si="20"/>
        <v>7265.05</v>
      </c>
    </row>
    <row r="548" spans="1:9">
      <c r="A548" s="174" t="s">
        <v>7099</v>
      </c>
      <c r="B548">
        <v>85</v>
      </c>
      <c r="F548" s="9" t="s">
        <v>4364</v>
      </c>
      <c r="G548" s="9" t="s">
        <v>4103</v>
      </c>
      <c r="H548" s="3">
        <f t="shared" si="19"/>
        <v>319.625</v>
      </c>
      <c r="I548" s="3">
        <f t="shared" si="20"/>
        <v>51.14</v>
      </c>
    </row>
    <row r="549" spans="1:9">
      <c r="A549" s="174" t="s">
        <v>7099</v>
      </c>
      <c r="B549">
        <v>85</v>
      </c>
      <c r="F549" s="12" t="s">
        <v>915</v>
      </c>
      <c r="G549" s="20" t="s">
        <v>916</v>
      </c>
      <c r="H549" s="3">
        <f t="shared" si="19"/>
        <v>95</v>
      </c>
      <c r="I549" s="3">
        <f t="shared" si="20"/>
        <v>15.2</v>
      </c>
    </row>
    <row r="550" spans="1:9">
      <c r="A550" s="174" t="s">
        <v>7099</v>
      </c>
      <c r="B550">
        <v>85</v>
      </c>
      <c r="F550" s="9" t="s">
        <v>5730</v>
      </c>
      <c r="G550" s="9" t="s">
        <v>5731</v>
      </c>
      <c r="H550" s="3">
        <f t="shared" si="19"/>
        <v>540.4375</v>
      </c>
      <c r="I550" s="3">
        <f t="shared" si="20"/>
        <v>86.47</v>
      </c>
    </row>
    <row r="551" spans="1:9">
      <c r="A551" s="174" t="s">
        <v>7099</v>
      </c>
      <c r="B551">
        <v>85</v>
      </c>
      <c r="F551" s="28" t="s">
        <v>913</v>
      </c>
      <c r="G551" s="28" t="s">
        <v>914</v>
      </c>
      <c r="H551" s="3">
        <f t="shared" si="19"/>
        <v>1132.5624999999998</v>
      </c>
      <c r="I551" s="3">
        <f t="shared" si="20"/>
        <v>181.20999999999998</v>
      </c>
    </row>
    <row r="552" spans="1:9">
      <c r="A552" s="174" t="s">
        <v>7099</v>
      </c>
      <c r="B552">
        <v>85</v>
      </c>
      <c r="F552" s="28" t="s">
        <v>5746</v>
      </c>
      <c r="G552" s="28" t="s">
        <v>5747</v>
      </c>
      <c r="H552" s="3">
        <f t="shared" si="19"/>
        <v>50.187499999999993</v>
      </c>
      <c r="I552" s="3">
        <f t="shared" si="20"/>
        <v>8.0299999999999994</v>
      </c>
    </row>
    <row r="553" spans="1:9">
      <c r="A553" s="174" t="s">
        <v>7099</v>
      </c>
      <c r="B553">
        <v>85</v>
      </c>
      <c r="F553" s="9" t="s">
        <v>4363</v>
      </c>
      <c r="G553" s="9" t="s">
        <v>3843</v>
      </c>
      <c r="H553" s="3">
        <f t="shared" si="19"/>
        <v>221634.8125</v>
      </c>
      <c r="I553" s="3">
        <f t="shared" si="20"/>
        <v>35461.57</v>
      </c>
    </row>
    <row r="554" spans="1:9">
      <c r="A554" s="174" t="s">
        <v>7099</v>
      </c>
      <c r="B554">
        <v>85</v>
      </c>
      <c r="F554" s="12" t="s">
        <v>740</v>
      </c>
      <c r="G554" s="9" t="s">
        <v>1965</v>
      </c>
      <c r="H554" s="3">
        <f t="shared" si="19"/>
        <v>40</v>
      </c>
      <c r="I554" s="3">
        <f t="shared" si="20"/>
        <v>6.4</v>
      </c>
    </row>
    <row r="555" spans="1:9">
      <c r="A555" s="174" t="s">
        <v>7099</v>
      </c>
      <c r="B555">
        <v>85</v>
      </c>
      <c r="F555" s="9" t="s">
        <v>884</v>
      </c>
      <c r="G555" s="9" t="s">
        <v>535</v>
      </c>
      <c r="H555" s="3">
        <f t="shared" si="19"/>
        <v>689.625</v>
      </c>
      <c r="I555" s="3">
        <f t="shared" si="20"/>
        <v>110.34</v>
      </c>
    </row>
    <row r="556" spans="1:9">
      <c r="A556" s="174" t="s">
        <v>7099</v>
      </c>
      <c r="B556">
        <v>85</v>
      </c>
      <c r="F556" s="9" t="s">
        <v>876</v>
      </c>
      <c r="G556" s="9" t="s">
        <v>306</v>
      </c>
      <c r="H556" s="3">
        <f t="shared" si="19"/>
        <v>32505.9375</v>
      </c>
      <c r="I556" s="3">
        <f t="shared" si="20"/>
        <v>5200.95</v>
      </c>
    </row>
    <row r="557" spans="1:9">
      <c r="A557" s="174" t="s">
        <v>7099</v>
      </c>
      <c r="B557">
        <v>85</v>
      </c>
      <c r="F557" s="28" t="s">
        <v>4698</v>
      </c>
      <c r="G557" s="28" t="s">
        <v>4699</v>
      </c>
      <c r="H557" s="3">
        <f t="shared" si="19"/>
        <v>557.5</v>
      </c>
      <c r="I557" s="3">
        <f t="shared" si="20"/>
        <v>89.2</v>
      </c>
    </row>
    <row r="558" spans="1:9">
      <c r="A558" s="174" t="s">
        <v>7099</v>
      </c>
      <c r="B558">
        <v>85</v>
      </c>
      <c r="F558" s="28" t="s">
        <v>2343</v>
      </c>
      <c r="G558" s="28" t="s">
        <v>2344</v>
      </c>
      <c r="H558" s="3">
        <f t="shared" si="19"/>
        <v>685.75</v>
      </c>
      <c r="I558" s="3">
        <f t="shared" si="20"/>
        <v>109.72</v>
      </c>
    </row>
    <row r="559" spans="1:9">
      <c r="A559" s="174" t="s">
        <v>7099</v>
      </c>
      <c r="B559">
        <v>85</v>
      </c>
      <c r="F559" s="9" t="s">
        <v>4381</v>
      </c>
      <c r="G559" s="9" t="s">
        <v>4287</v>
      </c>
      <c r="H559" s="3">
        <f t="shared" si="19"/>
        <v>1900</v>
      </c>
      <c r="I559" s="3">
        <f t="shared" si="20"/>
        <v>304</v>
      </c>
    </row>
    <row r="560" spans="1:9">
      <c r="A560" s="174" t="s">
        <v>7099</v>
      </c>
      <c r="B560">
        <v>85</v>
      </c>
      <c r="F560" s="67" t="s">
        <v>829</v>
      </c>
      <c r="G560" s="68" t="s">
        <v>6</v>
      </c>
      <c r="H560" s="3">
        <f t="shared" si="19"/>
        <v>884147.625</v>
      </c>
      <c r="I560" s="3">
        <f t="shared" si="20"/>
        <v>141463.62</v>
      </c>
    </row>
    <row r="561" spans="1:10">
      <c r="A561" s="174" t="s">
        <v>7099</v>
      </c>
      <c r="B561">
        <v>85</v>
      </c>
      <c r="F561" s="9" t="s">
        <v>1632</v>
      </c>
      <c r="G561" s="9" t="s">
        <v>968</v>
      </c>
      <c r="H561" s="3">
        <f t="shared" si="19"/>
        <v>20272.875</v>
      </c>
      <c r="I561" s="3">
        <f t="shared" si="20"/>
        <v>3243.66</v>
      </c>
    </row>
    <row r="562" spans="1:10">
      <c r="A562" s="174" t="s">
        <v>7099</v>
      </c>
      <c r="B562">
        <v>85</v>
      </c>
      <c r="F562" t="s">
        <v>1633</v>
      </c>
      <c r="G562" t="s">
        <v>3825</v>
      </c>
      <c r="H562" s="3">
        <f t="shared" si="19"/>
        <v>217444.0625</v>
      </c>
      <c r="I562" s="3">
        <f t="shared" si="20"/>
        <v>34791.050000000003</v>
      </c>
    </row>
    <row r="563" spans="1:10">
      <c r="A563" s="174" t="s">
        <v>7099</v>
      </c>
      <c r="B563">
        <v>85</v>
      </c>
      <c r="F563" s="30" t="s">
        <v>886</v>
      </c>
      <c r="G563" s="31" t="s">
        <v>887</v>
      </c>
      <c r="H563" s="3">
        <f t="shared" si="19"/>
        <v>15946481.687499993</v>
      </c>
      <c r="I563" s="3">
        <f t="shared" si="20"/>
        <v>2551437.0699999989</v>
      </c>
    </row>
    <row r="564" spans="1:10">
      <c r="A564" s="174" t="s">
        <v>7099</v>
      </c>
      <c r="B564">
        <v>85</v>
      </c>
      <c r="F564" s="9" t="s">
        <v>1635</v>
      </c>
      <c r="G564" s="9" t="s">
        <v>5410</v>
      </c>
      <c r="H564" s="3">
        <f t="shared" si="19"/>
        <v>330512.6875</v>
      </c>
      <c r="I564" s="3">
        <f t="shared" si="20"/>
        <v>52882.03</v>
      </c>
    </row>
    <row r="565" spans="1:10">
      <c r="A565" s="174" t="s">
        <v>7099</v>
      </c>
      <c r="B565">
        <v>85</v>
      </c>
      <c r="F565" s="9" t="s">
        <v>1637</v>
      </c>
      <c r="G565" s="9" t="s">
        <v>5418</v>
      </c>
      <c r="H565" s="3">
        <f t="shared" si="19"/>
        <v>309447.5</v>
      </c>
      <c r="I565" s="3">
        <f t="shared" si="20"/>
        <v>49511.6</v>
      </c>
    </row>
    <row r="566" spans="1:10">
      <c r="A566" s="174" t="s">
        <v>7099</v>
      </c>
      <c r="B566">
        <v>85</v>
      </c>
      <c r="F566" s="9" t="s">
        <v>879</v>
      </c>
      <c r="G566" s="9" t="s">
        <v>52</v>
      </c>
      <c r="H566" s="3">
        <f t="shared" si="19"/>
        <v>1897.4374999999998</v>
      </c>
      <c r="I566" s="3">
        <f t="shared" si="20"/>
        <v>303.58999999999997</v>
      </c>
    </row>
    <row r="567" spans="1:10">
      <c r="A567" s="174" t="s">
        <v>7099</v>
      </c>
      <c r="B567">
        <v>85</v>
      </c>
      <c r="F567" s="9" t="s">
        <v>3751</v>
      </c>
      <c r="G567" s="9" t="s">
        <v>4343</v>
      </c>
      <c r="H567" s="3">
        <f t="shared" si="19"/>
        <v>268.68749999999994</v>
      </c>
      <c r="I567" s="3">
        <f t="shared" si="20"/>
        <v>42.989999999999995</v>
      </c>
    </row>
    <row r="568" spans="1:10">
      <c r="A568" s="174" t="s">
        <v>7099</v>
      </c>
      <c r="B568">
        <v>85</v>
      </c>
      <c r="F568" s="9" t="s">
        <v>882</v>
      </c>
      <c r="G568" s="9" t="s">
        <v>590</v>
      </c>
      <c r="H568" s="3">
        <f t="shared" si="19"/>
        <v>347.8125</v>
      </c>
      <c r="I568" s="3">
        <f t="shared" si="20"/>
        <v>55.65</v>
      </c>
    </row>
    <row r="569" spans="1:10">
      <c r="A569" s="174" t="s">
        <v>7099</v>
      </c>
      <c r="B569">
        <v>85</v>
      </c>
      <c r="F569" s="33" t="s">
        <v>5765</v>
      </c>
      <c r="G569" s="33" t="s">
        <v>5766</v>
      </c>
      <c r="H569" s="3">
        <f t="shared" si="19"/>
        <v>228.87499999999997</v>
      </c>
      <c r="I569" s="3">
        <f t="shared" si="20"/>
        <v>36.619999999999997</v>
      </c>
    </row>
    <row r="570" spans="1:10">
      <c r="A570" s="174" t="s">
        <v>7099</v>
      </c>
      <c r="B570">
        <v>85</v>
      </c>
      <c r="F570" s="33" t="s">
        <v>4376</v>
      </c>
      <c r="G570" t="s">
        <v>4040</v>
      </c>
      <c r="H570" s="3">
        <f t="shared" si="19"/>
        <v>146.4375</v>
      </c>
      <c r="I570" s="3">
        <f t="shared" si="20"/>
        <v>23.43</v>
      </c>
    </row>
    <row r="571" spans="1:10">
      <c r="A571" s="174" t="s">
        <v>7099</v>
      </c>
      <c r="B571">
        <v>85</v>
      </c>
      <c r="F571" s="41" t="s">
        <v>5776</v>
      </c>
      <c r="G571" t="s">
        <v>5539</v>
      </c>
      <c r="H571" s="3">
        <f t="shared" si="19"/>
        <v>264.6875</v>
      </c>
      <c r="I571" s="3">
        <f t="shared" si="20"/>
        <v>42.35</v>
      </c>
    </row>
    <row r="573" spans="1:10">
      <c r="H573" s="3">
        <f>SUM(H407:H572)</f>
        <v>22726693.062499993</v>
      </c>
      <c r="I573" s="3">
        <f>SUM(I407:I572)</f>
        <v>3636270.8899999992</v>
      </c>
      <c r="J573" s="3">
        <f>SUM(J407:J571)</f>
        <v>22927.54</v>
      </c>
    </row>
    <row r="574" spans="1:10">
      <c r="H574" s="3">
        <f>+H401</f>
        <v>22726693.0625</v>
      </c>
      <c r="I574" s="3">
        <f>+I401</f>
        <v>3636270.8899999964</v>
      </c>
      <c r="J574" s="3">
        <f>22857.14+10.73+51.79</f>
        <v>22919.66</v>
      </c>
    </row>
    <row r="575" spans="1:10">
      <c r="H575" s="3">
        <f>+H573-H574</f>
        <v>0</v>
      </c>
      <c r="I575" s="3">
        <f>+I573-I574</f>
        <v>0</v>
      </c>
      <c r="J575" s="3">
        <f>+J574-J573</f>
        <v>-7.8800000000010186</v>
      </c>
    </row>
  </sheetData>
  <autoFilter ref="A7:I399"/>
  <sortState ref="A8:N332">
    <sortCondition ref="E8:E332"/>
  </sortState>
  <conditionalFormatting sqref="F407:G571">
    <cfRule type="duplicateValues" dxfId="4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L619"/>
  <sheetViews>
    <sheetView zoomScale="80" zoomScaleNormal="80" workbookViewId="0">
      <pane ySplit="6" topLeftCell="A446" activePane="bottomLeft" state="frozen"/>
      <selection pane="bottomLeft" activeCell="A448" sqref="A448:A614"/>
    </sheetView>
  </sheetViews>
  <sheetFormatPr baseColWidth="10" defaultRowHeight="15"/>
  <cols>
    <col min="1" max="1" width="11.5703125" customWidth="1"/>
    <col min="2" max="2" width="10.7109375" bestFit="1" customWidth="1"/>
    <col min="3" max="3" width="12.85546875" style="118" bestFit="1" customWidth="1"/>
    <col min="4" max="4" width="2" bestFit="1" customWidth="1"/>
    <col min="5" max="5" width="39.85546875" bestFit="1" customWidth="1"/>
    <col min="6" max="6" width="19.42578125" customWidth="1"/>
    <col min="7" max="7" width="48.5703125" bestFit="1" customWidth="1"/>
    <col min="8" max="8" width="17.140625" style="3" customWidth="1"/>
    <col min="9" max="9" width="13.140625" style="3" bestFit="1" customWidth="1"/>
  </cols>
  <sheetData>
    <row r="1" spans="1:11">
      <c r="A1" t="s">
        <v>729</v>
      </c>
    </row>
    <row r="2" spans="1:11">
      <c r="A2" t="s">
        <v>6276</v>
      </c>
      <c r="B2">
        <v>2013</v>
      </c>
    </row>
    <row r="3" spans="1:11">
      <c r="A3" t="s">
        <v>731</v>
      </c>
    </row>
    <row r="4" spans="1:11" ht="15" customHeight="1"/>
    <row r="6" spans="1:11">
      <c r="A6" s="6" t="s">
        <v>721</v>
      </c>
      <c r="B6" s="6" t="s">
        <v>722</v>
      </c>
      <c r="C6" s="119" t="s">
        <v>1568</v>
      </c>
      <c r="D6" s="6" t="s">
        <v>728</v>
      </c>
      <c r="E6" s="6" t="s">
        <v>723</v>
      </c>
      <c r="F6" s="5" t="s">
        <v>724</v>
      </c>
      <c r="G6" s="4" t="s">
        <v>725</v>
      </c>
      <c r="H6" s="7" t="s">
        <v>732</v>
      </c>
      <c r="I6" s="7" t="s">
        <v>726</v>
      </c>
    </row>
    <row r="7" spans="1:11" ht="19.5" customHeight="1">
      <c r="A7" t="s">
        <v>5874</v>
      </c>
      <c r="B7" s="1">
        <v>41597</v>
      </c>
      <c r="C7" s="118" t="s">
        <v>5875</v>
      </c>
      <c r="D7">
        <v>1</v>
      </c>
      <c r="E7" t="s">
        <v>5876</v>
      </c>
      <c r="F7" s="84" t="s">
        <v>734</v>
      </c>
      <c r="G7" s="81" t="s">
        <v>735</v>
      </c>
      <c r="H7" s="3">
        <f>+I7/0.16</f>
        <v>210084.93749999997</v>
      </c>
      <c r="I7" s="3">
        <v>33613.589999999997</v>
      </c>
    </row>
    <row r="8" spans="1:11">
      <c r="A8" t="s">
        <v>5845</v>
      </c>
      <c r="B8" s="1">
        <v>41590</v>
      </c>
      <c r="C8" s="118" t="s">
        <v>5846</v>
      </c>
      <c r="D8">
        <v>1</v>
      </c>
      <c r="E8" t="s">
        <v>735</v>
      </c>
      <c r="F8" s="84" t="s">
        <v>734</v>
      </c>
      <c r="G8" s="81" t="s">
        <v>735</v>
      </c>
      <c r="H8" s="3">
        <f t="shared" ref="H8:H49" si="0">+I8/0.16</f>
        <v>355043.625</v>
      </c>
      <c r="I8" s="3">
        <v>56806.98</v>
      </c>
    </row>
    <row r="9" spans="1:11">
      <c r="A9" t="s">
        <v>3620</v>
      </c>
      <c r="B9" s="1">
        <v>41607</v>
      </c>
      <c r="C9" s="118" t="s">
        <v>6063</v>
      </c>
      <c r="D9">
        <v>1</v>
      </c>
      <c r="E9" t="s">
        <v>6064</v>
      </c>
      <c r="F9" s="84" t="s">
        <v>734</v>
      </c>
      <c r="G9" s="81" t="s">
        <v>735</v>
      </c>
      <c r="H9" s="3">
        <f t="shared" si="0"/>
        <v>297961.625</v>
      </c>
      <c r="I9" s="3">
        <v>47673.86</v>
      </c>
    </row>
    <row r="10" spans="1:11">
      <c r="A10" t="s">
        <v>5799</v>
      </c>
      <c r="B10" s="1">
        <v>41585</v>
      </c>
      <c r="C10" s="118" t="s">
        <v>5800</v>
      </c>
      <c r="D10">
        <v>1</v>
      </c>
      <c r="E10" t="s">
        <v>4396</v>
      </c>
      <c r="F10" s="84" t="s">
        <v>734</v>
      </c>
      <c r="G10" s="81" t="s">
        <v>735</v>
      </c>
      <c r="H10" s="3">
        <f t="shared" si="0"/>
        <v>476941.625</v>
      </c>
      <c r="I10" s="3">
        <v>76310.66</v>
      </c>
    </row>
    <row r="11" spans="1:11">
      <c r="A11" t="s">
        <v>5917</v>
      </c>
      <c r="B11" s="1">
        <v>41598</v>
      </c>
      <c r="C11" s="118" t="s">
        <v>5918</v>
      </c>
      <c r="D11">
        <v>1</v>
      </c>
      <c r="E11" t="s">
        <v>3986</v>
      </c>
      <c r="F11" s="81" t="s">
        <v>736</v>
      </c>
      <c r="G11" s="81" t="s">
        <v>3053</v>
      </c>
      <c r="H11" s="3">
        <f t="shared" si="0"/>
        <v>309447.5</v>
      </c>
      <c r="I11" s="3">
        <v>49511.6</v>
      </c>
      <c r="J11" s="121"/>
      <c r="K11" s="121"/>
    </row>
    <row r="12" spans="1:11">
      <c r="A12" t="s">
        <v>5985</v>
      </c>
      <c r="B12" s="1">
        <v>41604</v>
      </c>
      <c r="C12" s="118" t="s">
        <v>5986</v>
      </c>
      <c r="D12">
        <v>1</v>
      </c>
      <c r="E12" t="s">
        <v>5987</v>
      </c>
      <c r="F12" s="81" t="s">
        <v>736</v>
      </c>
      <c r="G12" s="81" t="s">
        <v>3053</v>
      </c>
      <c r="H12" s="3">
        <f t="shared" si="0"/>
        <v>224993.125</v>
      </c>
      <c r="I12" s="3">
        <v>35998.9</v>
      </c>
      <c r="J12" s="121"/>
      <c r="K12" s="121"/>
    </row>
    <row r="13" spans="1:11">
      <c r="A13" t="s">
        <v>3922</v>
      </c>
      <c r="B13" s="1">
        <v>41598</v>
      </c>
      <c r="C13" s="118" t="s">
        <v>5908</v>
      </c>
      <c r="D13">
        <v>1</v>
      </c>
      <c r="E13" t="s">
        <v>5909</v>
      </c>
      <c r="F13" s="81" t="s">
        <v>736</v>
      </c>
      <c r="G13" s="81" t="s">
        <v>5909</v>
      </c>
      <c r="H13" s="3">
        <f t="shared" si="0"/>
        <v>309447.5</v>
      </c>
      <c r="I13" s="3">
        <v>49511.6</v>
      </c>
      <c r="J13" s="121"/>
      <c r="K13" s="121"/>
    </row>
    <row r="14" spans="1:11">
      <c r="A14" t="s">
        <v>1223</v>
      </c>
      <c r="B14" s="1">
        <v>41598</v>
      </c>
      <c r="C14" s="118" t="s">
        <v>5908</v>
      </c>
      <c r="D14">
        <v>1</v>
      </c>
      <c r="E14" t="s">
        <v>5909</v>
      </c>
      <c r="F14" s="81" t="s">
        <v>736</v>
      </c>
      <c r="G14" s="81" t="s">
        <v>3053</v>
      </c>
      <c r="H14" s="3">
        <f t="shared" si="0"/>
        <v>-309447.5</v>
      </c>
      <c r="I14" s="3">
        <v>-49511.6</v>
      </c>
      <c r="J14" s="121"/>
      <c r="K14" s="122"/>
    </row>
    <row r="15" spans="1:11">
      <c r="A15" t="s">
        <v>5841</v>
      </c>
      <c r="B15" s="1">
        <v>41590</v>
      </c>
      <c r="C15" s="118" t="s">
        <v>5842</v>
      </c>
      <c r="D15">
        <v>1</v>
      </c>
      <c r="E15" t="s">
        <v>5843</v>
      </c>
      <c r="F15" s="81" t="s">
        <v>736</v>
      </c>
      <c r="G15" s="81" t="s">
        <v>3053</v>
      </c>
      <c r="H15" s="3">
        <f t="shared" si="0"/>
        <v>297961.625</v>
      </c>
      <c r="I15" s="3">
        <v>47673.86</v>
      </c>
      <c r="J15" s="121"/>
      <c r="K15" s="121"/>
    </row>
    <row r="16" spans="1:11">
      <c r="A16" t="s">
        <v>562</v>
      </c>
      <c r="B16" s="1">
        <v>41608</v>
      </c>
      <c r="C16" s="118">
        <v>9341</v>
      </c>
      <c r="D16">
        <v>1</v>
      </c>
      <c r="E16" t="s">
        <v>517</v>
      </c>
      <c r="F16" s="87" t="s">
        <v>738</v>
      </c>
      <c r="G16" s="81" t="s">
        <v>517</v>
      </c>
      <c r="H16" s="3">
        <f t="shared" si="0"/>
        <v>240.75000000000003</v>
      </c>
      <c r="I16" s="3">
        <v>38.520000000000003</v>
      </c>
    </row>
    <row r="17" spans="1:9">
      <c r="A17" t="s">
        <v>95</v>
      </c>
      <c r="B17" s="1">
        <v>41586</v>
      </c>
      <c r="C17" s="118" t="s">
        <v>6144</v>
      </c>
      <c r="D17">
        <v>1</v>
      </c>
      <c r="E17" t="s">
        <v>5612</v>
      </c>
      <c r="F17" s="81" t="s">
        <v>5719</v>
      </c>
      <c r="G17" s="81" t="s">
        <v>5612</v>
      </c>
      <c r="H17" s="3">
        <f t="shared" si="0"/>
        <v>44500</v>
      </c>
      <c r="I17" s="3">
        <v>7120</v>
      </c>
    </row>
    <row r="18" spans="1:9">
      <c r="A18" t="s">
        <v>556</v>
      </c>
      <c r="B18" s="1">
        <v>41608</v>
      </c>
      <c r="C18" s="118">
        <v>9337</v>
      </c>
      <c r="D18">
        <v>1</v>
      </c>
      <c r="E18" t="s">
        <v>5484</v>
      </c>
      <c r="F18" s="87" t="s">
        <v>1587</v>
      </c>
      <c r="G18" s="81" t="s">
        <v>5484</v>
      </c>
      <c r="H18" s="3">
        <f t="shared" si="0"/>
        <v>400</v>
      </c>
      <c r="I18" s="3">
        <v>64</v>
      </c>
    </row>
    <row r="19" spans="1:9">
      <c r="A19" t="s">
        <v>2242</v>
      </c>
      <c r="B19" s="1">
        <v>41606</v>
      </c>
      <c r="C19" s="118" t="s">
        <v>6211</v>
      </c>
      <c r="D19">
        <v>1</v>
      </c>
      <c r="E19" t="s">
        <v>6212</v>
      </c>
      <c r="F19" s="81" t="s">
        <v>6277</v>
      </c>
      <c r="G19" s="81" t="s">
        <v>6212</v>
      </c>
      <c r="H19" s="3">
        <f t="shared" si="0"/>
        <v>47993</v>
      </c>
      <c r="I19" s="3">
        <v>7678.88</v>
      </c>
    </row>
    <row r="20" spans="1:9">
      <c r="A20" t="s">
        <v>2264</v>
      </c>
      <c r="B20" s="1">
        <v>41607</v>
      </c>
      <c r="C20" s="118" t="s">
        <v>6226</v>
      </c>
      <c r="D20">
        <v>1</v>
      </c>
      <c r="E20" t="s">
        <v>6227</v>
      </c>
      <c r="F20" s="81" t="s">
        <v>5722</v>
      </c>
      <c r="G20" s="81" t="s">
        <v>6227</v>
      </c>
      <c r="H20" s="3">
        <f t="shared" si="0"/>
        <v>3350</v>
      </c>
      <c r="I20" s="3">
        <v>536</v>
      </c>
    </row>
    <row r="21" spans="1:9">
      <c r="A21" t="s">
        <v>2127</v>
      </c>
      <c r="B21" s="1">
        <v>41579</v>
      </c>
      <c r="C21" s="118" t="s">
        <v>6133</v>
      </c>
      <c r="D21">
        <v>1</v>
      </c>
      <c r="E21" t="s">
        <v>5610</v>
      </c>
      <c r="F21" s="81" t="s">
        <v>5722</v>
      </c>
      <c r="G21" s="81" t="s">
        <v>5610</v>
      </c>
      <c r="H21" s="3">
        <f t="shared" si="0"/>
        <v>3300</v>
      </c>
      <c r="I21" s="3">
        <v>528</v>
      </c>
    </row>
    <row r="22" spans="1:9">
      <c r="A22" t="s">
        <v>1143</v>
      </c>
      <c r="B22" s="1">
        <v>41593</v>
      </c>
      <c r="C22" s="118" t="s">
        <v>6167</v>
      </c>
      <c r="D22">
        <v>1</v>
      </c>
      <c r="E22" t="s">
        <v>5610</v>
      </c>
      <c r="F22" s="81" t="s">
        <v>5722</v>
      </c>
      <c r="G22" s="81" t="s">
        <v>5610</v>
      </c>
      <c r="H22" s="3">
        <f t="shared" si="0"/>
        <v>2950</v>
      </c>
      <c r="I22" s="3">
        <v>472</v>
      </c>
    </row>
    <row r="23" spans="1:9">
      <c r="A23" t="s">
        <v>5783</v>
      </c>
      <c r="B23" s="1">
        <v>41598</v>
      </c>
      <c r="C23" s="118" t="s">
        <v>5891</v>
      </c>
      <c r="D23">
        <v>1</v>
      </c>
      <c r="E23" t="s">
        <v>469</v>
      </c>
      <c r="F23" s="81" t="s">
        <v>739</v>
      </c>
      <c r="G23" s="81" t="s">
        <v>469</v>
      </c>
      <c r="H23" s="3">
        <f t="shared" si="0"/>
        <v>215.49999999999997</v>
      </c>
      <c r="I23" s="3">
        <v>34.479999999999997</v>
      </c>
    </row>
    <row r="24" spans="1:9">
      <c r="A24" t="s">
        <v>5375</v>
      </c>
      <c r="B24" s="1">
        <v>41598</v>
      </c>
      <c r="C24" s="118" t="s">
        <v>5892</v>
      </c>
      <c r="D24">
        <v>1</v>
      </c>
      <c r="E24" t="s">
        <v>469</v>
      </c>
      <c r="F24" s="81" t="s">
        <v>739</v>
      </c>
      <c r="G24" s="81" t="s">
        <v>469</v>
      </c>
      <c r="H24" s="3">
        <f t="shared" si="0"/>
        <v>215.49999999999997</v>
      </c>
      <c r="I24" s="3">
        <v>34.479999999999997</v>
      </c>
    </row>
    <row r="25" spans="1:9">
      <c r="A25" t="s">
        <v>4833</v>
      </c>
      <c r="B25" s="1">
        <v>41598</v>
      </c>
      <c r="C25" s="118" t="s">
        <v>5893</v>
      </c>
      <c r="D25">
        <v>1</v>
      </c>
      <c r="E25" t="s">
        <v>469</v>
      </c>
      <c r="F25" s="81" t="s">
        <v>739</v>
      </c>
      <c r="G25" s="81" t="s">
        <v>469</v>
      </c>
      <c r="H25" s="3">
        <f t="shared" si="0"/>
        <v>215.49999999999997</v>
      </c>
      <c r="I25" s="3">
        <v>34.479999999999997</v>
      </c>
    </row>
    <row r="26" spans="1:9">
      <c r="A26" t="s">
        <v>1200</v>
      </c>
      <c r="B26" s="1">
        <v>41598</v>
      </c>
      <c r="C26" s="118" t="s">
        <v>5894</v>
      </c>
      <c r="D26">
        <v>1</v>
      </c>
      <c r="E26" t="s">
        <v>469</v>
      </c>
      <c r="F26" s="81" t="s">
        <v>739</v>
      </c>
      <c r="G26" s="81" t="s">
        <v>469</v>
      </c>
      <c r="H26" s="3">
        <f t="shared" si="0"/>
        <v>431.0625</v>
      </c>
      <c r="I26" s="3">
        <v>68.97</v>
      </c>
    </row>
    <row r="27" spans="1:9">
      <c r="A27" t="s">
        <v>5381</v>
      </c>
      <c r="B27" s="1">
        <v>41598</v>
      </c>
      <c r="C27" s="118" t="s">
        <v>5895</v>
      </c>
      <c r="D27">
        <v>1</v>
      </c>
      <c r="E27" t="s">
        <v>469</v>
      </c>
      <c r="F27" s="81" t="s">
        <v>739</v>
      </c>
      <c r="G27" s="81" t="s">
        <v>469</v>
      </c>
      <c r="H27" s="3">
        <f t="shared" si="0"/>
        <v>215.49999999999997</v>
      </c>
      <c r="I27" s="3">
        <v>34.479999999999997</v>
      </c>
    </row>
    <row r="28" spans="1:9">
      <c r="A28" t="s">
        <v>5996</v>
      </c>
      <c r="B28" s="1">
        <v>41605</v>
      </c>
      <c r="C28" s="118" t="s">
        <v>5997</v>
      </c>
      <c r="D28">
        <v>1</v>
      </c>
      <c r="E28" t="s">
        <v>469</v>
      </c>
      <c r="F28" s="87" t="s">
        <v>739</v>
      </c>
      <c r="G28" s="81" t="s">
        <v>469</v>
      </c>
      <c r="H28" s="3">
        <f t="shared" si="0"/>
        <v>215.49999999999997</v>
      </c>
      <c r="I28" s="3">
        <v>34.479999999999997</v>
      </c>
    </row>
    <row r="29" spans="1:9">
      <c r="A29" t="s">
        <v>5998</v>
      </c>
      <c r="B29" s="1">
        <v>41605</v>
      </c>
      <c r="C29" s="118" t="s">
        <v>5999</v>
      </c>
      <c r="D29">
        <v>1</v>
      </c>
      <c r="E29" t="s">
        <v>469</v>
      </c>
      <c r="F29" s="87" t="s">
        <v>739</v>
      </c>
      <c r="G29" s="81" t="s">
        <v>469</v>
      </c>
      <c r="H29" s="3">
        <f t="shared" si="0"/>
        <v>215.49999999999997</v>
      </c>
      <c r="I29" s="3">
        <v>34.479999999999997</v>
      </c>
    </row>
    <row r="30" spans="1:9">
      <c r="A30" t="s">
        <v>6000</v>
      </c>
      <c r="B30" s="1">
        <v>41605</v>
      </c>
      <c r="C30" s="118" t="s">
        <v>6001</v>
      </c>
      <c r="D30">
        <v>1</v>
      </c>
      <c r="E30" t="s">
        <v>469</v>
      </c>
      <c r="F30" s="87" t="s">
        <v>739</v>
      </c>
      <c r="G30" s="81" t="s">
        <v>469</v>
      </c>
      <c r="H30" s="3">
        <f t="shared" si="0"/>
        <v>215.49999999999997</v>
      </c>
      <c r="I30" s="3">
        <v>34.479999999999997</v>
      </c>
    </row>
    <row r="31" spans="1:9">
      <c r="A31" t="s">
        <v>3898</v>
      </c>
      <c r="B31" s="1">
        <v>41598</v>
      </c>
      <c r="C31" s="118" t="s">
        <v>5886</v>
      </c>
      <c r="D31">
        <v>1</v>
      </c>
      <c r="E31" t="s">
        <v>5887</v>
      </c>
      <c r="F31" s="81" t="s">
        <v>1590</v>
      </c>
      <c r="G31" s="81" t="s">
        <v>5887</v>
      </c>
      <c r="H31" s="3">
        <f t="shared" si="0"/>
        <v>440</v>
      </c>
      <c r="I31" s="3">
        <v>70.400000000000006</v>
      </c>
    </row>
    <row r="32" spans="1:9">
      <c r="A32" t="s">
        <v>567</v>
      </c>
      <c r="B32" s="1">
        <v>41608</v>
      </c>
      <c r="C32" s="118">
        <v>9343</v>
      </c>
      <c r="D32">
        <v>1</v>
      </c>
      <c r="E32" t="s">
        <v>602</v>
      </c>
      <c r="F32" s="87" t="s">
        <v>742</v>
      </c>
      <c r="G32" s="81" t="s">
        <v>602</v>
      </c>
      <c r="H32" s="3">
        <f t="shared" si="0"/>
        <v>84.5</v>
      </c>
      <c r="I32" s="3">
        <v>13.52</v>
      </c>
    </row>
    <row r="33" spans="1:9">
      <c r="A33" t="s">
        <v>27</v>
      </c>
      <c r="B33" s="1">
        <v>41583</v>
      </c>
      <c r="C33" s="118" t="s">
        <v>6138</v>
      </c>
      <c r="D33">
        <v>1</v>
      </c>
      <c r="E33" t="s">
        <v>1285</v>
      </c>
      <c r="F33" s="91" t="s">
        <v>1571</v>
      </c>
      <c r="G33" s="81" t="s">
        <v>1285</v>
      </c>
      <c r="H33" s="3">
        <f t="shared" si="0"/>
        <v>2327.5625</v>
      </c>
      <c r="I33" s="3">
        <v>372.41</v>
      </c>
    </row>
    <row r="34" spans="1:9">
      <c r="A34" t="s">
        <v>624</v>
      </c>
      <c r="B34" s="1">
        <v>41608</v>
      </c>
      <c r="C34" s="118">
        <v>9365</v>
      </c>
      <c r="D34">
        <v>1</v>
      </c>
      <c r="E34" t="s">
        <v>2080</v>
      </c>
      <c r="F34" s="81" t="s">
        <v>2269</v>
      </c>
      <c r="G34" s="81" t="s">
        <v>2080</v>
      </c>
      <c r="H34" s="3">
        <f t="shared" si="0"/>
        <v>660</v>
      </c>
      <c r="I34" s="3">
        <v>105.6</v>
      </c>
    </row>
    <row r="35" spans="1:9">
      <c r="A35" t="s">
        <v>4969</v>
      </c>
      <c r="B35" s="1">
        <v>41608</v>
      </c>
      <c r="C35" s="118" t="s">
        <v>6077</v>
      </c>
      <c r="D35">
        <v>1</v>
      </c>
      <c r="E35" t="s">
        <v>6078</v>
      </c>
      <c r="F35" s="87" t="s">
        <v>745</v>
      </c>
      <c r="G35" s="88" t="s">
        <v>746</v>
      </c>
      <c r="H35" s="3">
        <f t="shared" si="0"/>
        <v>259056.9375</v>
      </c>
      <c r="I35" s="3">
        <v>41449.11</v>
      </c>
    </row>
    <row r="36" spans="1:9">
      <c r="A36" t="s">
        <v>4828</v>
      </c>
      <c r="B36" s="1">
        <v>41597</v>
      </c>
      <c r="C36" s="118" t="s">
        <v>5883</v>
      </c>
      <c r="D36">
        <v>1</v>
      </c>
      <c r="E36" t="s">
        <v>4883</v>
      </c>
      <c r="F36" s="81" t="s">
        <v>1574</v>
      </c>
      <c r="G36" s="81" t="s">
        <v>991</v>
      </c>
      <c r="H36" s="3">
        <f t="shared" si="0"/>
        <v>169608.1875</v>
      </c>
      <c r="I36" s="3">
        <v>27137.31</v>
      </c>
    </row>
    <row r="37" spans="1:9">
      <c r="A37" t="s">
        <v>5819</v>
      </c>
      <c r="B37" s="1">
        <v>41586</v>
      </c>
      <c r="C37" s="118" t="s">
        <v>5820</v>
      </c>
      <c r="D37">
        <v>1</v>
      </c>
      <c r="E37" t="s">
        <v>991</v>
      </c>
      <c r="F37" s="81" t="s">
        <v>1574</v>
      </c>
      <c r="G37" s="81" t="s">
        <v>991</v>
      </c>
      <c r="H37" s="3">
        <f t="shared" si="0"/>
        <v>476941.625</v>
      </c>
      <c r="I37" s="3">
        <v>76310.66</v>
      </c>
    </row>
    <row r="38" spans="1:9">
      <c r="A38" t="s">
        <v>539</v>
      </c>
      <c r="B38" s="1">
        <v>41608</v>
      </c>
      <c r="C38" s="118">
        <v>9319</v>
      </c>
      <c r="D38">
        <v>1</v>
      </c>
      <c r="E38" t="s">
        <v>481</v>
      </c>
      <c r="F38" s="87" t="s">
        <v>748</v>
      </c>
      <c r="G38" s="81" t="s">
        <v>481</v>
      </c>
      <c r="H38" s="3">
        <f t="shared" si="0"/>
        <v>64.625</v>
      </c>
      <c r="I38" s="3">
        <v>10.34</v>
      </c>
    </row>
    <row r="39" spans="1:9">
      <c r="A39" t="s">
        <v>632</v>
      </c>
      <c r="B39" s="1">
        <v>41608</v>
      </c>
      <c r="C39" s="118">
        <v>9373</v>
      </c>
      <c r="D39">
        <v>1</v>
      </c>
      <c r="E39" t="s">
        <v>481</v>
      </c>
      <c r="F39" s="81" t="s">
        <v>748</v>
      </c>
      <c r="G39" s="81" t="s">
        <v>481</v>
      </c>
      <c r="H39" s="3">
        <f t="shared" si="0"/>
        <v>64.625</v>
      </c>
      <c r="I39" s="3">
        <v>10.34</v>
      </c>
    </row>
    <row r="40" spans="1:9">
      <c r="A40" t="s">
        <v>2433</v>
      </c>
      <c r="B40" s="1">
        <v>41598</v>
      </c>
      <c r="C40" s="118">
        <v>9284</v>
      </c>
      <c r="D40">
        <v>1</v>
      </c>
      <c r="E40" t="s">
        <v>5905</v>
      </c>
      <c r="F40" s="81" t="s">
        <v>748</v>
      </c>
      <c r="G40" s="81" t="s">
        <v>5905</v>
      </c>
      <c r="H40" s="3">
        <f t="shared" si="0"/>
        <v>129.1875</v>
      </c>
      <c r="I40" s="3">
        <v>20.67</v>
      </c>
    </row>
    <row r="41" spans="1:9">
      <c r="A41" t="s">
        <v>4010</v>
      </c>
      <c r="B41" s="1">
        <v>41608</v>
      </c>
      <c r="C41" s="118" t="s">
        <v>6092</v>
      </c>
      <c r="D41">
        <v>1</v>
      </c>
      <c r="E41" t="s">
        <v>475</v>
      </c>
      <c r="F41" s="81" t="s">
        <v>750</v>
      </c>
      <c r="G41" s="81" t="s">
        <v>475</v>
      </c>
      <c r="H41" s="3">
        <f t="shared" si="0"/>
        <v>128.5</v>
      </c>
      <c r="I41" s="3">
        <v>20.56</v>
      </c>
    </row>
    <row r="42" spans="1:9">
      <c r="A42" t="s">
        <v>3647</v>
      </c>
      <c r="B42" s="1">
        <v>41582</v>
      </c>
      <c r="C42" s="118" t="s">
        <v>5643</v>
      </c>
      <c r="D42">
        <v>1</v>
      </c>
      <c r="E42" t="s">
        <v>6135</v>
      </c>
      <c r="F42" s="32" t="s">
        <v>946</v>
      </c>
      <c r="G42" t="s">
        <v>6135</v>
      </c>
      <c r="H42" s="3">
        <f t="shared" si="0"/>
        <v>-1089</v>
      </c>
      <c r="I42" s="3">
        <v>-174.24</v>
      </c>
    </row>
    <row r="43" spans="1:9">
      <c r="A43" t="s">
        <v>5924</v>
      </c>
      <c r="B43" s="1">
        <v>41599</v>
      </c>
      <c r="C43" s="118" t="s">
        <v>5925</v>
      </c>
      <c r="D43">
        <v>1</v>
      </c>
      <c r="E43" t="s">
        <v>5926</v>
      </c>
      <c r="F43" s="123" t="s">
        <v>944</v>
      </c>
      <c r="G43" s="81" t="s">
        <v>303</v>
      </c>
      <c r="H43" s="3">
        <f t="shared" si="0"/>
        <v>296733.375</v>
      </c>
      <c r="I43" s="3">
        <v>47477.34</v>
      </c>
    </row>
    <row r="44" spans="1:9">
      <c r="A44" t="s">
        <v>4012</v>
      </c>
      <c r="B44" s="1">
        <v>41608</v>
      </c>
      <c r="C44" s="118">
        <v>9363</v>
      </c>
      <c r="D44">
        <v>1</v>
      </c>
      <c r="E44" t="s">
        <v>1501</v>
      </c>
      <c r="F44" s="32" t="s">
        <v>946</v>
      </c>
      <c r="G44" t="s">
        <v>947</v>
      </c>
      <c r="H44" s="3">
        <f t="shared" si="0"/>
        <v>1057.4375</v>
      </c>
      <c r="I44" s="3">
        <v>169.19</v>
      </c>
    </row>
    <row r="45" spans="1:9">
      <c r="A45" t="s">
        <v>4594</v>
      </c>
      <c r="B45" s="1">
        <v>41608</v>
      </c>
      <c r="C45" s="118">
        <v>9389</v>
      </c>
      <c r="D45">
        <v>1</v>
      </c>
      <c r="E45" t="s">
        <v>4194</v>
      </c>
      <c r="F45" s="32" t="s">
        <v>946</v>
      </c>
      <c r="G45" t="s">
        <v>947</v>
      </c>
      <c r="H45" s="3">
        <f t="shared" si="0"/>
        <v>224.25</v>
      </c>
      <c r="I45" s="3">
        <v>35.880000000000003</v>
      </c>
    </row>
    <row r="46" spans="1:9">
      <c r="A46" t="s">
        <v>3861</v>
      </c>
      <c r="B46" s="1">
        <v>41593</v>
      </c>
      <c r="C46" s="118" t="s">
        <v>5858</v>
      </c>
      <c r="D46">
        <v>1</v>
      </c>
      <c r="E46" t="s">
        <v>388</v>
      </c>
      <c r="F46" s="87" t="s">
        <v>755</v>
      </c>
      <c r="G46" s="81" t="s">
        <v>6278</v>
      </c>
      <c r="H46" s="3">
        <f t="shared" si="0"/>
        <v>216185.75</v>
      </c>
      <c r="I46" s="3">
        <v>34589.72</v>
      </c>
    </row>
    <row r="47" spans="1:9">
      <c r="A47" t="s">
        <v>1327</v>
      </c>
      <c r="B47" s="1">
        <v>41604</v>
      </c>
      <c r="C47" s="118" t="s">
        <v>5988</v>
      </c>
      <c r="D47">
        <v>1</v>
      </c>
      <c r="E47" t="s">
        <v>388</v>
      </c>
      <c r="F47" s="87" t="s">
        <v>755</v>
      </c>
      <c r="G47" s="81" t="s">
        <v>6278</v>
      </c>
      <c r="H47" s="3">
        <f t="shared" si="0"/>
        <v>224993.125</v>
      </c>
      <c r="I47" s="3">
        <v>35998.9</v>
      </c>
    </row>
    <row r="48" spans="1:9">
      <c r="A48" t="s">
        <v>5854</v>
      </c>
      <c r="B48" s="1">
        <v>41593</v>
      </c>
      <c r="C48" s="118" t="s">
        <v>5855</v>
      </c>
      <c r="D48">
        <v>1</v>
      </c>
      <c r="E48" t="s">
        <v>388</v>
      </c>
      <c r="F48" s="87" t="s">
        <v>755</v>
      </c>
      <c r="G48" s="81" t="s">
        <v>6278</v>
      </c>
      <c r="H48" s="3">
        <f t="shared" si="0"/>
        <v>259060.125</v>
      </c>
      <c r="I48" s="3">
        <v>41449.620000000003</v>
      </c>
    </row>
    <row r="49" spans="1:11">
      <c r="A49" t="s">
        <v>5866</v>
      </c>
      <c r="B49" s="1">
        <v>41593</v>
      </c>
      <c r="C49" s="118" t="s">
        <v>5867</v>
      </c>
      <c r="D49">
        <v>1</v>
      </c>
      <c r="E49" t="s">
        <v>388</v>
      </c>
      <c r="F49" s="87" t="s">
        <v>755</v>
      </c>
      <c r="G49" s="81" t="s">
        <v>6278</v>
      </c>
      <c r="H49" s="3">
        <f t="shared" si="0"/>
        <v>309447.5</v>
      </c>
      <c r="I49" s="3">
        <v>49511.6</v>
      </c>
    </row>
    <row r="50" spans="1:11">
      <c r="A50" t="s">
        <v>2452</v>
      </c>
      <c r="B50" s="1">
        <v>41600</v>
      </c>
      <c r="C50" s="118" t="s">
        <v>5547</v>
      </c>
      <c r="D50">
        <v>1</v>
      </c>
      <c r="E50" t="s">
        <v>5939</v>
      </c>
      <c r="F50" s="81" t="s">
        <v>6279</v>
      </c>
      <c r="G50" s="81" t="s">
        <v>6280</v>
      </c>
      <c r="H50" s="82">
        <f>I50/0.16</f>
        <v>81.875</v>
      </c>
      <c r="I50" s="82">
        <v>13.1</v>
      </c>
      <c r="J50" s="3"/>
      <c r="K50" s="3"/>
    </row>
    <row r="51" spans="1:11">
      <c r="A51" t="s">
        <v>2452</v>
      </c>
      <c r="B51" s="1">
        <v>41600</v>
      </c>
      <c r="C51" s="118" t="s">
        <v>5547</v>
      </c>
      <c r="D51">
        <v>1</v>
      </c>
      <c r="E51" t="s">
        <v>5939</v>
      </c>
      <c r="F51" s="81" t="s">
        <v>5728</v>
      </c>
      <c r="G51" s="81" t="s">
        <v>5729</v>
      </c>
      <c r="H51" s="82">
        <f>I51/0.16</f>
        <v>103.4375</v>
      </c>
      <c r="I51" s="82">
        <v>16.55</v>
      </c>
    </row>
    <row r="52" spans="1:11">
      <c r="A52" t="s">
        <v>2452</v>
      </c>
      <c r="B52" s="1">
        <v>41600</v>
      </c>
      <c r="C52" s="118" t="s">
        <v>5547</v>
      </c>
      <c r="D52">
        <v>1</v>
      </c>
      <c r="E52" t="s">
        <v>5939</v>
      </c>
      <c r="F52" s="81" t="s">
        <v>2922</v>
      </c>
      <c r="G52" s="81" t="s">
        <v>2923</v>
      </c>
      <c r="H52" s="82">
        <f>I52/0.16</f>
        <v>2218.5</v>
      </c>
      <c r="I52" s="82">
        <v>354.96</v>
      </c>
    </row>
    <row r="53" spans="1:11">
      <c r="A53" t="s">
        <v>2452</v>
      </c>
      <c r="B53" s="1">
        <v>41600</v>
      </c>
      <c r="C53" s="118" t="s">
        <v>5547</v>
      </c>
      <c r="D53">
        <v>1</v>
      </c>
      <c r="E53" t="s">
        <v>5939</v>
      </c>
      <c r="F53" s="81" t="s">
        <v>6281</v>
      </c>
      <c r="G53" s="81" t="s">
        <v>6282</v>
      </c>
      <c r="H53" s="82">
        <f>I53/0.16</f>
        <v>77.5625</v>
      </c>
      <c r="I53" s="82">
        <v>12.41</v>
      </c>
    </row>
    <row r="54" spans="1:11">
      <c r="A54" t="s">
        <v>2452</v>
      </c>
      <c r="B54" s="1">
        <v>41600</v>
      </c>
      <c r="C54" s="118" t="s">
        <v>5547</v>
      </c>
      <c r="D54">
        <v>1</v>
      </c>
      <c r="E54" t="s">
        <v>5939</v>
      </c>
      <c r="F54" s="81" t="s">
        <v>2910</v>
      </c>
      <c r="G54" s="81" t="s">
        <v>2911</v>
      </c>
      <c r="H54" s="82">
        <f>I54/0.16</f>
        <v>66.375</v>
      </c>
      <c r="I54" s="82">
        <v>10.62</v>
      </c>
      <c r="J54" s="14">
        <f>2547.75-H50-H51-H52-H53-H54</f>
        <v>0</v>
      </c>
      <c r="K54" s="14">
        <f>407.64-I50-I51-I52-I53-I54</f>
        <v>-2.6645352591003757E-14</v>
      </c>
    </row>
    <row r="55" spans="1:11">
      <c r="A55" t="s">
        <v>2437</v>
      </c>
      <c r="B55" s="1">
        <v>41598</v>
      </c>
      <c r="C55" s="118">
        <v>9287</v>
      </c>
      <c r="D55">
        <v>1</v>
      </c>
      <c r="E55" t="s">
        <v>5907</v>
      </c>
      <c r="F55" s="81" t="s">
        <v>6283</v>
      </c>
      <c r="G55" s="81" t="s">
        <v>5907</v>
      </c>
      <c r="H55" s="3">
        <f t="shared" ref="H55:H78" si="1">+I55/0.16</f>
        <v>58.625000000000007</v>
      </c>
      <c r="I55" s="3">
        <v>9.3800000000000008</v>
      </c>
    </row>
    <row r="56" spans="1:11">
      <c r="A56" t="s">
        <v>518</v>
      </c>
      <c r="B56" s="1">
        <v>41608</v>
      </c>
      <c r="C56" s="118">
        <v>9314</v>
      </c>
      <c r="D56">
        <v>1</v>
      </c>
      <c r="E56" t="s">
        <v>5464</v>
      </c>
      <c r="F56" s="87" t="s">
        <v>5725</v>
      </c>
      <c r="G56" s="81" t="s">
        <v>5464</v>
      </c>
      <c r="H56" s="3">
        <f t="shared" si="1"/>
        <v>92.25</v>
      </c>
      <c r="I56" s="3">
        <v>14.76</v>
      </c>
    </row>
    <row r="57" spans="1:11">
      <c r="A57" t="s">
        <v>5796</v>
      </c>
      <c r="B57" s="1">
        <v>41585</v>
      </c>
      <c r="C57" s="118" t="s">
        <v>5797</v>
      </c>
      <c r="D57">
        <v>1</v>
      </c>
      <c r="E57" t="s">
        <v>5798</v>
      </c>
      <c r="F57" s="84" t="s">
        <v>759</v>
      </c>
      <c r="G57" s="81" t="s">
        <v>760</v>
      </c>
      <c r="H57" s="3">
        <f t="shared" si="1"/>
        <v>169608.1875</v>
      </c>
      <c r="I57" s="3">
        <v>27137.31</v>
      </c>
    </row>
    <row r="58" spans="1:11">
      <c r="A58" t="s">
        <v>2596</v>
      </c>
      <c r="B58" s="1">
        <v>41608</v>
      </c>
      <c r="C58" s="118" t="s">
        <v>6075</v>
      </c>
      <c r="D58">
        <v>1</v>
      </c>
      <c r="E58" t="s">
        <v>6076</v>
      </c>
      <c r="F58" s="84" t="s">
        <v>761</v>
      </c>
      <c r="G58" s="81" t="s">
        <v>762</v>
      </c>
      <c r="H58" s="3">
        <f t="shared" si="1"/>
        <v>476941.625</v>
      </c>
      <c r="I58" s="3">
        <v>76310.66</v>
      </c>
    </row>
    <row r="59" spans="1:11">
      <c r="A59" t="s">
        <v>5552</v>
      </c>
      <c r="B59" s="1">
        <v>41579</v>
      </c>
      <c r="C59" s="118" t="s">
        <v>6132</v>
      </c>
      <c r="D59">
        <v>1</v>
      </c>
      <c r="E59" t="s">
        <v>5661</v>
      </c>
      <c r="F59" s="81" t="s">
        <v>6284</v>
      </c>
      <c r="G59" s="81" t="s">
        <v>5661</v>
      </c>
      <c r="H59" s="3">
        <f t="shared" si="1"/>
        <v>16000</v>
      </c>
      <c r="I59" s="3">
        <v>2560</v>
      </c>
    </row>
    <row r="60" spans="1:11">
      <c r="A60" t="s">
        <v>2180</v>
      </c>
      <c r="B60" s="1">
        <v>41593</v>
      </c>
      <c r="C60" s="118" t="s">
        <v>6166</v>
      </c>
      <c r="D60">
        <v>1</v>
      </c>
      <c r="E60" t="s">
        <v>5661</v>
      </c>
      <c r="F60" s="81" t="s">
        <v>6284</v>
      </c>
      <c r="G60" s="81" t="s">
        <v>5661</v>
      </c>
      <c r="H60" s="3">
        <f t="shared" si="1"/>
        <v>60000</v>
      </c>
      <c r="I60" s="3">
        <v>9600</v>
      </c>
    </row>
    <row r="61" spans="1:11">
      <c r="A61" t="s">
        <v>2202</v>
      </c>
      <c r="B61" s="1">
        <v>41600</v>
      </c>
      <c r="C61" s="118" t="s">
        <v>6185</v>
      </c>
      <c r="D61">
        <v>1</v>
      </c>
      <c r="E61" t="s">
        <v>5661</v>
      </c>
      <c r="F61" s="81" t="s">
        <v>6284</v>
      </c>
      <c r="G61" s="81" t="s">
        <v>5661</v>
      </c>
      <c r="H61" s="3">
        <f t="shared" si="1"/>
        <v>60000</v>
      </c>
      <c r="I61" s="3">
        <v>9600</v>
      </c>
    </row>
    <row r="62" spans="1:11">
      <c r="A62" t="s">
        <v>701</v>
      </c>
      <c r="B62" s="1">
        <v>41607</v>
      </c>
      <c r="C62" s="118" t="s">
        <v>6221</v>
      </c>
      <c r="D62">
        <v>1</v>
      </c>
      <c r="E62" t="s">
        <v>5661</v>
      </c>
      <c r="F62" s="81" t="s">
        <v>6284</v>
      </c>
      <c r="G62" s="81" t="s">
        <v>5661</v>
      </c>
      <c r="H62" s="3">
        <f t="shared" si="1"/>
        <v>43103.4375</v>
      </c>
      <c r="I62" s="3">
        <v>6896.55</v>
      </c>
    </row>
    <row r="63" spans="1:11">
      <c r="A63" t="s">
        <v>703</v>
      </c>
      <c r="B63" s="1">
        <v>41607</v>
      </c>
      <c r="C63" s="118" t="s">
        <v>6222</v>
      </c>
      <c r="D63">
        <v>1</v>
      </c>
      <c r="E63" t="s">
        <v>5661</v>
      </c>
      <c r="F63" s="81" t="s">
        <v>6284</v>
      </c>
      <c r="G63" s="81" t="s">
        <v>5661</v>
      </c>
      <c r="H63" s="3">
        <f t="shared" si="1"/>
        <v>43103.4375</v>
      </c>
      <c r="I63" s="3">
        <v>6896.55</v>
      </c>
    </row>
    <row r="64" spans="1:11">
      <c r="A64" t="s">
        <v>705</v>
      </c>
      <c r="B64" s="1">
        <v>41607</v>
      </c>
      <c r="C64" s="118" t="s">
        <v>6223</v>
      </c>
      <c r="D64">
        <v>1</v>
      </c>
      <c r="E64" t="s">
        <v>5661</v>
      </c>
      <c r="F64" s="81" t="s">
        <v>6284</v>
      </c>
      <c r="G64" s="81" t="s">
        <v>5661</v>
      </c>
      <c r="H64" s="3">
        <f t="shared" si="1"/>
        <v>43103.4375</v>
      </c>
      <c r="I64" s="3">
        <v>6896.55</v>
      </c>
    </row>
    <row r="65" spans="1:11">
      <c r="A65" t="s">
        <v>707</v>
      </c>
      <c r="B65" s="1">
        <v>41607</v>
      </c>
      <c r="C65" s="118" t="s">
        <v>6224</v>
      </c>
      <c r="D65">
        <v>1</v>
      </c>
      <c r="E65" t="s">
        <v>5661</v>
      </c>
      <c r="F65" s="81" t="s">
        <v>6284</v>
      </c>
      <c r="G65" s="81" t="s">
        <v>5661</v>
      </c>
      <c r="H65" s="3">
        <f t="shared" si="1"/>
        <v>43103.4375</v>
      </c>
      <c r="I65" s="3">
        <v>6896.55</v>
      </c>
    </row>
    <row r="66" spans="1:11">
      <c r="A66" t="s">
        <v>6248</v>
      </c>
      <c r="B66" s="1">
        <v>41608</v>
      </c>
      <c r="C66" s="118" t="s">
        <v>6249</v>
      </c>
      <c r="D66">
        <v>1</v>
      </c>
      <c r="E66" t="s">
        <v>5661</v>
      </c>
      <c r="F66" s="81" t="s">
        <v>6284</v>
      </c>
      <c r="G66" s="81" t="s">
        <v>5661</v>
      </c>
      <c r="H66" s="3">
        <f t="shared" si="1"/>
        <v>43103.4375</v>
      </c>
      <c r="I66" s="3">
        <v>6896.55</v>
      </c>
    </row>
    <row r="67" spans="1:11">
      <c r="A67" t="s">
        <v>324</v>
      </c>
      <c r="B67" s="1">
        <v>41601</v>
      </c>
      <c r="C67" s="118" t="s">
        <v>6202</v>
      </c>
      <c r="D67">
        <v>1</v>
      </c>
      <c r="E67" t="s">
        <v>284</v>
      </c>
      <c r="F67" s="81" t="s">
        <v>763</v>
      </c>
      <c r="G67" s="81" t="s">
        <v>284</v>
      </c>
      <c r="H67" s="3">
        <f t="shared" si="1"/>
        <v>910.99999999999989</v>
      </c>
      <c r="I67" s="3">
        <v>145.76</v>
      </c>
    </row>
    <row r="68" spans="1:11">
      <c r="A68" t="s">
        <v>1118</v>
      </c>
      <c r="B68" s="1">
        <v>41592</v>
      </c>
      <c r="C68" s="118" t="s">
        <v>6154</v>
      </c>
      <c r="D68">
        <v>2</v>
      </c>
      <c r="E68" t="s">
        <v>1062</v>
      </c>
      <c r="F68" s="81" t="s">
        <v>1577</v>
      </c>
      <c r="G68" s="81" t="s">
        <v>1062</v>
      </c>
      <c r="H68" s="3">
        <f t="shared" si="1"/>
        <v>1543.125</v>
      </c>
      <c r="I68" s="3">
        <v>246.9</v>
      </c>
    </row>
    <row r="69" spans="1:11">
      <c r="A69" t="s">
        <v>236</v>
      </c>
      <c r="B69" s="1">
        <v>41607</v>
      </c>
      <c r="C69" s="118" t="s">
        <v>6232</v>
      </c>
      <c r="D69">
        <v>2</v>
      </c>
      <c r="E69" t="s">
        <v>1062</v>
      </c>
      <c r="F69" s="81" t="s">
        <v>1577</v>
      </c>
      <c r="G69" s="81" t="s">
        <v>1062</v>
      </c>
      <c r="H69" s="3">
        <f t="shared" si="1"/>
        <v>6517.25</v>
      </c>
      <c r="I69" s="3">
        <v>1042.76</v>
      </c>
    </row>
    <row r="70" spans="1:11">
      <c r="A70" t="s">
        <v>5812</v>
      </c>
      <c r="B70" s="1">
        <v>41586</v>
      </c>
      <c r="C70" s="118" t="s">
        <v>5813</v>
      </c>
      <c r="D70">
        <v>1</v>
      </c>
      <c r="E70" t="s">
        <v>5814</v>
      </c>
      <c r="F70" s="87" t="s">
        <v>915</v>
      </c>
      <c r="G70" s="90" t="s">
        <v>916</v>
      </c>
      <c r="H70" s="3">
        <f t="shared" si="1"/>
        <v>95</v>
      </c>
      <c r="I70" s="3">
        <v>15.2</v>
      </c>
    </row>
    <row r="71" spans="1:11">
      <c r="A71" t="s">
        <v>116</v>
      </c>
      <c r="B71" s="1">
        <v>41589</v>
      </c>
      <c r="C71" s="118" t="s">
        <v>6146</v>
      </c>
      <c r="D71">
        <v>1</v>
      </c>
      <c r="E71" t="s">
        <v>100</v>
      </c>
      <c r="F71" s="81" t="s">
        <v>764</v>
      </c>
      <c r="G71" s="81" t="s">
        <v>100</v>
      </c>
      <c r="H71" s="3">
        <f t="shared" si="1"/>
        <v>21717.25</v>
      </c>
      <c r="I71" s="3">
        <v>3474.76</v>
      </c>
    </row>
    <row r="72" spans="1:11">
      <c r="A72" t="s">
        <v>1240</v>
      </c>
      <c r="B72" s="1">
        <v>41599</v>
      </c>
      <c r="C72" s="118" t="s">
        <v>6183</v>
      </c>
      <c r="D72">
        <v>1</v>
      </c>
      <c r="E72" t="s">
        <v>6184</v>
      </c>
      <c r="F72" s="87" t="s">
        <v>4715</v>
      </c>
      <c r="G72" s="81" t="s">
        <v>828</v>
      </c>
      <c r="H72" s="3">
        <f t="shared" si="1"/>
        <v>12634.25</v>
      </c>
      <c r="I72" s="3">
        <v>2021.48</v>
      </c>
    </row>
    <row r="73" spans="1:11">
      <c r="A73" t="s">
        <v>6259</v>
      </c>
      <c r="B73" s="1">
        <v>41608</v>
      </c>
      <c r="C73" s="118" t="s">
        <v>6260</v>
      </c>
      <c r="D73">
        <v>1</v>
      </c>
      <c r="E73" t="s">
        <v>6261</v>
      </c>
      <c r="F73" s="88" t="s">
        <v>1578</v>
      </c>
      <c r="G73" s="89" t="s">
        <v>1579</v>
      </c>
      <c r="H73" s="3">
        <f t="shared" si="1"/>
        <v>1310.8125</v>
      </c>
      <c r="I73" s="3">
        <v>209.73</v>
      </c>
    </row>
    <row r="74" spans="1:11">
      <c r="A74" t="s">
        <v>6253</v>
      </c>
      <c r="B74" s="1">
        <v>41608</v>
      </c>
      <c r="C74" s="118" t="s">
        <v>6254</v>
      </c>
      <c r="D74">
        <v>1</v>
      </c>
      <c r="E74" t="s">
        <v>6255</v>
      </c>
      <c r="F74" s="87" t="s">
        <v>821</v>
      </c>
      <c r="G74" s="87" t="s">
        <v>2272</v>
      </c>
      <c r="H74" s="3">
        <f t="shared" si="1"/>
        <v>265</v>
      </c>
      <c r="I74" s="3">
        <v>42.4</v>
      </c>
    </row>
    <row r="75" spans="1:11">
      <c r="A75" t="s">
        <v>6256</v>
      </c>
      <c r="B75" s="1">
        <v>41608</v>
      </c>
      <c r="C75" s="118" t="s">
        <v>6183</v>
      </c>
      <c r="D75">
        <v>1</v>
      </c>
      <c r="E75" t="s">
        <v>6257</v>
      </c>
      <c r="F75" s="87" t="s">
        <v>823</v>
      </c>
      <c r="G75" s="90" t="s">
        <v>824</v>
      </c>
      <c r="H75" s="3">
        <f t="shared" si="1"/>
        <v>356</v>
      </c>
      <c r="I75" s="3">
        <v>56.96</v>
      </c>
    </row>
    <row r="76" spans="1:11">
      <c r="A76" t="s">
        <v>5694</v>
      </c>
      <c r="B76" s="1">
        <v>41608</v>
      </c>
      <c r="C76" s="118" t="s">
        <v>6183</v>
      </c>
      <c r="D76">
        <v>1</v>
      </c>
      <c r="E76" t="s">
        <v>6251</v>
      </c>
      <c r="F76" s="87" t="s">
        <v>4715</v>
      </c>
      <c r="G76" s="81" t="s">
        <v>828</v>
      </c>
      <c r="H76" s="3">
        <f t="shared" si="1"/>
        <v>4614.4375</v>
      </c>
      <c r="I76" s="3">
        <v>738.31</v>
      </c>
    </row>
    <row r="77" spans="1:11">
      <c r="A77" t="s">
        <v>5701</v>
      </c>
      <c r="B77" s="1">
        <v>41608</v>
      </c>
      <c r="C77" s="118" t="s">
        <v>5702</v>
      </c>
      <c r="D77">
        <v>1</v>
      </c>
      <c r="E77" t="s">
        <v>6252</v>
      </c>
      <c r="F77" s="123" t="s">
        <v>950</v>
      </c>
      <c r="G77" s="90" t="s">
        <v>951</v>
      </c>
      <c r="H77" s="3">
        <f t="shared" si="1"/>
        <v>9350.5</v>
      </c>
      <c r="I77" s="3">
        <v>1496.08</v>
      </c>
    </row>
    <row r="78" spans="1:11">
      <c r="A78" t="s">
        <v>6117</v>
      </c>
      <c r="B78" s="1">
        <v>41608</v>
      </c>
      <c r="C78" s="118" t="s">
        <v>6118</v>
      </c>
      <c r="D78">
        <v>1</v>
      </c>
      <c r="E78" t="s">
        <v>6119</v>
      </c>
      <c r="F78" s="87" t="s">
        <v>825</v>
      </c>
      <c r="G78" s="90" t="s">
        <v>826</v>
      </c>
      <c r="H78" s="3">
        <f t="shared" si="1"/>
        <v>126</v>
      </c>
      <c r="I78" s="3">
        <v>20.16</v>
      </c>
    </row>
    <row r="79" spans="1:11">
      <c r="A79" t="s">
        <v>3417</v>
      </c>
      <c r="B79" s="1">
        <v>41585</v>
      </c>
      <c r="C79" s="118" t="s">
        <v>5547</v>
      </c>
      <c r="D79">
        <v>1</v>
      </c>
      <c r="E79" t="s">
        <v>5795</v>
      </c>
      <c r="F79" s="81" t="s">
        <v>2922</v>
      </c>
      <c r="G79" s="81" t="s">
        <v>2923</v>
      </c>
      <c r="H79" s="82">
        <f t="shared" ref="H79:H93" si="2">I79/0.16</f>
        <v>1109.25</v>
      </c>
      <c r="I79" s="82">
        <v>177.48</v>
      </c>
      <c r="J79" s="3"/>
      <c r="K79" s="3"/>
    </row>
    <row r="80" spans="1:11">
      <c r="A80" t="s">
        <v>3417</v>
      </c>
      <c r="B80" s="1">
        <v>41585</v>
      </c>
      <c r="C80" s="118" t="s">
        <v>5547</v>
      </c>
      <c r="D80">
        <v>1</v>
      </c>
      <c r="E80" t="s">
        <v>5795</v>
      </c>
      <c r="F80" s="81" t="s">
        <v>2910</v>
      </c>
      <c r="G80" s="81" t="s">
        <v>2911</v>
      </c>
      <c r="H80" s="82">
        <f t="shared" si="2"/>
        <v>94.8125</v>
      </c>
      <c r="I80" s="82">
        <v>15.17</v>
      </c>
    </row>
    <row r="81" spans="1:12">
      <c r="A81" t="s">
        <v>3417</v>
      </c>
      <c r="B81" s="1">
        <v>41585</v>
      </c>
      <c r="C81" s="118" t="s">
        <v>5547</v>
      </c>
      <c r="D81">
        <v>1</v>
      </c>
      <c r="E81" t="s">
        <v>5795</v>
      </c>
      <c r="F81" s="81" t="s">
        <v>2333</v>
      </c>
      <c r="G81" s="81" t="s">
        <v>2334</v>
      </c>
      <c r="H81" s="82">
        <f t="shared" si="2"/>
        <v>118.9375</v>
      </c>
      <c r="I81" s="82">
        <v>19.03</v>
      </c>
      <c r="J81" s="14">
        <f>1323-H79-H80-H81</f>
        <v>0</v>
      </c>
      <c r="K81" s="14">
        <f>211.68-I79-I80-I81</f>
        <v>0</v>
      </c>
    </row>
    <row r="82" spans="1:12">
      <c r="A82" t="s">
        <v>608</v>
      </c>
      <c r="B82" s="1">
        <v>41608</v>
      </c>
      <c r="C82" s="118" t="s">
        <v>5547</v>
      </c>
      <c r="D82">
        <v>1</v>
      </c>
      <c r="E82" t="s">
        <v>6085</v>
      </c>
      <c r="F82" s="81" t="s">
        <v>6279</v>
      </c>
      <c r="G82" s="81" t="s">
        <v>6280</v>
      </c>
      <c r="H82" s="82">
        <f t="shared" si="2"/>
        <v>81.875</v>
      </c>
      <c r="I82" s="82">
        <v>13.1</v>
      </c>
      <c r="J82" s="3"/>
      <c r="K82" s="3"/>
    </row>
    <row r="83" spans="1:12">
      <c r="A83" t="s">
        <v>608</v>
      </c>
      <c r="B83" s="1">
        <v>41608</v>
      </c>
      <c r="C83" s="118" t="s">
        <v>5547</v>
      </c>
      <c r="D83">
        <v>1</v>
      </c>
      <c r="E83" t="s">
        <v>6085</v>
      </c>
      <c r="F83" s="81" t="s">
        <v>5728</v>
      </c>
      <c r="G83" s="81" t="s">
        <v>5729</v>
      </c>
      <c r="H83" s="82">
        <f t="shared" si="2"/>
        <v>103.4375</v>
      </c>
      <c r="I83" s="82">
        <v>16.55</v>
      </c>
      <c r="J83" s="3"/>
      <c r="K83" s="3"/>
    </row>
    <row r="84" spans="1:12">
      <c r="A84" t="s">
        <v>608</v>
      </c>
      <c r="B84" s="1">
        <v>41608</v>
      </c>
      <c r="C84" s="118" t="s">
        <v>5547</v>
      </c>
      <c r="D84">
        <v>1</v>
      </c>
      <c r="E84" t="s">
        <v>6085</v>
      </c>
      <c r="F84" s="81" t="s">
        <v>2922</v>
      </c>
      <c r="G84" s="81" t="s">
        <v>2923</v>
      </c>
      <c r="H84" s="82">
        <f t="shared" si="2"/>
        <v>2773.125</v>
      </c>
      <c r="I84" s="82">
        <v>443.7</v>
      </c>
    </row>
    <row r="85" spans="1:12">
      <c r="A85" t="s">
        <v>608</v>
      </c>
      <c r="B85" s="1">
        <v>41608</v>
      </c>
      <c r="C85" s="118" t="s">
        <v>5547</v>
      </c>
      <c r="D85">
        <v>1</v>
      </c>
      <c r="E85" t="s">
        <v>6085</v>
      </c>
      <c r="F85" s="81" t="s">
        <v>2910</v>
      </c>
      <c r="G85" s="81" t="s">
        <v>2911</v>
      </c>
      <c r="H85" s="82">
        <f t="shared" si="2"/>
        <v>66.375</v>
      </c>
      <c r="I85" s="82">
        <v>10.62</v>
      </c>
      <c r="J85" s="14">
        <f>3024.81-H82-H83-H84-H85</f>
        <v>-2.5000000000545697E-3</v>
      </c>
      <c r="K85" s="14">
        <f>483.97-I82-I83-I84-I85</f>
        <v>0</v>
      </c>
    </row>
    <row r="86" spans="1:12">
      <c r="A86" t="s">
        <v>2591</v>
      </c>
      <c r="B86" s="1">
        <v>41608</v>
      </c>
      <c r="C86" s="118" t="s">
        <v>5547</v>
      </c>
      <c r="D86">
        <v>1</v>
      </c>
      <c r="E86" t="s">
        <v>6073</v>
      </c>
      <c r="F86" s="81" t="s">
        <v>6279</v>
      </c>
      <c r="G86" s="81" t="s">
        <v>6280</v>
      </c>
      <c r="H86" s="82">
        <f t="shared" si="2"/>
        <v>258.625</v>
      </c>
      <c r="I86" s="82">
        <v>41.38</v>
      </c>
      <c r="J86" s="3"/>
      <c r="K86" s="3"/>
    </row>
    <row r="87" spans="1:12">
      <c r="A87" t="s">
        <v>2591</v>
      </c>
      <c r="B87" s="1">
        <v>41608</v>
      </c>
      <c r="C87" s="118" t="s">
        <v>5547</v>
      </c>
      <c r="D87">
        <v>1</v>
      </c>
      <c r="E87" t="s">
        <v>6073</v>
      </c>
      <c r="F87" s="81" t="s">
        <v>6285</v>
      </c>
      <c r="G87" s="81" t="s">
        <v>6286</v>
      </c>
      <c r="H87" s="82">
        <f t="shared" si="2"/>
        <v>106</v>
      </c>
      <c r="I87" s="82">
        <v>16.96</v>
      </c>
    </row>
    <row r="88" spans="1:12">
      <c r="A88" t="s">
        <v>2591</v>
      </c>
      <c r="B88" s="1">
        <v>41608</v>
      </c>
      <c r="C88" s="118" t="s">
        <v>5547</v>
      </c>
      <c r="D88">
        <v>1</v>
      </c>
      <c r="E88" t="s">
        <v>6073</v>
      </c>
      <c r="F88" s="81" t="s">
        <v>2922</v>
      </c>
      <c r="G88" s="81" t="s">
        <v>2923</v>
      </c>
      <c r="H88" s="82">
        <f t="shared" si="2"/>
        <v>2218.5</v>
      </c>
      <c r="I88" s="82">
        <v>354.96</v>
      </c>
    </row>
    <row r="89" spans="1:12">
      <c r="A89" t="s">
        <v>2591</v>
      </c>
      <c r="B89" s="1">
        <v>41608</v>
      </c>
      <c r="C89" s="118" t="s">
        <v>5547</v>
      </c>
      <c r="D89">
        <v>1</v>
      </c>
      <c r="E89" t="s">
        <v>6073</v>
      </c>
      <c r="F89" s="81" t="s">
        <v>2910</v>
      </c>
      <c r="G89" s="81" t="s">
        <v>2911</v>
      </c>
      <c r="H89" s="82">
        <f t="shared" si="2"/>
        <v>99.125</v>
      </c>
      <c r="I89" s="82">
        <v>15.86</v>
      </c>
      <c r="J89" s="14">
        <f>2682.25-H86-H87-H88-H89</f>
        <v>0</v>
      </c>
      <c r="K89" s="14">
        <f>429.16-I86-I87-I88-I89</f>
        <v>7.1054273576010019E-14</v>
      </c>
    </row>
    <row r="90" spans="1:12">
      <c r="A90" t="s">
        <v>2593</v>
      </c>
      <c r="B90" s="1">
        <v>41608</v>
      </c>
      <c r="C90" s="118" t="s">
        <v>5547</v>
      </c>
      <c r="D90">
        <v>1</v>
      </c>
      <c r="E90" t="s">
        <v>6074</v>
      </c>
      <c r="F90" s="81" t="s">
        <v>6285</v>
      </c>
      <c r="G90" s="81" t="s">
        <v>6286</v>
      </c>
      <c r="H90" s="82">
        <f t="shared" si="2"/>
        <v>106</v>
      </c>
      <c r="I90" s="82">
        <v>16.96</v>
      </c>
      <c r="J90" s="3"/>
      <c r="K90" s="3"/>
    </row>
    <row r="91" spans="1:12">
      <c r="A91" t="s">
        <v>2593</v>
      </c>
      <c r="B91" s="1">
        <v>41608</v>
      </c>
      <c r="C91" s="118" t="s">
        <v>5547</v>
      </c>
      <c r="D91">
        <v>1</v>
      </c>
      <c r="E91" t="s">
        <v>6074</v>
      </c>
      <c r="F91" s="81" t="s">
        <v>6287</v>
      </c>
      <c r="G91" s="81" t="s">
        <v>6288</v>
      </c>
      <c r="H91" s="82">
        <f t="shared" si="2"/>
        <v>224.125</v>
      </c>
      <c r="I91" s="82">
        <v>35.86</v>
      </c>
    </row>
    <row r="92" spans="1:12">
      <c r="A92" t="s">
        <v>2593</v>
      </c>
      <c r="B92" s="1">
        <v>41608</v>
      </c>
      <c r="C92" s="118" t="s">
        <v>5547</v>
      </c>
      <c r="D92">
        <v>1</v>
      </c>
      <c r="E92" t="s">
        <v>6074</v>
      </c>
      <c r="F92" s="81" t="s">
        <v>2922</v>
      </c>
      <c r="G92" s="81" t="s">
        <v>2923</v>
      </c>
      <c r="H92" s="82">
        <f t="shared" si="2"/>
        <v>2218.5</v>
      </c>
      <c r="I92" s="82">
        <v>354.96</v>
      </c>
    </row>
    <row r="93" spans="1:12">
      <c r="A93" t="s">
        <v>2593</v>
      </c>
      <c r="B93" s="1">
        <v>41608</v>
      </c>
      <c r="C93" s="118" t="s">
        <v>5547</v>
      </c>
      <c r="D93">
        <v>1</v>
      </c>
      <c r="E93" t="s">
        <v>6074</v>
      </c>
      <c r="F93" s="81" t="s">
        <v>2910</v>
      </c>
      <c r="G93" s="81" t="s">
        <v>2911</v>
      </c>
      <c r="H93" s="82">
        <f t="shared" si="2"/>
        <v>99.125</v>
      </c>
      <c r="I93" s="82">
        <v>15.86</v>
      </c>
      <c r="J93" s="14">
        <f>2647.75-H90-H91-H92-H93</f>
        <v>0</v>
      </c>
      <c r="K93" s="14">
        <f>423.64-I90-I91-I92-I93</f>
        <v>1.4210854715202004E-14</v>
      </c>
    </row>
    <row r="94" spans="1:12">
      <c r="A94" t="s">
        <v>5815</v>
      </c>
      <c r="B94" s="1">
        <v>41586</v>
      </c>
      <c r="C94" s="118" t="s">
        <v>5547</v>
      </c>
      <c r="D94">
        <v>1</v>
      </c>
      <c r="E94" t="s">
        <v>5816</v>
      </c>
      <c r="F94" s="81" t="s">
        <v>2922</v>
      </c>
      <c r="G94" s="81" t="s">
        <v>2923</v>
      </c>
      <c r="H94" s="3">
        <f t="shared" ref="H94:H125" si="3">+I94/0.16</f>
        <v>2773.125</v>
      </c>
      <c r="I94" s="3">
        <v>443.7</v>
      </c>
    </row>
    <row r="95" spans="1:12">
      <c r="A95" t="s">
        <v>1124</v>
      </c>
      <c r="B95" s="1">
        <v>41592</v>
      </c>
      <c r="C95" s="118" t="s">
        <v>6157</v>
      </c>
      <c r="D95">
        <v>1</v>
      </c>
      <c r="E95" t="s">
        <v>999</v>
      </c>
      <c r="F95" s="81" t="s">
        <v>1585</v>
      </c>
      <c r="G95" s="81" t="s">
        <v>999</v>
      </c>
      <c r="H95" s="3">
        <f t="shared" si="3"/>
        <v>10752.9375</v>
      </c>
      <c r="I95" s="3">
        <v>1720.47</v>
      </c>
    </row>
    <row r="96" spans="1:12">
      <c r="A96" t="s">
        <v>6084</v>
      </c>
      <c r="B96" s="1">
        <v>41608</v>
      </c>
      <c r="C96" s="118">
        <v>9355</v>
      </c>
      <c r="D96">
        <v>1</v>
      </c>
      <c r="E96" t="s">
        <v>549</v>
      </c>
      <c r="F96" s="87" t="s">
        <v>767</v>
      </c>
      <c r="G96" s="81" t="s">
        <v>549</v>
      </c>
      <c r="H96" s="3">
        <f t="shared" si="3"/>
        <v>1120.6875</v>
      </c>
      <c r="I96" s="3">
        <v>179.31</v>
      </c>
      <c r="J96" s="14">
        <f>+H96-[1]NOV!$H$141</f>
        <v>41.4375</v>
      </c>
      <c r="K96" s="14">
        <f>+I96-[1]NOV!$I$141</f>
        <v>6.6299999999999955</v>
      </c>
      <c r="L96" t="s">
        <v>900</v>
      </c>
    </row>
    <row r="97" spans="1:9">
      <c r="A97" t="s">
        <v>1140</v>
      </c>
      <c r="B97" s="1">
        <v>41592</v>
      </c>
      <c r="C97" s="118" t="s">
        <v>6165</v>
      </c>
      <c r="D97">
        <v>1</v>
      </c>
      <c r="E97" t="s">
        <v>1142</v>
      </c>
      <c r="F97" s="81" t="s">
        <v>770</v>
      </c>
      <c r="G97" s="81" t="s">
        <v>1142</v>
      </c>
      <c r="H97" s="3">
        <f t="shared" si="3"/>
        <v>15502</v>
      </c>
      <c r="I97" s="3">
        <v>2480.3200000000002</v>
      </c>
    </row>
    <row r="98" spans="1:9">
      <c r="A98" t="s">
        <v>331</v>
      </c>
      <c r="B98" s="1">
        <v>41601</v>
      </c>
      <c r="C98" s="118" t="s">
        <v>6205</v>
      </c>
      <c r="D98">
        <v>1</v>
      </c>
      <c r="E98" t="s">
        <v>1142</v>
      </c>
      <c r="F98" s="81" t="s">
        <v>770</v>
      </c>
      <c r="G98" s="81" t="s">
        <v>1142</v>
      </c>
      <c r="H98" s="3">
        <f t="shared" si="3"/>
        <v>17509</v>
      </c>
      <c r="I98" s="3">
        <v>2801.44</v>
      </c>
    </row>
    <row r="99" spans="1:9">
      <c r="A99" t="s">
        <v>961</v>
      </c>
      <c r="B99" s="1">
        <v>41579</v>
      </c>
      <c r="C99" s="118" t="s">
        <v>6130</v>
      </c>
      <c r="D99">
        <v>1</v>
      </c>
      <c r="E99" t="s">
        <v>29</v>
      </c>
      <c r="F99" s="84" t="s">
        <v>772</v>
      </c>
      <c r="G99" s="81" t="s">
        <v>29</v>
      </c>
      <c r="H99" s="3">
        <f t="shared" si="3"/>
        <v>33111.8125</v>
      </c>
      <c r="I99" s="3">
        <v>5297.89</v>
      </c>
    </row>
    <row r="100" spans="1:9">
      <c r="A100" t="s">
        <v>963</v>
      </c>
      <c r="B100" s="1">
        <v>41579</v>
      </c>
      <c r="C100" s="118" t="s">
        <v>6131</v>
      </c>
      <c r="D100">
        <v>1</v>
      </c>
      <c r="E100" t="s">
        <v>29</v>
      </c>
      <c r="F100" s="84" t="s">
        <v>772</v>
      </c>
      <c r="G100" s="81" t="s">
        <v>29</v>
      </c>
      <c r="H100" s="3">
        <f t="shared" si="3"/>
        <v>8707.5625</v>
      </c>
      <c r="I100" s="3">
        <v>1393.21</v>
      </c>
    </row>
    <row r="101" spans="1:9">
      <c r="A101" t="s">
        <v>969</v>
      </c>
      <c r="B101" s="1">
        <v>41579</v>
      </c>
      <c r="C101" s="118" t="s">
        <v>6134</v>
      </c>
      <c r="D101">
        <v>1</v>
      </c>
      <c r="E101" t="s">
        <v>29</v>
      </c>
      <c r="F101" s="84" t="s">
        <v>772</v>
      </c>
      <c r="G101" s="81" t="s">
        <v>29</v>
      </c>
      <c r="H101" s="3">
        <f t="shared" si="3"/>
        <v>110000</v>
      </c>
      <c r="I101" s="3">
        <v>17600</v>
      </c>
    </row>
    <row r="102" spans="1:9">
      <c r="A102" t="s">
        <v>20</v>
      </c>
      <c r="B102" s="1">
        <v>41583</v>
      </c>
      <c r="C102" s="118" t="s">
        <v>6137</v>
      </c>
      <c r="D102">
        <v>1</v>
      </c>
      <c r="E102" t="s">
        <v>29</v>
      </c>
      <c r="F102" s="84" t="s">
        <v>772</v>
      </c>
      <c r="G102" s="81" t="s">
        <v>29</v>
      </c>
      <c r="H102" s="3">
        <f t="shared" si="3"/>
        <v>4699.5</v>
      </c>
      <c r="I102" s="3">
        <v>751.92</v>
      </c>
    </row>
    <row r="103" spans="1:9">
      <c r="A103" t="s">
        <v>1041</v>
      </c>
      <c r="B103" s="1">
        <v>41585</v>
      </c>
      <c r="C103" s="118" t="s">
        <v>6142</v>
      </c>
      <c r="D103">
        <v>1</v>
      </c>
      <c r="E103" t="s">
        <v>29</v>
      </c>
      <c r="F103" s="84" t="s">
        <v>772</v>
      </c>
      <c r="G103" s="81" t="s">
        <v>29</v>
      </c>
      <c r="H103" s="3">
        <f t="shared" si="3"/>
        <v>30834.4375</v>
      </c>
      <c r="I103" s="3">
        <v>4933.51</v>
      </c>
    </row>
    <row r="104" spans="1:9">
      <c r="A104" t="s">
        <v>2728</v>
      </c>
      <c r="B104" s="1">
        <v>41586</v>
      </c>
      <c r="C104" s="118" t="s">
        <v>6145</v>
      </c>
      <c r="D104">
        <v>1</v>
      </c>
      <c r="E104" t="s">
        <v>29</v>
      </c>
      <c r="F104" s="84" t="s">
        <v>772</v>
      </c>
      <c r="G104" s="81" t="s">
        <v>29</v>
      </c>
      <c r="H104" s="3">
        <f t="shared" si="3"/>
        <v>54026.5625</v>
      </c>
      <c r="I104" s="3">
        <v>8644.25</v>
      </c>
    </row>
    <row r="105" spans="1:9">
      <c r="A105" t="s">
        <v>131</v>
      </c>
      <c r="B105" s="1">
        <v>41589</v>
      </c>
      <c r="C105" s="118" t="s">
        <v>6148</v>
      </c>
      <c r="D105">
        <v>1</v>
      </c>
      <c r="E105" t="s">
        <v>29</v>
      </c>
      <c r="F105" s="84" t="s">
        <v>772</v>
      </c>
      <c r="G105" s="81" t="s">
        <v>29</v>
      </c>
      <c r="H105" s="3">
        <f t="shared" si="3"/>
        <v>1493.8125</v>
      </c>
      <c r="I105" s="3">
        <v>239.01</v>
      </c>
    </row>
    <row r="106" spans="1:9">
      <c r="A106" t="s">
        <v>159</v>
      </c>
      <c r="B106" s="1">
        <v>41592</v>
      </c>
      <c r="C106" s="118" t="s">
        <v>6152</v>
      </c>
      <c r="D106">
        <v>1</v>
      </c>
      <c r="E106" t="s">
        <v>29</v>
      </c>
      <c r="F106" s="84" t="s">
        <v>772</v>
      </c>
      <c r="G106" s="81" t="s">
        <v>29</v>
      </c>
      <c r="H106" s="3">
        <f t="shared" si="3"/>
        <v>342836.8125</v>
      </c>
      <c r="I106" s="3">
        <v>54853.89</v>
      </c>
    </row>
    <row r="107" spans="1:9">
      <c r="A107" t="s">
        <v>161</v>
      </c>
      <c r="B107" s="1">
        <v>41592</v>
      </c>
      <c r="C107" s="118" t="s">
        <v>6153</v>
      </c>
      <c r="D107">
        <v>1</v>
      </c>
      <c r="E107" t="s">
        <v>29</v>
      </c>
      <c r="F107" s="84" t="s">
        <v>772</v>
      </c>
      <c r="G107" s="81" t="s">
        <v>29</v>
      </c>
      <c r="H107" s="3">
        <f t="shared" si="3"/>
        <v>2778.75</v>
      </c>
      <c r="I107" s="3">
        <v>444.6</v>
      </c>
    </row>
    <row r="108" spans="1:9">
      <c r="A108" t="s">
        <v>1147</v>
      </c>
      <c r="B108" s="1">
        <v>41593</v>
      </c>
      <c r="C108" s="118" t="s">
        <v>6168</v>
      </c>
      <c r="D108">
        <v>1</v>
      </c>
      <c r="E108" t="s">
        <v>29</v>
      </c>
      <c r="F108" s="84" t="s">
        <v>772</v>
      </c>
      <c r="G108" s="81" t="s">
        <v>29</v>
      </c>
      <c r="H108" s="3">
        <f t="shared" si="3"/>
        <v>70149.8125</v>
      </c>
      <c r="I108" s="3">
        <v>11223.97</v>
      </c>
    </row>
    <row r="109" spans="1:9">
      <c r="A109" t="s">
        <v>4269</v>
      </c>
      <c r="B109" s="1">
        <v>41598</v>
      </c>
      <c r="C109" s="118" t="s">
        <v>6178</v>
      </c>
      <c r="D109">
        <v>1</v>
      </c>
      <c r="E109" t="s">
        <v>29</v>
      </c>
      <c r="F109" s="84" t="s">
        <v>772</v>
      </c>
      <c r="G109" s="81" t="s">
        <v>29</v>
      </c>
      <c r="H109" s="3">
        <f t="shared" si="3"/>
        <v>22596</v>
      </c>
      <c r="I109" s="3">
        <v>3615.36</v>
      </c>
    </row>
    <row r="110" spans="1:9">
      <c r="A110" t="s">
        <v>2774</v>
      </c>
      <c r="B110" s="1">
        <v>41598</v>
      </c>
      <c r="C110" s="118" t="s">
        <v>6179</v>
      </c>
      <c r="D110">
        <v>1</v>
      </c>
      <c r="E110" t="s">
        <v>29</v>
      </c>
      <c r="F110" s="84" t="s">
        <v>772</v>
      </c>
      <c r="G110" s="81" t="s">
        <v>29</v>
      </c>
      <c r="H110" s="3">
        <f t="shared" si="3"/>
        <v>32110.375</v>
      </c>
      <c r="I110" s="3">
        <v>5137.66</v>
      </c>
    </row>
    <row r="111" spans="1:9">
      <c r="A111" t="s">
        <v>1217</v>
      </c>
      <c r="B111" s="1">
        <v>41598</v>
      </c>
      <c r="C111" s="118" t="s">
        <v>6180</v>
      </c>
      <c r="D111">
        <v>1</v>
      </c>
      <c r="E111" t="s">
        <v>29</v>
      </c>
      <c r="F111" s="84" t="s">
        <v>772</v>
      </c>
      <c r="G111" s="81" t="s">
        <v>29</v>
      </c>
      <c r="H111" s="3">
        <f t="shared" si="3"/>
        <v>26443.1875</v>
      </c>
      <c r="I111" s="3">
        <v>4230.91</v>
      </c>
    </row>
    <row r="112" spans="1:9">
      <c r="A112" t="s">
        <v>2192</v>
      </c>
      <c r="B112" s="1">
        <v>41598</v>
      </c>
      <c r="C112" s="118" t="s">
        <v>6181</v>
      </c>
      <c r="D112">
        <v>1</v>
      </c>
      <c r="E112" t="s">
        <v>29</v>
      </c>
      <c r="F112" s="84" t="s">
        <v>772</v>
      </c>
      <c r="G112" s="81" t="s">
        <v>29</v>
      </c>
      <c r="H112" s="3">
        <f t="shared" si="3"/>
        <v>848.5625</v>
      </c>
      <c r="I112" s="3">
        <v>135.77000000000001</v>
      </c>
    </row>
    <row r="113" spans="1:9">
      <c r="A113" t="s">
        <v>2194</v>
      </c>
      <c r="B113" s="1">
        <v>41598</v>
      </c>
      <c r="C113" s="118" t="s">
        <v>6182</v>
      </c>
      <c r="D113">
        <v>1</v>
      </c>
      <c r="E113" t="s">
        <v>29</v>
      </c>
      <c r="F113" s="84" t="s">
        <v>772</v>
      </c>
      <c r="G113" s="81" t="s">
        <v>29</v>
      </c>
      <c r="H113" s="3">
        <f t="shared" si="3"/>
        <v>631.8125</v>
      </c>
      <c r="I113" s="3">
        <v>101.09</v>
      </c>
    </row>
    <row r="114" spans="1:9">
      <c r="A114" t="s">
        <v>1255</v>
      </c>
      <c r="B114" s="1">
        <v>41600</v>
      </c>
      <c r="C114" s="118" t="s">
        <v>6187</v>
      </c>
      <c r="D114">
        <v>1</v>
      </c>
      <c r="E114" t="s">
        <v>29</v>
      </c>
      <c r="F114" s="84" t="s">
        <v>772</v>
      </c>
      <c r="G114" s="81" t="s">
        <v>29</v>
      </c>
      <c r="H114" s="3">
        <f t="shared" si="3"/>
        <v>132392.4375</v>
      </c>
      <c r="I114" s="3">
        <v>21182.79</v>
      </c>
    </row>
    <row r="115" spans="1:9">
      <c r="A115" t="s">
        <v>365</v>
      </c>
      <c r="B115" s="1">
        <v>41605</v>
      </c>
      <c r="C115" s="118" t="s">
        <v>6207</v>
      </c>
      <c r="D115">
        <v>1</v>
      </c>
      <c r="E115" t="s">
        <v>29</v>
      </c>
      <c r="F115" s="84" t="s">
        <v>772</v>
      </c>
      <c r="G115" s="81" t="s">
        <v>29</v>
      </c>
      <c r="H115" s="3">
        <f t="shared" si="3"/>
        <v>698.4375</v>
      </c>
      <c r="I115" s="3">
        <v>111.75</v>
      </c>
    </row>
    <row r="116" spans="1:9">
      <c r="A116" t="s">
        <v>1333</v>
      </c>
      <c r="B116" s="1">
        <v>41605</v>
      </c>
      <c r="C116" s="118" t="s">
        <v>6208</v>
      </c>
      <c r="D116">
        <v>1</v>
      </c>
      <c r="E116" t="s">
        <v>29</v>
      </c>
      <c r="F116" s="84" t="s">
        <v>772</v>
      </c>
      <c r="G116" s="81" t="s">
        <v>29</v>
      </c>
      <c r="H116" s="3">
        <f t="shared" si="3"/>
        <v>7980</v>
      </c>
      <c r="I116" s="3">
        <v>1276.8</v>
      </c>
    </row>
    <row r="117" spans="1:9">
      <c r="A117" t="s">
        <v>690</v>
      </c>
      <c r="B117" s="1">
        <v>41607</v>
      </c>
      <c r="C117" s="118" t="s">
        <v>6215</v>
      </c>
      <c r="D117">
        <v>1</v>
      </c>
      <c r="E117" t="s">
        <v>29</v>
      </c>
      <c r="F117" s="84" t="s">
        <v>772</v>
      </c>
      <c r="G117" s="81" t="s">
        <v>29</v>
      </c>
      <c r="H117" s="3">
        <f t="shared" si="3"/>
        <v>110000</v>
      </c>
      <c r="I117" s="3">
        <v>17600</v>
      </c>
    </row>
    <row r="118" spans="1:9">
      <c r="A118" t="s">
        <v>3336</v>
      </c>
      <c r="B118" s="1">
        <v>41607</v>
      </c>
      <c r="C118" s="118" t="s">
        <v>6243</v>
      </c>
      <c r="D118">
        <v>1</v>
      </c>
      <c r="E118" t="s">
        <v>29</v>
      </c>
      <c r="F118" s="84" t="s">
        <v>772</v>
      </c>
      <c r="G118" s="81" t="s">
        <v>29</v>
      </c>
      <c r="H118" s="3">
        <f t="shared" si="3"/>
        <v>176434.9375</v>
      </c>
      <c r="I118" s="3">
        <v>28229.59</v>
      </c>
    </row>
    <row r="119" spans="1:9">
      <c r="A119" t="s">
        <v>5671</v>
      </c>
      <c r="B119" s="1">
        <v>41607</v>
      </c>
      <c r="C119" s="118" t="s">
        <v>6244</v>
      </c>
      <c r="D119">
        <v>1</v>
      </c>
      <c r="E119" t="s">
        <v>29</v>
      </c>
      <c r="F119" s="84" t="s">
        <v>772</v>
      </c>
      <c r="G119" s="81" t="s">
        <v>29</v>
      </c>
      <c r="H119" s="3">
        <f t="shared" si="3"/>
        <v>150322.5</v>
      </c>
      <c r="I119" s="3">
        <v>24051.599999999999</v>
      </c>
    </row>
    <row r="120" spans="1:9">
      <c r="A120" t="s">
        <v>5673</v>
      </c>
      <c r="B120" s="1">
        <v>41607</v>
      </c>
      <c r="C120" s="118" t="s">
        <v>6245</v>
      </c>
      <c r="D120">
        <v>1</v>
      </c>
      <c r="E120" t="s">
        <v>29</v>
      </c>
      <c r="F120" s="84" t="s">
        <v>772</v>
      </c>
      <c r="G120" s="81" t="s">
        <v>29</v>
      </c>
      <c r="H120" s="3">
        <f t="shared" si="3"/>
        <v>1501.75</v>
      </c>
      <c r="I120" s="3">
        <v>240.28</v>
      </c>
    </row>
    <row r="121" spans="1:9">
      <c r="A121" t="s">
        <v>3255</v>
      </c>
      <c r="B121" s="1">
        <v>41593</v>
      </c>
      <c r="C121" s="118" t="s">
        <v>6175</v>
      </c>
      <c r="D121">
        <v>1</v>
      </c>
      <c r="E121" t="s">
        <v>1239</v>
      </c>
      <c r="F121" s="81" t="s">
        <v>1587</v>
      </c>
      <c r="G121" s="81" t="s">
        <v>1239</v>
      </c>
      <c r="H121" s="3">
        <f t="shared" si="3"/>
        <v>348</v>
      </c>
      <c r="I121" s="3">
        <v>55.68</v>
      </c>
    </row>
    <row r="122" spans="1:9">
      <c r="A122" t="s">
        <v>5852</v>
      </c>
      <c r="B122" s="1">
        <v>41592</v>
      </c>
      <c r="C122" s="118" t="s">
        <v>5853</v>
      </c>
      <c r="D122">
        <v>1</v>
      </c>
      <c r="E122" t="s">
        <v>2391</v>
      </c>
      <c r="F122" s="87" t="s">
        <v>775</v>
      </c>
      <c r="G122" s="81" t="s">
        <v>776</v>
      </c>
      <c r="H122" s="3">
        <f t="shared" si="3"/>
        <v>224993.125</v>
      </c>
      <c r="I122" s="3">
        <v>35998.9</v>
      </c>
    </row>
    <row r="123" spans="1:9">
      <c r="A123" t="s">
        <v>108</v>
      </c>
      <c r="B123" s="1">
        <v>41590</v>
      </c>
      <c r="C123" s="118" t="s">
        <v>5844</v>
      </c>
      <c r="D123">
        <v>1</v>
      </c>
      <c r="E123" t="s">
        <v>3416</v>
      </c>
      <c r="F123" s="87" t="s">
        <v>775</v>
      </c>
      <c r="G123" s="81" t="s">
        <v>776</v>
      </c>
      <c r="H123" s="3">
        <f t="shared" si="3"/>
        <v>309447.5</v>
      </c>
      <c r="I123" s="3">
        <v>49511.6</v>
      </c>
    </row>
    <row r="124" spans="1:9">
      <c r="A124" t="s">
        <v>5963</v>
      </c>
      <c r="B124" s="1">
        <v>41603</v>
      </c>
      <c r="C124" s="118" t="s">
        <v>5844</v>
      </c>
      <c r="D124">
        <v>1</v>
      </c>
      <c r="E124" t="s">
        <v>3416</v>
      </c>
      <c r="F124" s="87" t="s">
        <v>775</v>
      </c>
      <c r="G124" s="81" t="s">
        <v>776</v>
      </c>
      <c r="H124" s="3">
        <f t="shared" si="3"/>
        <v>-309447.5</v>
      </c>
      <c r="I124" s="3">
        <v>-49511.6</v>
      </c>
    </row>
    <row r="125" spans="1:9">
      <c r="A125" t="s">
        <v>92</v>
      </c>
      <c r="B125" s="1">
        <v>41586</v>
      </c>
      <c r="C125" s="118" t="s">
        <v>6143</v>
      </c>
      <c r="D125">
        <v>1</v>
      </c>
      <c r="E125" t="s">
        <v>296</v>
      </c>
      <c r="F125" s="81" t="s">
        <v>777</v>
      </c>
      <c r="G125" s="81" t="s">
        <v>296</v>
      </c>
      <c r="H125" s="3">
        <f t="shared" si="3"/>
        <v>6631.9999999999991</v>
      </c>
      <c r="I125" s="3">
        <v>1061.1199999999999</v>
      </c>
    </row>
    <row r="126" spans="1:9">
      <c r="A126" t="s">
        <v>294</v>
      </c>
      <c r="B126" s="1">
        <v>41600</v>
      </c>
      <c r="C126" s="118" t="s">
        <v>6186</v>
      </c>
      <c r="D126">
        <v>1</v>
      </c>
      <c r="E126" t="s">
        <v>296</v>
      </c>
      <c r="F126" s="81" t="s">
        <v>777</v>
      </c>
      <c r="G126" s="81" t="s">
        <v>296</v>
      </c>
      <c r="H126" s="3">
        <f t="shared" ref="H126:H157" si="4">+I126/0.16</f>
        <v>6217</v>
      </c>
      <c r="I126" s="3">
        <v>994.72</v>
      </c>
    </row>
    <row r="127" spans="1:9">
      <c r="A127" t="s">
        <v>203</v>
      </c>
      <c r="B127" s="1">
        <v>41593</v>
      </c>
      <c r="C127" s="118" t="s">
        <v>6170</v>
      </c>
      <c r="D127">
        <v>1</v>
      </c>
      <c r="E127" t="s">
        <v>373</v>
      </c>
      <c r="F127" s="81" t="s">
        <v>780</v>
      </c>
      <c r="G127" s="81" t="s">
        <v>373</v>
      </c>
      <c r="H127" s="3">
        <f t="shared" si="4"/>
        <v>2705</v>
      </c>
      <c r="I127" s="3">
        <v>432.8</v>
      </c>
    </row>
    <row r="128" spans="1:9">
      <c r="A128" t="s">
        <v>2213</v>
      </c>
      <c r="B128" s="1">
        <v>41601</v>
      </c>
      <c r="C128" s="118" t="s">
        <v>6191</v>
      </c>
      <c r="D128">
        <v>1</v>
      </c>
      <c r="E128" t="s">
        <v>373</v>
      </c>
      <c r="F128" s="81" t="s">
        <v>780</v>
      </c>
      <c r="G128" s="81" t="s">
        <v>373</v>
      </c>
      <c r="H128" s="3">
        <f t="shared" si="4"/>
        <v>27935</v>
      </c>
      <c r="I128" s="3">
        <v>4469.6000000000004</v>
      </c>
    </row>
    <row r="129" spans="1:9">
      <c r="A129" t="s">
        <v>3330</v>
      </c>
      <c r="B129" s="1">
        <v>41607</v>
      </c>
      <c r="C129" s="118" t="s">
        <v>6237</v>
      </c>
      <c r="D129">
        <v>1</v>
      </c>
      <c r="E129" t="s">
        <v>373</v>
      </c>
      <c r="F129" s="81" t="s">
        <v>780</v>
      </c>
      <c r="G129" s="81" t="s">
        <v>373</v>
      </c>
      <c r="H129" s="3">
        <f t="shared" si="4"/>
        <v>14300</v>
      </c>
      <c r="I129" s="3">
        <v>2288</v>
      </c>
    </row>
    <row r="130" spans="1:9">
      <c r="A130" t="s">
        <v>2219</v>
      </c>
      <c r="B130" s="1">
        <v>41601</v>
      </c>
      <c r="C130" s="118" t="s">
        <v>6197</v>
      </c>
      <c r="D130">
        <v>1</v>
      </c>
      <c r="E130" t="s">
        <v>80</v>
      </c>
      <c r="F130" s="81" t="s">
        <v>781</v>
      </c>
      <c r="G130" s="81" t="s">
        <v>80</v>
      </c>
      <c r="H130" s="3">
        <f t="shared" si="4"/>
        <v>2554</v>
      </c>
      <c r="I130" s="3">
        <v>408.64</v>
      </c>
    </row>
    <row r="131" spans="1:9">
      <c r="A131" t="s">
        <v>719</v>
      </c>
      <c r="B131" s="1">
        <v>41607</v>
      </c>
      <c r="C131" s="118" t="s">
        <v>6240</v>
      </c>
      <c r="D131">
        <v>1</v>
      </c>
      <c r="E131" t="s">
        <v>80</v>
      </c>
      <c r="F131" s="81" t="s">
        <v>781</v>
      </c>
      <c r="G131" s="81" t="s">
        <v>80</v>
      </c>
      <c r="H131" s="3">
        <f t="shared" si="4"/>
        <v>2173</v>
      </c>
      <c r="I131" s="3">
        <v>347.68</v>
      </c>
    </row>
    <row r="132" spans="1:9">
      <c r="A132" t="s">
        <v>530</v>
      </c>
      <c r="B132" s="1">
        <v>41608</v>
      </c>
      <c r="C132" s="118">
        <v>9317</v>
      </c>
      <c r="D132">
        <v>1</v>
      </c>
      <c r="E132" t="s">
        <v>618</v>
      </c>
      <c r="F132" s="87" t="s">
        <v>784</v>
      </c>
      <c r="G132" s="81" t="s">
        <v>618</v>
      </c>
      <c r="H132" s="3">
        <f t="shared" si="4"/>
        <v>172.4375</v>
      </c>
      <c r="I132" s="3">
        <v>27.59</v>
      </c>
    </row>
    <row r="133" spans="1:9">
      <c r="A133" t="s">
        <v>1343</v>
      </c>
      <c r="B133" s="1">
        <v>41605</v>
      </c>
      <c r="C133" s="118" t="s">
        <v>6010</v>
      </c>
      <c r="D133">
        <v>1</v>
      </c>
      <c r="E133" t="s">
        <v>6011</v>
      </c>
      <c r="F133" s="87" t="s">
        <v>2310</v>
      </c>
      <c r="G133" s="81" t="s">
        <v>6011</v>
      </c>
      <c r="H133" s="3">
        <f t="shared" si="4"/>
        <v>350</v>
      </c>
      <c r="I133" s="3">
        <v>56</v>
      </c>
    </row>
    <row r="134" spans="1:9">
      <c r="A134" t="s">
        <v>5704</v>
      </c>
      <c r="B134" s="1">
        <v>41593</v>
      </c>
      <c r="C134" s="118" t="s">
        <v>6258</v>
      </c>
      <c r="D134">
        <v>1</v>
      </c>
      <c r="E134" t="s">
        <v>973</v>
      </c>
      <c r="F134" s="81" t="s">
        <v>1594</v>
      </c>
      <c r="G134" s="81" t="s">
        <v>4739</v>
      </c>
      <c r="H134" s="3">
        <f t="shared" si="4"/>
        <v>14919.25</v>
      </c>
      <c r="I134" s="3">
        <v>2387.08</v>
      </c>
    </row>
    <row r="135" spans="1:9">
      <c r="A135" t="s">
        <v>6270</v>
      </c>
      <c r="B135" s="1">
        <v>41605</v>
      </c>
      <c r="C135" s="118" t="s">
        <v>6271</v>
      </c>
      <c r="D135">
        <v>1</v>
      </c>
      <c r="E135" t="s">
        <v>6272</v>
      </c>
      <c r="F135" s="67" t="s">
        <v>829</v>
      </c>
      <c r="G135" s="68" t="s">
        <v>6</v>
      </c>
      <c r="H135" s="3">
        <f t="shared" si="4"/>
        <v>621.125</v>
      </c>
      <c r="I135" s="3">
        <v>99.38</v>
      </c>
    </row>
    <row r="136" spans="1:9">
      <c r="A136" t="s">
        <v>6264</v>
      </c>
      <c r="B136" s="1">
        <v>41587</v>
      </c>
      <c r="C136" s="118" t="s">
        <v>6265</v>
      </c>
      <c r="D136">
        <v>1</v>
      </c>
      <c r="E136" t="s">
        <v>6266</v>
      </c>
      <c r="F136" s="67" t="s">
        <v>829</v>
      </c>
      <c r="G136" s="68" t="s">
        <v>6</v>
      </c>
      <c r="H136" s="3">
        <f t="shared" si="4"/>
        <v>604.8125</v>
      </c>
      <c r="I136" s="3">
        <v>96.77</v>
      </c>
    </row>
    <row r="137" spans="1:9">
      <c r="A137" t="s">
        <v>5655</v>
      </c>
      <c r="B137" s="1">
        <v>41607</v>
      </c>
      <c r="C137" s="118" t="s">
        <v>6230</v>
      </c>
      <c r="D137">
        <v>1</v>
      </c>
      <c r="E137" t="s">
        <v>6231</v>
      </c>
      <c r="F137" s="81" t="s">
        <v>6289</v>
      </c>
      <c r="G137" s="81" t="s">
        <v>6231</v>
      </c>
      <c r="H137" s="3">
        <f t="shared" si="4"/>
        <v>16478.4375</v>
      </c>
      <c r="I137" s="3">
        <v>2636.55</v>
      </c>
    </row>
    <row r="138" spans="1:9">
      <c r="A138" t="s">
        <v>4585</v>
      </c>
      <c r="B138" s="1">
        <v>41608</v>
      </c>
      <c r="C138" s="118">
        <v>9379</v>
      </c>
      <c r="D138">
        <v>1</v>
      </c>
      <c r="E138" t="s">
        <v>6095</v>
      </c>
      <c r="F138" s="81" t="s">
        <v>880</v>
      </c>
      <c r="G138" s="81" t="s">
        <v>6290</v>
      </c>
      <c r="H138" s="3">
        <f t="shared" si="4"/>
        <v>33.625</v>
      </c>
      <c r="I138" s="3">
        <v>5.38</v>
      </c>
    </row>
    <row r="139" spans="1:9">
      <c r="A139" t="s">
        <v>1350</v>
      </c>
      <c r="B139" s="1">
        <v>41605</v>
      </c>
      <c r="C139" s="118" t="s">
        <v>6016</v>
      </c>
      <c r="D139">
        <v>1</v>
      </c>
      <c r="E139" t="s">
        <v>6017</v>
      </c>
      <c r="F139" s="88" t="s">
        <v>1598</v>
      </c>
      <c r="G139" s="81" t="s">
        <v>1599</v>
      </c>
      <c r="H139" s="3">
        <f t="shared" si="4"/>
        <v>169608.1875</v>
      </c>
      <c r="I139" s="3">
        <v>27137.31</v>
      </c>
    </row>
    <row r="140" spans="1:9">
      <c r="A140" t="s">
        <v>5949</v>
      </c>
      <c r="B140" s="1">
        <v>41600</v>
      </c>
      <c r="C140" s="118" t="s">
        <v>5950</v>
      </c>
      <c r="D140">
        <v>1</v>
      </c>
      <c r="E140" t="s">
        <v>5951</v>
      </c>
      <c r="F140" s="88" t="s">
        <v>1598</v>
      </c>
      <c r="G140" s="81" t="s">
        <v>1599</v>
      </c>
      <c r="H140" s="3">
        <f t="shared" si="4"/>
        <v>476941.625</v>
      </c>
      <c r="I140" s="3">
        <v>76310.66</v>
      </c>
    </row>
    <row r="141" spans="1:9">
      <c r="A141" t="s">
        <v>570</v>
      </c>
      <c r="B141" s="1">
        <v>41608</v>
      </c>
      <c r="C141" s="118">
        <v>9345</v>
      </c>
      <c r="D141">
        <v>1</v>
      </c>
      <c r="E141" t="s">
        <v>6082</v>
      </c>
      <c r="F141" s="87" t="s">
        <v>839</v>
      </c>
      <c r="G141" s="81" t="s">
        <v>6082</v>
      </c>
      <c r="H141" s="3">
        <f t="shared" si="4"/>
        <v>500</v>
      </c>
      <c r="I141" s="3">
        <v>80</v>
      </c>
    </row>
    <row r="142" spans="1:9">
      <c r="A142" t="s">
        <v>5666</v>
      </c>
      <c r="B142" s="1">
        <v>41607</v>
      </c>
      <c r="C142" s="118" t="s">
        <v>6241</v>
      </c>
      <c r="D142">
        <v>1</v>
      </c>
      <c r="E142" t="s">
        <v>22</v>
      </c>
      <c r="F142" s="81" t="s">
        <v>793</v>
      </c>
      <c r="G142" s="81" t="s">
        <v>22</v>
      </c>
      <c r="H142" s="3">
        <f t="shared" si="4"/>
        <v>11173.625</v>
      </c>
      <c r="I142" s="3">
        <v>1787.78</v>
      </c>
    </row>
    <row r="143" spans="1:9">
      <c r="A143" t="s">
        <v>6125</v>
      </c>
      <c r="B143" s="1">
        <v>41608</v>
      </c>
      <c r="C143" s="118" t="s">
        <v>5813</v>
      </c>
      <c r="D143">
        <v>1</v>
      </c>
      <c r="E143" t="s">
        <v>6126</v>
      </c>
      <c r="F143" s="32" t="s">
        <v>946</v>
      </c>
      <c r="G143" s="81" t="s">
        <v>6126</v>
      </c>
      <c r="H143" s="3">
        <f t="shared" si="4"/>
        <v>14259.562500000002</v>
      </c>
      <c r="I143" s="3">
        <v>2281.5300000000002</v>
      </c>
    </row>
    <row r="144" spans="1:9">
      <c r="A144" t="s">
        <v>1208</v>
      </c>
      <c r="B144" s="1">
        <v>41598</v>
      </c>
      <c r="C144" s="118">
        <v>9282</v>
      </c>
      <c r="D144">
        <v>1</v>
      </c>
      <c r="E144" t="s">
        <v>612</v>
      </c>
      <c r="F144" s="81" t="s">
        <v>794</v>
      </c>
      <c r="G144" s="81" t="s">
        <v>612</v>
      </c>
      <c r="H144" s="3">
        <f t="shared" si="4"/>
        <v>33.0625</v>
      </c>
      <c r="I144" s="3">
        <v>5.29</v>
      </c>
    </row>
    <row r="145" spans="1:9">
      <c r="A145" t="s">
        <v>2427</v>
      </c>
      <c r="B145" s="1">
        <v>41598</v>
      </c>
      <c r="C145" s="118">
        <v>9283</v>
      </c>
      <c r="D145">
        <v>1</v>
      </c>
      <c r="E145" t="s">
        <v>612</v>
      </c>
      <c r="F145" s="81" t="s">
        <v>794</v>
      </c>
      <c r="G145" s="81" t="s">
        <v>612</v>
      </c>
      <c r="H145" s="3">
        <f t="shared" si="4"/>
        <v>338.75</v>
      </c>
      <c r="I145" s="3">
        <v>54.2</v>
      </c>
    </row>
    <row r="146" spans="1:9">
      <c r="A146" t="s">
        <v>5906</v>
      </c>
      <c r="B146" s="1">
        <v>41598</v>
      </c>
      <c r="C146" s="118">
        <v>9285</v>
      </c>
      <c r="D146">
        <v>1</v>
      </c>
      <c r="E146" t="s">
        <v>612</v>
      </c>
      <c r="F146" s="81" t="s">
        <v>794</v>
      </c>
      <c r="G146" s="81" t="s">
        <v>612</v>
      </c>
      <c r="H146" s="3">
        <f t="shared" si="4"/>
        <v>213.49999999999997</v>
      </c>
      <c r="I146" s="3">
        <v>34.159999999999997</v>
      </c>
    </row>
    <row r="147" spans="1:9">
      <c r="A147" t="s">
        <v>2435</v>
      </c>
      <c r="B147" s="1">
        <v>41598</v>
      </c>
      <c r="C147" s="118">
        <v>9286</v>
      </c>
      <c r="D147">
        <v>1</v>
      </c>
      <c r="E147" t="s">
        <v>612</v>
      </c>
      <c r="F147" s="81" t="s">
        <v>794</v>
      </c>
      <c r="G147" s="81" t="s">
        <v>612</v>
      </c>
      <c r="H147" s="3">
        <f t="shared" si="4"/>
        <v>53.249999999999993</v>
      </c>
      <c r="I147" s="3">
        <v>8.52</v>
      </c>
    </row>
    <row r="148" spans="1:9">
      <c r="A148" t="s">
        <v>208</v>
      </c>
      <c r="B148" s="1">
        <v>41593</v>
      </c>
      <c r="C148" s="118" t="s">
        <v>6173</v>
      </c>
      <c r="D148">
        <v>1</v>
      </c>
      <c r="E148" t="s">
        <v>5644</v>
      </c>
      <c r="F148" s="81" t="s">
        <v>5735</v>
      </c>
      <c r="G148" s="81" t="s">
        <v>5644</v>
      </c>
      <c r="H148" s="3">
        <f t="shared" si="4"/>
        <v>1089</v>
      </c>
      <c r="I148" s="3">
        <v>174.24</v>
      </c>
    </row>
    <row r="149" spans="1:9">
      <c r="A149" t="s">
        <v>2169</v>
      </c>
      <c r="B149" s="1">
        <v>41589</v>
      </c>
      <c r="C149" s="118" t="s">
        <v>6151</v>
      </c>
      <c r="D149">
        <v>1</v>
      </c>
      <c r="E149" t="s">
        <v>1011</v>
      </c>
      <c r="F149" s="81" t="s">
        <v>1600</v>
      </c>
      <c r="G149" s="81" t="s">
        <v>1011</v>
      </c>
      <c r="H149" s="3">
        <f t="shared" si="4"/>
        <v>10379.375</v>
      </c>
      <c r="I149" s="3">
        <v>1660.7</v>
      </c>
    </row>
    <row r="150" spans="1:9">
      <c r="A150" t="s">
        <v>309</v>
      </c>
      <c r="B150" s="1">
        <v>41607</v>
      </c>
      <c r="C150" s="118" t="s">
        <v>6234</v>
      </c>
      <c r="D150">
        <v>1</v>
      </c>
      <c r="E150" t="s">
        <v>5569</v>
      </c>
      <c r="F150" s="81" t="s">
        <v>5736</v>
      </c>
      <c r="G150" s="81" t="s">
        <v>5569</v>
      </c>
      <c r="H150" s="3">
        <f t="shared" si="4"/>
        <v>12800</v>
      </c>
      <c r="I150" s="3">
        <v>2048</v>
      </c>
    </row>
    <row r="151" spans="1:9">
      <c r="A151" t="s">
        <v>1828</v>
      </c>
      <c r="B151" s="1">
        <v>41597</v>
      </c>
      <c r="C151" s="118" t="s">
        <v>5870</v>
      </c>
      <c r="D151">
        <v>1</v>
      </c>
      <c r="E151" t="s">
        <v>5871</v>
      </c>
      <c r="F151" s="81" t="s">
        <v>2285</v>
      </c>
      <c r="G151" s="81" t="s">
        <v>3820</v>
      </c>
      <c r="H151" s="3">
        <f t="shared" si="4"/>
        <v>311102.9375</v>
      </c>
      <c r="I151" s="3">
        <v>49776.47</v>
      </c>
    </row>
    <row r="152" spans="1:9">
      <c r="A152" t="s">
        <v>1430</v>
      </c>
      <c r="B152" s="1">
        <v>41607</v>
      </c>
      <c r="C152" s="118" t="s">
        <v>6061</v>
      </c>
      <c r="D152">
        <v>1</v>
      </c>
      <c r="E152" t="s">
        <v>6062</v>
      </c>
      <c r="F152" s="81" t="s">
        <v>2285</v>
      </c>
      <c r="G152" s="81" t="s">
        <v>3820</v>
      </c>
      <c r="H152" s="3">
        <f t="shared" si="4"/>
        <v>181607.4375</v>
      </c>
      <c r="I152" s="3">
        <v>29057.19</v>
      </c>
    </row>
    <row r="153" spans="1:9">
      <c r="A153" t="s">
        <v>221</v>
      </c>
      <c r="B153" s="1">
        <v>41593</v>
      </c>
      <c r="C153" s="118" t="s">
        <v>6176</v>
      </c>
      <c r="D153">
        <v>2</v>
      </c>
      <c r="E153" t="s">
        <v>220</v>
      </c>
      <c r="F153" s="81" t="s">
        <v>797</v>
      </c>
      <c r="G153" s="81" t="s">
        <v>220</v>
      </c>
      <c r="H153" s="3">
        <f t="shared" si="4"/>
        <v>9995</v>
      </c>
      <c r="I153" s="3">
        <v>1599.2</v>
      </c>
    </row>
    <row r="154" spans="1:9">
      <c r="A154" t="s">
        <v>333</v>
      </c>
      <c r="B154" s="1">
        <v>41601</v>
      </c>
      <c r="C154" s="118" t="s">
        <v>6206</v>
      </c>
      <c r="D154">
        <v>2</v>
      </c>
      <c r="E154" t="s">
        <v>220</v>
      </c>
      <c r="F154" s="81" t="s">
        <v>797</v>
      </c>
      <c r="G154" s="81" t="s">
        <v>220</v>
      </c>
      <c r="H154" s="3">
        <f t="shared" si="4"/>
        <v>550</v>
      </c>
      <c r="I154" s="3">
        <v>88</v>
      </c>
    </row>
    <row r="155" spans="1:9">
      <c r="A155" t="s">
        <v>1138</v>
      </c>
      <c r="B155" s="1">
        <v>41592</v>
      </c>
      <c r="C155" s="118" t="s">
        <v>6164</v>
      </c>
      <c r="D155">
        <v>1</v>
      </c>
      <c r="E155" t="s">
        <v>77</v>
      </c>
      <c r="F155" s="81" t="s">
        <v>798</v>
      </c>
      <c r="G155" s="81" t="s">
        <v>77</v>
      </c>
      <c r="H155" s="3">
        <f t="shared" si="4"/>
        <v>4099.8125</v>
      </c>
      <c r="I155" s="3">
        <v>655.97</v>
      </c>
    </row>
    <row r="156" spans="1:9">
      <c r="A156" t="s">
        <v>1257</v>
      </c>
      <c r="B156" s="1">
        <v>41601</v>
      </c>
      <c r="C156" s="118" t="s">
        <v>6192</v>
      </c>
      <c r="D156">
        <v>1</v>
      </c>
      <c r="E156" t="s">
        <v>77</v>
      </c>
      <c r="F156" s="81" t="s">
        <v>798</v>
      </c>
      <c r="G156" s="81" t="s">
        <v>77</v>
      </c>
      <c r="H156" s="3">
        <f t="shared" si="4"/>
        <v>540</v>
      </c>
      <c r="I156" s="3">
        <v>86.4</v>
      </c>
    </row>
    <row r="157" spans="1:9">
      <c r="A157" t="s">
        <v>542</v>
      </c>
      <c r="B157" s="1">
        <v>41608</v>
      </c>
      <c r="C157" s="118">
        <v>9321</v>
      </c>
      <c r="D157">
        <v>1</v>
      </c>
      <c r="E157" t="s">
        <v>6081</v>
      </c>
      <c r="F157" s="87" t="s">
        <v>6291</v>
      </c>
      <c r="G157" s="81" t="s">
        <v>6292</v>
      </c>
      <c r="H157" s="3">
        <f t="shared" si="4"/>
        <v>93.999999999999986</v>
      </c>
      <c r="I157" s="3">
        <v>15.04</v>
      </c>
    </row>
    <row r="158" spans="1:9">
      <c r="A158" t="s">
        <v>205</v>
      </c>
      <c r="B158" s="1">
        <v>41593</v>
      </c>
      <c r="C158" s="118" t="s">
        <v>6172</v>
      </c>
      <c r="D158">
        <v>1</v>
      </c>
      <c r="E158" t="s">
        <v>215</v>
      </c>
      <c r="F158" s="81" t="s">
        <v>801</v>
      </c>
      <c r="G158" s="81" t="s">
        <v>215</v>
      </c>
      <c r="H158" s="3">
        <f t="shared" ref="H158:H165" si="5">+I158/0.16</f>
        <v>3900</v>
      </c>
      <c r="I158" s="3">
        <v>624</v>
      </c>
    </row>
    <row r="159" spans="1:9">
      <c r="A159" t="s">
        <v>4571</v>
      </c>
      <c r="B159" s="1">
        <v>41608</v>
      </c>
      <c r="C159" s="118">
        <v>9362</v>
      </c>
      <c r="D159">
        <v>1</v>
      </c>
      <c r="E159" t="s">
        <v>5491</v>
      </c>
      <c r="F159" s="87" t="s">
        <v>5737</v>
      </c>
      <c r="G159" s="81" t="s">
        <v>5491</v>
      </c>
      <c r="H159" s="3">
        <f t="shared" si="5"/>
        <v>344.8125</v>
      </c>
      <c r="I159" s="3">
        <v>55.17</v>
      </c>
    </row>
    <row r="160" spans="1:9">
      <c r="A160" t="s">
        <v>635</v>
      </c>
      <c r="B160" s="1">
        <v>41608</v>
      </c>
      <c r="C160" s="118">
        <v>9375</v>
      </c>
      <c r="D160">
        <v>1</v>
      </c>
      <c r="E160" t="s">
        <v>6093</v>
      </c>
      <c r="F160" s="81" t="s">
        <v>5737</v>
      </c>
      <c r="G160" s="81" t="s">
        <v>6093</v>
      </c>
      <c r="H160" s="3">
        <f t="shared" si="5"/>
        <v>344.8125</v>
      </c>
      <c r="I160" s="3">
        <v>55.17</v>
      </c>
    </row>
    <row r="161" spans="1:12">
      <c r="A161" t="s">
        <v>320</v>
      </c>
      <c r="B161" s="1">
        <v>41601</v>
      </c>
      <c r="C161" s="118" t="s">
        <v>6201</v>
      </c>
      <c r="D161">
        <v>1</v>
      </c>
      <c r="E161" t="s">
        <v>226</v>
      </c>
      <c r="F161" s="11" t="s">
        <v>802</v>
      </c>
      <c r="G161" s="11" t="s">
        <v>226</v>
      </c>
      <c r="H161" s="3">
        <f t="shared" si="5"/>
        <v>148</v>
      </c>
      <c r="I161" s="3">
        <v>23.68</v>
      </c>
      <c r="J161" s="14" t="e">
        <f>+H161-#REF!</f>
        <v>#REF!</v>
      </c>
      <c r="K161" s="14" t="e">
        <f>+I161-#REF!</f>
        <v>#REF!</v>
      </c>
      <c r="L161" t="s">
        <v>900</v>
      </c>
    </row>
    <row r="162" spans="1:12">
      <c r="A162" t="s">
        <v>304</v>
      </c>
      <c r="B162" s="1">
        <v>41601</v>
      </c>
      <c r="C162" s="118" t="s">
        <v>6193</v>
      </c>
      <c r="D162">
        <v>2</v>
      </c>
      <c r="E162" t="s">
        <v>74</v>
      </c>
      <c r="F162" s="81" t="s">
        <v>803</v>
      </c>
      <c r="G162" s="81" t="s">
        <v>74</v>
      </c>
      <c r="H162" s="3">
        <f t="shared" si="5"/>
        <v>3803.1875</v>
      </c>
      <c r="I162" s="3">
        <v>608.51</v>
      </c>
    </row>
    <row r="163" spans="1:12">
      <c r="A163" t="s">
        <v>717</v>
      </c>
      <c r="B163" s="1">
        <v>41607</v>
      </c>
      <c r="C163" s="118" t="s">
        <v>6239</v>
      </c>
      <c r="D163">
        <v>2</v>
      </c>
      <c r="E163" t="s">
        <v>74</v>
      </c>
      <c r="F163" s="81" t="s">
        <v>803</v>
      </c>
      <c r="G163" s="81" t="s">
        <v>74</v>
      </c>
      <c r="H163" s="3">
        <f t="shared" si="5"/>
        <v>1901.5625</v>
      </c>
      <c r="I163" s="3">
        <v>304.25</v>
      </c>
    </row>
    <row r="164" spans="1:12">
      <c r="A164" t="s">
        <v>1027</v>
      </c>
      <c r="B164" s="1">
        <v>41584</v>
      </c>
      <c r="C164" s="118" t="s">
        <v>6141</v>
      </c>
      <c r="D164">
        <v>1</v>
      </c>
      <c r="E164" t="s">
        <v>112</v>
      </c>
      <c r="F164" s="81" t="s">
        <v>805</v>
      </c>
      <c r="G164" s="81" t="s">
        <v>112</v>
      </c>
      <c r="H164" s="3">
        <f t="shared" si="5"/>
        <v>25000</v>
      </c>
      <c r="I164" s="3">
        <v>4000</v>
      </c>
    </row>
    <row r="165" spans="1:12">
      <c r="A165" t="s">
        <v>253</v>
      </c>
      <c r="B165" s="1">
        <v>41597</v>
      </c>
      <c r="C165" s="118" t="s">
        <v>6177</v>
      </c>
      <c r="D165">
        <v>1</v>
      </c>
      <c r="E165" t="s">
        <v>112</v>
      </c>
      <c r="F165" s="81" t="s">
        <v>805</v>
      </c>
      <c r="G165" s="81" t="s">
        <v>112</v>
      </c>
      <c r="H165" s="3">
        <f t="shared" si="5"/>
        <v>10000</v>
      </c>
      <c r="I165" s="3">
        <v>1600</v>
      </c>
    </row>
    <row r="166" spans="1:12">
      <c r="A166" t="s">
        <v>4593</v>
      </c>
      <c r="B166" s="1">
        <v>41608</v>
      </c>
      <c r="C166" s="118">
        <v>9386</v>
      </c>
      <c r="D166">
        <v>1</v>
      </c>
      <c r="E166" t="s">
        <v>6113</v>
      </c>
      <c r="F166" s="81" t="s">
        <v>1582</v>
      </c>
      <c r="G166" s="81" t="s">
        <v>1583</v>
      </c>
      <c r="H166" s="82">
        <f>I166/0.16</f>
        <v>60.375</v>
      </c>
      <c r="I166" s="82">
        <v>9.66</v>
      </c>
      <c r="J166" s="3"/>
      <c r="K166" s="3"/>
    </row>
    <row r="167" spans="1:12">
      <c r="A167" t="s">
        <v>4593</v>
      </c>
      <c r="B167" s="1">
        <v>41608</v>
      </c>
      <c r="C167" s="118">
        <v>9386</v>
      </c>
      <c r="D167">
        <v>1</v>
      </c>
      <c r="E167" t="s">
        <v>6113</v>
      </c>
      <c r="F167" s="28" t="s">
        <v>2287</v>
      </c>
      <c r="G167" s="28" t="s">
        <v>2288</v>
      </c>
      <c r="H167" s="47">
        <f>I167/0.16</f>
        <v>301.5625</v>
      </c>
      <c r="I167" s="47">
        <v>48.25</v>
      </c>
    </row>
    <row r="168" spans="1:12">
      <c r="A168" t="s">
        <v>4593</v>
      </c>
      <c r="B168" s="1">
        <v>41608</v>
      </c>
      <c r="C168" s="118">
        <v>9386</v>
      </c>
      <c r="D168">
        <v>1</v>
      </c>
      <c r="E168" t="s">
        <v>6113</v>
      </c>
      <c r="F168" s="32" t="s">
        <v>946</v>
      </c>
      <c r="G168" t="s">
        <v>947</v>
      </c>
      <c r="H168" s="3">
        <f t="shared" ref="H168" si="6">I168/0.16</f>
        <v>663.125</v>
      </c>
      <c r="I168" s="46">
        <v>106.1</v>
      </c>
      <c r="J168" s="14">
        <f>1025.06-H166-H167-H168</f>
        <v>-2.5000000000545697E-3</v>
      </c>
      <c r="K168" s="14">
        <f>164.01-I166-I167-I168</f>
        <v>0</v>
      </c>
    </row>
    <row r="169" spans="1:12">
      <c r="A169" t="s">
        <v>4592</v>
      </c>
      <c r="B169" s="1">
        <v>41608</v>
      </c>
      <c r="C169" s="118">
        <v>9385</v>
      </c>
      <c r="D169">
        <v>1</v>
      </c>
      <c r="E169" t="s">
        <v>6112</v>
      </c>
      <c r="F169" s="28" t="s">
        <v>939</v>
      </c>
      <c r="G169" s="28" t="s">
        <v>940</v>
      </c>
      <c r="H169" s="47">
        <f>I169/0.16</f>
        <v>334.5</v>
      </c>
      <c r="I169" s="82">
        <v>53.52</v>
      </c>
      <c r="J169" s="3"/>
      <c r="K169" s="3"/>
    </row>
    <row r="170" spans="1:12">
      <c r="A170" t="s">
        <v>4592</v>
      </c>
      <c r="B170" s="1">
        <v>41608</v>
      </c>
      <c r="C170" s="118">
        <v>9385</v>
      </c>
      <c r="D170">
        <v>1</v>
      </c>
      <c r="E170" t="s">
        <v>6112</v>
      </c>
      <c r="F170" s="81" t="s">
        <v>1582</v>
      </c>
      <c r="G170" s="81" t="s">
        <v>1583</v>
      </c>
      <c r="H170" s="82">
        <f>I170/0.16</f>
        <v>73.3125</v>
      </c>
      <c r="I170" s="82">
        <v>11.73</v>
      </c>
    </row>
    <row r="171" spans="1:12">
      <c r="A171" t="s">
        <v>4592</v>
      </c>
      <c r="B171" s="1">
        <v>41608</v>
      </c>
      <c r="C171" s="118">
        <v>9385</v>
      </c>
      <c r="D171">
        <v>1</v>
      </c>
      <c r="E171" t="s">
        <v>6112</v>
      </c>
      <c r="F171" s="32" t="s">
        <v>946</v>
      </c>
      <c r="G171" s="33" t="s">
        <v>1581</v>
      </c>
      <c r="H171" s="3">
        <f t="shared" ref="H171" si="7">I171/0.16</f>
        <v>663.125</v>
      </c>
      <c r="I171" s="46">
        <v>106.1</v>
      </c>
      <c r="J171" s="14">
        <f>1070.94-H169-H170-H171</f>
        <v>2.5000000000545697E-3</v>
      </c>
      <c r="K171" s="14">
        <f>171.35-I169-I170-I171</f>
        <v>0</v>
      </c>
    </row>
    <row r="172" spans="1:12">
      <c r="A172" t="s">
        <v>1122</v>
      </c>
      <c r="B172" s="1">
        <v>41592</v>
      </c>
      <c r="C172" s="118" t="s">
        <v>6156</v>
      </c>
      <c r="D172">
        <v>1</v>
      </c>
      <c r="E172" t="s">
        <v>2724</v>
      </c>
      <c r="F172" s="81" t="s">
        <v>2855</v>
      </c>
      <c r="G172" s="81" t="s">
        <v>2724</v>
      </c>
      <c r="H172" s="3">
        <f t="shared" ref="H172:H217" si="8">+I172/0.16</f>
        <v>3500</v>
      </c>
      <c r="I172" s="3">
        <v>560</v>
      </c>
    </row>
    <row r="173" spans="1:12">
      <c r="A173" t="s">
        <v>3901</v>
      </c>
      <c r="B173" s="1">
        <v>41598</v>
      </c>
      <c r="C173" s="118" t="s">
        <v>5888</v>
      </c>
      <c r="D173">
        <v>1</v>
      </c>
      <c r="E173" t="s">
        <v>5889</v>
      </c>
      <c r="F173" s="81" t="s">
        <v>6293</v>
      </c>
      <c r="G173" s="81" t="s">
        <v>5889</v>
      </c>
      <c r="H173" s="3">
        <f t="shared" si="8"/>
        <v>612.0625</v>
      </c>
      <c r="I173" s="3">
        <v>97.93</v>
      </c>
    </row>
    <row r="174" spans="1:12">
      <c r="A174" t="s">
        <v>1341</v>
      </c>
      <c r="B174" s="1">
        <v>41605</v>
      </c>
      <c r="C174" s="118" t="s">
        <v>6006</v>
      </c>
      <c r="D174">
        <v>1</v>
      </c>
      <c r="E174" t="s">
        <v>6007</v>
      </c>
      <c r="F174" s="87" t="s">
        <v>6294</v>
      </c>
      <c r="G174" s="81" t="s">
        <v>6007</v>
      </c>
      <c r="H174" s="3">
        <f t="shared" si="8"/>
        <v>200</v>
      </c>
      <c r="I174" s="3">
        <v>32</v>
      </c>
    </row>
    <row r="175" spans="1:12">
      <c r="A175" t="s">
        <v>5372</v>
      </c>
      <c r="B175" s="1">
        <v>41598</v>
      </c>
      <c r="C175" s="118" t="s">
        <v>5890</v>
      </c>
      <c r="D175">
        <v>1</v>
      </c>
      <c r="E175" t="s">
        <v>807</v>
      </c>
      <c r="F175" s="81" t="s">
        <v>806</v>
      </c>
      <c r="G175" s="81" t="s">
        <v>807</v>
      </c>
      <c r="H175" s="3">
        <f t="shared" si="8"/>
        <v>798</v>
      </c>
      <c r="I175" s="3">
        <v>127.68</v>
      </c>
    </row>
    <row r="176" spans="1:12">
      <c r="A176" t="s">
        <v>175</v>
      </c>
      <c r="B176" s="1">
        <v>41592</v>
      </c>
      <c r="C176" s="118" t="s">
        <v>6159</v>
      </c>
      <c r="D176">
        <v>2</v>
      </c>
      <c r="E176" t="s">
        <v>807</v>
      </c>
      <c r="F176" s="81" t="s">
        <v>806</v>
      </c>
      <c r="G176" s="81" t="s">
        <v>807</v>
      </c>
      <c r="H176" s="3">
        <f t="shared" si="8"/>
        <v>1102.5</v>
      </c>
      <c r="I176" s="3">
        <v>176.4</v>
      </c>
    </row>
    <row r="177" spans="1:9">
      <c r="A177" t="s">
        <v>1120</v>
      </c>
      <c r="B177" s="1">
        <v>41592</v>
      </c>
      <c r="C177" s="118" t="s">
        <v>6155</v>
      </c>
      <c r="D177">
        <v>2</v>
      </c>
      <c r="E177" t="s">
        <v>207</v>
      </c>
      <c r="F177" s="81" t="s">
        <v>806</v>
      </c>
      <c r="G177" s="81" t="s">
        <v>207</v>
      </c>
      <c r="H177" s="3">
        <f t="shared" si="8"/>
        <v>1463</v>
      </c>
      <c r="I177" s="3">
        <v>234.08</v>
      </c>
    </row>
    <row r="178" spans="1:9">
      <c r="A178" t="s">
        <v>3718</v>
      </c>
      <c r="B178" s="1">
        <v>41601</v>
      </c>
      <c r="C178" s="118" t="s">
        <v>6189</v>
      </c>
      <c r="D178">
        <v>2</v>
      </c>
      <c r="E178" t="s">
        <v>207</v>
      </c>
      <c r="F178" s="81" t="s">
        <v>806</v>
      </c>
      <c r="G178" s="81" t="s">
        <v>207</v>
      </c>
      <c r="H178" s="3">
        <f t="shared" si="8"/>
        <v>882</v>
      </c>
      <c r="I178" s="3">
        <v>141.12</v>
      </c>
    </row>
    <row r="179" spans="1:9">
      <c r="A179" t="s">
        <v>521</v>
      </c>
      <c r="B179" s="1">
        <v>41608</v>
      </c>
      <c r="C179" s="118" t="s">
        <v>6079</v>
      </c>
      <c r="D179">
        <v>1</v>
      </c>
      <c r="E179" t="s">
        <v>6080</v>
      </c>
      <c r="F179" s="87" t="s">
        <v>811</v>
      </c>
      <c r="G179" s="81" t="s">
        <v>6080</v>
      </c>
      <c r="H179" s="3">
        <f t="shared" si="8"/>
        <v>46.4375</v>
      </c>
      <c r="I179" s="3">
        <v>7.43</v>
      </c>
    </row>
    <row r="180" spans="1:9">
      <c r="A180" t="s">
        <v>576</v>
      </c>
      <c r="B180" s="1">
        <v>41608</v>
      </c>
      <c r="C180" s="118">
        <v>9347</v>
      </c>
      <c r="D180">
        <v>1</v>
      </c>
      <c r="E180" t="s">
        <v>2064</v>
      </c>
      <c r="F180" s="87" t="s">
        <v>2290</v>
      </c>
      <c r="G180" s="81" t="s">
        <v>2064</v>
      </c>
      <c r="H180" s="3">
        <f t="shared" si="8"/>
        <v>425</v>
      </c>
      <c r="I180" s="3">
        <v>68</v>
      </c>
    </row>
    <row r="181" spans="1:9">
      <c r="A181" t="s">
        <v>2254</v>
      </c>
      <c r="B181" s="1">
        <v>41607</v>
      </c>
      <c r="C181" s="118" t="s">
        <v>6216</v>
      </c>
      <c r="D181">
        <v>1</v>
      </c>
      <c r="E181" t="s">
        <v>2827</v>
      </c>
      <c r="F181" s="81" t="s">
        <v>2856</v>
      </c>
      <c r="G181" s="81" t="s">
        <v>2827</v>
      </c>
      <c r="H181" s="3">
        <f t="shared" si="8"/>
        <v>10000</v>
      </c>
      <c r="I181" s="3">
        <v>1600</v>
      </c>
    </row>
    <row r="182" spans="1:9">
      <c r="A182" t="s">
        <v>692</v>
      </c>
      <c r="B182" s="1">
        <v>41607</v>
      </c>
      <c r="C182" s="118" t="s">
        <v>6217</v>
      </c>
      <c r="D182">
        <v>1</v>
      </c>
      <c r="E182" t="s">
        <v>2827</v>
      </c>
      <c r="F182" s="81" t="s">
        <v>2856</v>
      </c>
      <c r="G182" s="81" t="s">
        <v>2827</v>
      </c>
      <c r="H182" s="3">
        <f t="shared" si="8"/>
        <v>10000</v>
      </c>
      <c r="I182" s="3">
        <v>1600</v>
      </c>
    </row>
    <row r="183" spans="1:9">
      <c r="A183" t="s">
        <v>695</v>
      </c>
      <c r="B183" s="1">
        <v>41607</v>
      </c>
      <c r="C183" s="118" t="s">
        <v>6218</v>
      </c>
      <c r="D183">
        <v>1</v>
      </c>
      <c r="E183" t="s">
        <v>2827</v>
      </c>
      <c r="F183" s="81" t="s">
        <v>2856</v>
      </c>
      <c r="G183" s="81" t="s">
        <v>2827</v>
      </c>
      <c r="H183" s="3">
        <f t="shared" si="8"/>
        <v>5950</v>
      </c>
      <c r="I183" s="3">
        <v>952</v>
      </c>
    </row>
    <row r="184" spans="1:9">
      <c r="A184" t="s">
        <v>697</v>
      </c>
      <c r="B184" s="1">
        <v>41607</v>
      </c>
      <c r="C184" s="118" t="s">
        <v>6219</v>
      </c>
      <c r="D184">
        <v>1</v>
      </c>
      <c r="E184" t="s">
        <v>2827</v>
      </c>
      <c r="F184" s="81" t="s">
        <v>2856</v>
      </c>
      <c r="G184" s="81" t="s">
        <v>2827</v>
      </c>
      <c r="H184" s="3">
        <f t="shared" si="8"/>
        <v>7000</v>
      </c>
      <c r="I184" s="3">
        <v>1120</v>
      </c>
    </row>
    <row r="185" spans="1:9">
      <c r="A185" t="s">
        <v>699</v>
      </c>
      <c r="B185" s="1">
        <v>41607</v>
      </c>
      <c r="C185" s="118" t="s">
        <v>6220</v>
      </c>
      <c r="D185">
        <v>1</v>
      </c>
      <c r="E185" t="s">
        <v>2827</v>
      </c>
      <c r="F185" s="81" t="s">
        <v>2856</v>
      </c>
      <c r="G185" s="81" t="s">
        <v>2827</v>
      </c>
      <c r="H185" s="3">
        <f t="shared" si="8"/>
        <v>5000</v>
      </c>
      <c r="I185" s="3">
        <v>800</v>
      </c>
    </row>
    <row r="186" spans="1:9">
      <c r="A186" t="s">
        <v>5675</v>
      </c>
      <c r="B186" s="1">
        <v>41608</v>
      </c>
      <c r="C186" s="118" t="s">
        <v>6250</v>
      </c>
      <c r="D186">
        <v>1</v>
      </c>
      <c r="E186" t="s">
        <v>2827</v>
      </c>
      <c r="F186" s="81" t="s">
        <v>2856</v>
      </c>
      <c r="G186" s="81" t="s">
        <v>2827</v>
      </c>
      <c r="H186" s="3">
        <f t="shared" si="8"/>
        <v>6034.5</v>
      </c>
      <c r="I186" s="3">
        <v>965.52</v>
      </c>
    </row>
    <row r="187" spans="1:9">
      <c r="A187" t="s">
        <v>1830</v>
      </c>
      <c r="B187" s="1">
        <v>41597</v>
      </c>
      <c r="C187" s="118" t="s">
        <v>5879</v>
      </c>
      <c r="D187">
        <v>1</v>
      </c>
      <c r="E187" t="s">
        <v>5880</v>
      </c>
      <c r="F187" s="124" t="s">
        <v>814</v>
      </c>
      <c r="G187" s="81" t="s">
        <v>815</v>
      </c>
      <c r="H187" s="3">
        <f t="shared" si="8"/>
        <v>277621.375</v>
      </c>
      <c r="I187" s="3">
        <v>44419.42</v>
      </c>
    </row>
    <row r="188" spans="1:9">
      <c r="A188" t="s">
        <v>435</v>
      </c>
      <c r="B188" s="1">
        <v>41608</v>
      </c>
      <c r="C188" s="118" t="s">
        <v>6069</v>
      </c>
      <c r="D188">
        <v>1</v>
      </c>
      <c r="E188" t="s">
        <v>5880</v>
      </c>
      <c r="F188" s="124" t="s">
        <v>814</v>
      </c>
      <c r="G188" s="81" t="s">
        <v>815</v>
      </c>
      <c r="H188" s="3">
        <f t="shared" si="8"/>
        <v>259916.0625</v>
      </c>
      <c r="I188" s="3">
        <v>41586.57</v>
      </c>
    </row>
    <row r="189" spans="1:9">
      <c r="A189" t="s">
        <v>1476</v>
      </c>
      <c r="B189" s="1">
        <v>41608</v>
      </c>
      <c r="C189" s="118" t="s">
        <v>6067</v>
      </c>
      <c r="D189">
        <v>1</v>
      </c>
      <c r="E189" t="s">
        <v>6068</v>
      </c>
      <c r="F189" s="124" t="s">
        <v>814</v>
      </c>
      <c r="G189" s="81" t="s">
        <v>815</v>
      </c>
      <c r="H189" s="3">
        <f t="shared" si="8"/>
        <v>259912.62499999997</v>
      </c>
      <c r="I189" s="3">
        <v>41586.019999999997</v>
      </c>
    </row>
    <row r="190" spans="1:9">
      <c r="A190" t="s">
        <v>1811</v>
      </c>
      <c r="B190" s="1">
        <v>41593</v>
      </c>
      <c r="C190" s="118" t="s">
        <v>5859</v>
      </c>
      <c r="D190">
        <v>1</v>
      </c>
      <c r="E190" t="s">
        <v>2950</v>
      </c>
      <c r="F190" s="124" t="s">
        <v>814</v>
      </c>
      <c r="G190" s="81" t="s">
        <v>815</v>
      </c>
      <c r="H190" s="3">
        <f t="shared" si="8"/>
        <v>322089.875</v>
      </c>
      <c r="I190" s="3">
        <v>51534.38</v>
      </c>
    </row>
    <row r="191" spans="1:9">
      <c r="A191" t="s">
        <v>2217</v>
      </c>
      <c r="B191" s="1">
        <v>41601</v>
      </c>
      <c r="C191" s="118" t="s">
        <v>6195</v>
      </c>
      <c r="D191">
        <v>1</v>
      </c>
      <c r="E191" t="s">
        <v>6196</v>
      </c>
      <c r="F191" s="28" t="s">
        <v>877</v>
      </c>
      <c r="G191" s="28" t="s">
        <v>223</v>
      </c>
      <c r="H191" s="3">
        <f t="shared" si="8"/>
        <v>10443.4375</v>
      </c>
      <c r="I191" s="3">
        <v>1670.95</v>
      </c>
    </row>
    <row r="192" spans="1:9">
      <c r="A192" t="s">
        <v>5024</v>
      </c>
      <c r="B192" s="1">
        <v>41608</v>
      </c>
      <c r="C192" s="118" t="s">
        <v>6090</v>
      </c>
      <c r="D192">
        <v>1</v>
      </c>
      <c r="E192" t="s">
        <v>6091</v>
      </c>
      <c r="F192" s="81" t="s">
        <v>739</v>
      </c>
      <c r="G192" s="81" t="s">
        <v>469</v>
      </c>
      <c r="H192" s="3">
        <f t="shared" si="8"/>
        <v>215.49999999999997</v>
      </c>
      <c r="I192" s="3">
        <v>34.479999999999997</v>
      </c>
    </row>
    <row r="193" spans="1:9">
      <c r="A193" t="s">
        <v>6273</v>
      </c>
      <c r="B193" s="1">
        <v>41605</v>
      </c>
      <c r="C193" s="118" t="s">
        <v>6274</v>
      </c>
      <c r="D193">
        <v>1</v>
      </c>
      <c r="E193" t="s">
        <v>6275</v>
      </c>
      <c r="F193" s="67" t="s">
        <v>829</v>
      </c>
      <c r="G193" s="68" t="s">
        <v>6</v>
      </c>
      <c r="H193" s="3">
        <f t="shared" si="8"/>
        <v>633.5</v>
      </c>
      <c r="I193" s="3">
        <v>101.36</v>
      </c>
    </row>
    <row r="194" spans="1:9">
      <c r="A194" t="s">
        <v>6267</v>
      </c>
      <c r="B194" s="1">
        <v>41599</v>
      </c>
      <c r="C194" s="118" t="s">
        <v>6268</v>
      </c>
      <c r="D194">
        <v>1</v>
      </c>
      <c r="E194" t="s">
        <v>6269</v>
      </c>
      <c r="F194" s="67" t="s">
        <v>829</v>
      </c>
      <c r="G194" s="68" t="s">
        <v>6</v>
      </c>
      <c r="H194" s="3">
        <f t="shared" si="8"/>
        <v>285.125</v>
      </c>
      <c r="I194" s="3">
        <v>45.62</v>
      </c>
    </row>
    <row r="195" spans="1:9">
      <c r="A195" t="s">
        <v>5952</v>
      </c>
      <c r="B195" s="1">
        <v>41600</v>
      </c>
      <c r="C195" s="118" t="s">
        <v>5953</v>
      </c>
      <c r="D195">
        <v>1</v>
      </c>
      <c r="E195" t="s">
        <v>5954</v>
      </c>
      <c r="F195" s="81" t="s">
        <v>921</v>
      </c>
      <c r="G195" s="81" t="s">
        <v>922</v>
      </c>
      <c r="H195" s="3">
        <f t="shared" si="8"/>
        <v>1587.625</v>
      </c>
      <c r="I195" s="3">
        <v>254.02</v>
      </c>
    </row>
    <row r="196" spans="1:9">
      <c r="A196" t="s">
        <v>2163</v>
      </c>
      <c r="B196" s="1">
        <v>41589</v>
      </c>
      <c r="C196" s="118" t="s">
        <v>6149</v>
      </c>
      <c r="D196">
        <v>1</v>
      </c>
      <c r="E196" t="s">
        <v>5653</v>
      </c>
      <c r="F196" s="81" t="s">
        <v>6295</v>
      </c>
      <c r="G196" s="81" t="s">
        <v>6296</v>
      </c>
      <c r="H196" s="3">
        <f t="shared" si="8"/>
        <v>43.4375</v>
      </c>
      <c r="I196" s="3">
        <v>6.95</v>
      </c>
    </row>
    <row r="197" spans="1:9" ht="16.5" customHeight="1">
      <c r="A197" t="s">
        <v>6127</v>
      </c>
      <c r="B197" s="1">
        <v>41592</v>
      </c>
      <c r="C197" s="118" t="s">
        <v>6128</v>
      </c>
      <c r="D197">
        <v>1</v>
      </c>
      <c r="E197" t="s">
        <v>6129</v>
      </c>
      <c r="F197" s="32" t="s">
        <v>946</v>
      </c>
      <c r="G197" t="s">
        <v>948</v>
      </c>
      <c r="H197" s="3">
        <f t="shared" si="8"/>
        <v>2300</v>
      </c>
      <c r="I197" s="3">
        <v>368</v>
      </c>
    </row>
    <row r="198" spans="1:9">
      <c r="A198" t="s">
        <v>4856</v>
      </c>
      <c r="B198" s="1">
        <v>41600</v>
      </c>
      <c r="C198" s="118" t="s">
        <v>5947</v>
      </c>
      <c r="D198">
        <v>1</v>
      </c>
      <c r="E198" t="s">
        <v>5948</v>
      </c>
      <c r="F198" s="81" t="s">
        <v>921</v>
      </c>
      <c r="G198" s="81" t="s">
        <v>922</v>
      </c>
      <c r="H198" s="3">
        <f t="shared" si="8"/>
        <v>3571.125</v>
      </c>
      <c r="I198" s="3">
        <v>571.38</v>
      </c>
    </row>
    <row r="199" spans="1:9">
      <c r="A199" t="s">
        <v>3409</v>
      </c>
      <c r="B199" s="1">
        <v>41579</v>
      </c>
      <c r="C199" s="120">
        <v>41579</v>
      </c>
      <c r="D199">
        <v>1</v>
      </c>
      <c r="E199" t="s">
        <v>5</v>
      </c>
      <c r="F199" s="18" t="s">
        <v>816</v>
      </c>
      <c r="G199" s="19" t="s">
        <v>817</v>
      </c>
      <c r="H199" s="3">
        <f t="shared" si="8"/>
        <v>107142.875</v>
      </c>
      <c r="I199" s="3">
        <v>17142.86</v>
      </c>
    </row>
    <row r="200" spans="1:9">
      <c r="A200" t="s">
        <v>5792</v>
      </c>
      <c r="B200" s="1">
        <v>41579</v>
      </c>
      <c r="C200" s="120">
        <v>41579</v>
      </c>
      <c r="D200">
        <v>1</v>
      </c>
      <c r="E200" t="s">
        <v>2</v>
      </c>
      <c r="F200" s="18" t="s">
        <v>843</v>
      </c>
      <c r="G200" s="19" t="s">
        <v>844</v>
      </c>
      <c r="H200" s="3">
        <f t="shared" si="8"/>
        <v>107142.875</v>
      </c>
      <c r="I200" s="3">
        <v>17142.86</v>
      </c>
    </row>
    <row r="201" spans="1:9">
      <c r="A201" t="s">
        <v>14</v>
      </c>
      <c r="B201" s="1">
        <v>41583</v>
      </c>
      <c r="C201" s="118" t="s">
        <v>6136</v>
      </c>
      <c r="D201">
        <v>1</v>
      </c>
      <c r="E201" t="s">
        <v>694</v>
      </c>
      <c r="F201" s="81" t="s">
        <v>931</v>
      </c>
      <c r="G201" s="81" t="s">
        <v>4895</v>
      </c>
      <c r="H201" s="3">
        <f t="shared" si="8"/>
        <v>39884.6875</v>
      </c>
      <c r="I201" s="3">
        <v>6381.55</v>
      </c>
    </row>
    <row r="202" spans="1:9">
      <c r="A202" t="s">
        <v>5868</v>
      </c>
      <c r="B202" s="1">
        <v>41593</v>
      </c>
      <c r="C202" s="118" t="s">
        <v>5869</v>
      </c>
      <c r="D202">
        <v>1</v>
      </c>
      <c r="E202" t="s">
        <v>57</v>
      </c>
      <c r="F202" s="84" t="s">
        <v>921</v>
      </c>
      <c r="G202" s="81" t="s">
        <v>922</v>
      </c>
      <c r="H202" s="3">
        <f t="shared" si="8"/>
        <v>18486.9375</v>
      </c>
      <c r="I202" s="3">
        <v>2957.91</v>
      </c>
    </row>
    <row r="203" spans="1:9">
      <c r="A203" t="s">
        <v>1416</v>
      </c>
      <c r="B203" s="1">
        <v>41607</v>
      </c>
      <c r="C203" s="118" t="s">
        <v>6060</v>
      </c>
      <c r="D203">
        <v>1</v>
      </c>
      <c r="E203" t="s">
        <v>57</v>
      </c>
      <c r="F203" s="84" t="s">
        <v>921</v>
      </c>
      <c r="G203" s="81" t="s">
        <v>922</v>
      </c>
      <c r="H203" s="3">
        <f t="shared" si="8"/>
        <v>3823.5</v>
      </c>
      <c r="I203" s="3">
        <v>611.76</v>
      </c>
    </row>
    <row r="204" spans="1:9">
      <c r="A204" t="s">
        <v>5944</v>
      </c>
      <c r="B204" s="1">
        <v>41600</v>
      </c>
      <c r="C204" s="118" t="s">
        <v>5945</v>
      </c>
      <c r="D204">
        <v>1</v>
      </c>
      <c r="E204" t="s">
        <v>5946</v>
      </c>
      <c r="F204" s="81" t="s">
        <v>921</v>
      </c>
      <c r="G204" s="81" t="s">
        <v>922</v>
      </c>
      <c r="H204" s="3">
        <f t="shared" si="8"/>
        <v>15945.1875</v>
      </c>
      <c r="I204" s="3">
        <v>2551.23</v>
      </c>
    </row>
    <row r="205" spans="1:9">
      <c r="A205" t="s">
        <v>5088</v>
      </c>
      <c r="B205" s="1">
        <v>41592</v>
      </c>
      <c r="C205" s="118" t="s">
        <v>6160</v>
      </c>
      <c r="D205">
        <v>1</v>
      </c>
      <c r="E205" t="s">
        <v>83</v>
      </c>
      <c r="F205" s="28" t="s">
        <v>877</v>
      </c>
      <c r="G205" s="28" t="s">
        <v>223</v>
      </c>
      <c r="H205" s="3">
        <f t="shared" si="8"/>
        <v>20221.4375</v>
      </c>
      <c r="I205" s="3">
        <v>3235.43</v>
      </c>
    </row>
    <row r="206" spans="1:9">
      <c r="A206" t="s">
        <v>2842</v>
      </c>
      <c r="B206" s="1">
        <v>41607</v>
      </c>
      <c r="C206" s="118" t="s">
        <v>6235</v>
      </c>
      <c r="D206">
        <v>1</v>
      </c>
      <c r="E206" t="s">
        <v>83</v>
      </c>
      <c r="F206" s="28" t="s">
        <v>877</v>
      </c>
      <c r="G206" s="28" t="s">
        <v>223</v>
      </c>
      <c r="H206" s="3">
        <f t="shared" si="8"/>
        <v>14820.3125</v>
      </c>
      <c r="I206" s="3">
        <v>2371.25</v>
      </c>
    </row>
    <row r="207" spans="1:9">
      <c r="A207" t="s">
        <v>4711</v>
      </c>
      <c r="B207" s="1">
        <v>41608</v>
      </c>
      <c r="C207" s="118">
        <v>9320</v>
      </c>
      <c r="D207">
        <v>1</v>
      </c>
      <c r="E207" t="s">
        <v>1449</v>
      </c>
      <c r="F207" s="87" t="s">
        <v>1615</v>
      </c>
      <c r="G207" s="81" t="s">
        <v>1449</v>
      </c>
      <c r="H207" s="3">
        <f t="shared" si="8"/>
        <v>67.5</v>
      </c>
      <c r="I207" s="3">
        <v>10.8</v>
      </c>
    </row>
    <row r="208" spans="1:9">
      <c r="A208" t="s">
        <v>545</v>
      </c>
      <c r="B208" s="1">
        <v>41608</v>
      </c>
      <c r="C208" s="118">
        <v>9334</v>
      </c>
      <c r="D208">
        <v>1</v>
      </c>
      <c r="E208" t="s">
        <v>1449</v>
      </c>
      <c r="F208" s="87" t="s">
        <v>1615</v>
      </c>
      <c r="G208" s="81" t="s">
        <v>1449</v>
      </c>
      <c r="H208" s="3">
        <f t="shared" si="8"/>
        <v>175.3125</v>
      </c>
      <c r="I208" s="3">
        <v>28.05</v>
      </c>
    </row>
    <row r="209" spans="1:12">
      <c r="A209" t="s">
        <v>559</v>
      </c>
      <c r="B209" s="1">
        <v>41608</v>
      </c>
      <c r="C209" s="118">
        <v>9340</v>
      </c>
      <c r="D209">
        <v>1</v>
      </c>
      <c r="E209" t="s">
        <v>1449</v>
      </c>
      <c r="F209" s="87" t="s">
        <v>1615</v>
      </c>
      <c r="G209" s="81" t="s">
        <v>1449</v>
      </c>
      <c r="H209" s="3">
        <f t="shared" si="8"/>
        <v>133.125</v>
      </c>
      <c r="I209" s="3">
        <v>21.3</v>
      </c>
    </row>
    <row r="210" spans="1:12">
      <c r="A210" t="s">
        <v>619</v>
      </c>
      <c r="B210" s="1">
        <v>41608</v>
      </c>
      <c r="C210" s="118" t="s">
        <v>6086</v>
      </c>
      <c r="D210">
        <v>1</v>
      </c>
      <c r="E210" t="s">
        <v>5358</v>
      </c>
      <c r="F210" s="81" t="s">
        <v>2302</v>
      </c>
      <c r="G210" s="81" t="s">
        <v>5358</v>
      </c>
      <c r="H210" s="3">
        <f t="shared" si="8"/>
        <v>258.9375</v>
      </c>
      <c r="I210" s="3">
        <v>41.43</v>
      </c>
    </row>
    <row r="211" spans="1:12">
      <c r="A211" t="s">
        <v>5019</v>
      </c>
      <c r="B211" s="1">
        <v>41608</v>
      </c>
      <c r="C211" s="118" t="s">
        <v>6087</v>
      </c>
      <c r="D211">
        <v>1</v>
      </c>
      <c r="E211" t="s">
        <v>5358</v>
      </c>
      <c r="F211" s="81" t="s">
        <v>2302</v>
      </c>
      <c r="G211" s="81" t="s">
        <v>5358</v>
      </c>
      <c r="H211" s="3">
        <f t="shared" si="8"/>
        <v>258.9375</v>
      </c>
      <c r="I211" s="3">
        <v>41.43</v>
      </c>
    </row>
    <row r="212" spans="1:12">
      <c r="A212" t="s">
        <v>621</v>
      </c>
      <c r="B212" s="1">
        <v>41608</v>
      </c>
      <c r="C212" s="118" t="s">
        <v>6088</v>
      </c>
      <c r="D212">
        <v>1</v>
      </c>
      <c r="E212" t="s">
        <v>5358</v>
      </c>
      <c r="F212" s="81" t="s">
        <v>2302</v>
      </c>
      <c r="G212" s="81" t="s">
        <v>5358</v>
      </c>
      <c r="H212" s="3">
        <f t="shared" si="8"/>
        <v>258.9375</v>
      </c>
      <c r="I212" s="3">
        <v>41.43</v>
      </c>
    </row>
    <row r="213" spans="1:12">
      <c r="A213" t="s">
        <v>4581</v>
      </c>
      <c r="B213" s="1">
        <v>41608</v>
      </c>
      <c r="C213" s="118" t="s">
        <v>6089</v>
      </c>
      <c r="D213">
        <v>1</v>
      </c>
      <c r="E213" t="s">
        <v>5358</v>
      </c>
      <c r="F213" s="81" t="s">
        <v>2302</v>
      </c>
      <c r="G213" s="81" t="s">
        <v>5358</v>
      </c>
      <c r="H213" s="3">
        <f t="shared" si="8"/>
        <v>258.9375</v>
      </c>
      <c r="I213" s="3">
        <v>41.43</v>
      </c>
    </row>
    <row r="214" spans="1:12">
      <c r="A214" t="s">
        <v>582</v>
      </c>
      <c r="B214" s="1">
        <v>41608</v>
      </c>
      <c r="C214" s="118">
        <v>9349</v>
      </c>
      <c r="D214">
        <v>1</v>
      </c>
      <c r="E214" t="s">
        <v>584</v>
      </c>
      <c r="F214" s="87" t="s">
        <v>818</v>
      </c>
      <c r="G214" s="81" t="s">
        <v>584</v>
      </c>
      <c r="H214" s="3">
        <f t="shared" si="8"/>
        <v>358.5</v>
      </c>
      <c r="I214" s="3">
        <v>57.36</v>
      </c>
    </row>
    <row r="215" spans="1:12">
      <c r="A215" t="s">
        <v>597</v>
      </c>
      <c r="B215" s="1">
        <v>41608</v>
      </c>
      <c r="C215" s="118">
        <v>9360</v>
      </c>
      <c r="D215">
        <v>1</v>
      </c>
      <c r="E215" t="s">
        <v>584</v>
      </c>
      <c r="F215" s="87" t="s">
        <v>818</v>
      </c>
      <c r="G215" s="81" t="s">
        <v>584</v>
      </c>
      <c r="H215" s="3">
        <f t="shared" si="8"/>
        <v>387.375</v>
      </c>
      <c r="I215" s="3">
        <v>61.98</v>
      </c>
    </row>
    <row r="216" spans="1:12">
      <c r="A216" t="s">
        <v>317</v>
      </c>
      <c r="B216" s="1">
        <v>41601</v>
      </c>
      <c r="C216" s="118" t="s">
        <v>6200</v>
      </c>
      <c r="D216">
        <v>1</v>
      </c>
      <c r="E216" t="s">
        <v>97</v>
      </c>
      <c r="F216" s="81" t="s">
        <v>820</v>
      </c>
      <c r="G216" s="81" t="s">
        <v>97</v>
      </c>
      <c r="H216" s="3">
        <f t="shared" si="8"/>
        <v>3507.125</v>
      </c>
      <c r="I216" s="3">
        <v>561.14</v>
      </c>
    </row>
    <row r="217" spans="1:12">
      <c r="A217" t="s">
        <v>5777</v>
      </c>
      <c r="B217" s="1">
        <v>41598</v>
      </c>
      <c r="C217" s="118" t="s">
        <v>5896</v>
      </c>
      <c r="D217">
        <v>1</v>
      </c>
      <c r="E217" t="s">
        <v>2692</v>
      </c>
      <c r="F217" s="81" t="s">
        <v>2860</v>
      </c>
      <c r="G217" s="81" t="s">
        <v>2692</v>
      </c>
      <c r="H217" s="3">
        <f t="shared" si="8"/>
        <v>580</v>
      </c>
      <c r="I217" s="3">
        <v>92.8</v>
      </c>
    </row>
    <row r="218" spans="1:12">
      <c r="A218" t="s">
        <v>3658</v>
      </c>
      <c r="B218" s="1">
        <v>41584</v>
      </c>
      <c r="C218" s="118" t="s">
        <v>6139</v>
      </c>
      <c r="D218">
        <v>1</v>
      </c>
      <c r="E218" t="s">
        <v>177</v>
      </c>
      <c r="F218" s="70" t="s">
        <v>954</v>
      </c>
      <c r="G218" s="28" t="s">
        <v>2351</v>
      </c>
      <c r="H218" s="47">
        <f>I218/0.16</f>
        <v>292.5</v>
      </c>
      <c r="I218" s="47">
        <v>46.8</v>
      </c>
      <c r="J218" s="3"/>
      <c r="K218" s="3"/>
    </row>
    <row r="219" spans="1:12">
      <c r="A219" t="s">
        <v>3658</v>
      </c>
      <c r="B219" s="1">
        <v>41584</v>
      </c>
      <c r="C219" s="118" t="s">
        <v>6139</v>
      </c>
      <c r="D219">
        <v>1</v>
      </c>
      <c r="E219" t="s">
        <v>177</v>
      </c>
      <c r="F219" s="32" t="s">
        <v>946</v>
      </c>
      <c r="G219" s="28" t="s">
        <v>948</v>
      </c>
      <c r="H219" s="47">
        <f>I219/0.16</f>
        <v>14.624999999999998</v>
      </c>
      <c r="I219" s="47">
        <v>2.34</v>
      </c>
      <c r="J219" s="3"/>
      <c r="K219" s="3"/>
    </row>
    <row r="220" spans="1:12">
      <c r="A220" t="s">
        <v>3658</v>
      </c>
      <c r="B220" s="1">
        <v>41584</v>
      </c>
      <c r="C220" s="118" t="s">
        <v>6139</v>
      </c>
      <c r="D220">
        <v>1</v>
      </c>
      <c r="E220" t="s">
        <v>177</v>
      </c>
      <c r="F220" s="70" t="s">
        <v>954</v>
      </c>
      <c r="G220" s="28" t="s">
        <v>2351</v>
      </c>
      <c r="H220" s="47">
        <f>I220/0.16</f>
        <v>167.0625</v>
      </c>
      <c r="I220" s="47">
        <v>26.73</v>
      </c>
      <c r="J220" s="14">
        <f>474.19-H218-H220-H219</f>
        <v>2.4999999999995026E-3</v>
      </c>
      <c r="K220" s="14">
        <f>75.87-I218-I220-I219</f>
        <v>7.1054273576010019E-15</v>
      </c>
      <c r="L220" t="s">
        <v>900</v>
      </c>
    </row>
    <row r="221" spans="1:12">
      <c r="A221" t="s">
        <v>2797</v>
      </c>
      <c r="B221" s="1">
        <v>41601</v>
      </c>
      <c r="C221" s="118" t="s">
        <v>6190</v>
      </c>
      <c r="D221">
        <v>1</v>
      </c>
      <c r="E221" t="s">
        <v>49</v>
      </c>
      <c r="F221" s="81" t="s">
        <v>838</v>
      </c>
      <c r="G221" s="81" t="s">
        <v>49</v>
      </c>
      <c r="H221" s="3">
        <f t="shared" ref="H221:H252" si="9">+I221/0.16</f>
        <v>129.3125</v>
      </c>
      <c r="I221" s="3">
        <v>20.69</v>
      </c>
    </row>
    <row r="222" spans="1:12">
      <c r="A222" t="s">
        <v>307</v>
      </c>
      <c r="B222" s="1">
        <v>41601</v>
      </c>
      <c r="C222" s="118" t="s">
        <v>6199</v>
      </c>
      <c r="D222">
        <v>1</v>
      </c>
      <c r="E222" t="s">
        <v>2157</v>
      </c>
      <c r="F222" s="81" t="s">
        <v>2305</v>
      </c>
      <c r="G222" s="81" t="s">
        <v>2157</v>
      </c>
      <c r="H222" s="3">
        <f t="shared" si="9"/>
        <v>1720</v>
      </c>
      <c r="I222" s="3">
        <v>275.2</v>
      </c>
    </row>
    <row r="223" spans="1:12">
      <c r="A223" t="s">
        <v>371</v>
      </c>
      <c r="B223" s="1">
        <v>41607</v>
      </c>
      <c r="C223" s="118" t="s">
        <v>6238</v>
      </c>
      <c r="D223">
        <v>1</v>
      </c>
      <c r="E223" t="s">
        <v>229</v>
      </c>
      <c r="F223" s="81" t="s">
        <v>839</v>
      </c>
      <c r="G223" s="81" t="s">
        <v>229</v>
      </c>
      <c r="H223" s="3">
        <f t="shared" si="9"/>
        <v>3457.875</v>
      </c>
      <c r="I223" s="3">
        <v>553.26</v>
      </c>
    </row>
    <row r="224" spans="1:12">
      <c r="A224" t="s">
        <v>2831</v>
      </c>
      <c r="B224" s="1">
        <v>41607</v>
      </c>
      <c r="C224" s="118" t="s">
        <v>6228</v>
      </c>
      <c r="D224">
        <v>1</v>
      </c>
      <c r="E224" t="s">
        <v>6229</v>
      </c>
      <c r="F224" s="81" t="s">
        <v>6297</v>
      </c>
      <c r="G224" s="81" t="s">
        <v>6229</v>
      </c>
      <c r="H224" s="3">
        <f t="shared" si="9"/>
        <v>9021</v>
      </c>
      <c r="I224" s="3">
        <v>1443.36</v>
      </c>
    </row>
    <row r="225" spans="1:9">
      <c r="A225" t="s">
        <v>527</v>
      </c>
      <c r="B225" s="1">
        <v>41608</v>
      </c>
      <c r="C225" s="118">
        <v>9316</v>
      </c>
      <c r="D225">
        <v>1</v>
      </c>
      <c r="E225" t="s">
        <v>4570</v>
      </c>
      <c r="F225" s="87" t="s">
        <v>847</v>
      </c>
      <c r="G225" s="81" t="s">
        <v>4570</v>
      </c>
      <c r="H225" s="3">
        <f t="shared" si="9"/>
        <v>81.0625</v>
      </c>
      <c r="I225" s="3">
        <v>12.97</v>
      </c>
    </row>
    <row r="226" spans="1:9">
      <c r="A226" t="s">
        <v>211</v>
      </c>
      <c r="B226" s="1">
        <v>41593</v>
      </c>
      <c r="C226" s="118" t="s">
        <v>6174</v>
      </c>
      <c r="D226">
        <v>2</v>
      </c>
      <c r="E226" t="s">
        <v>127</v>
      </c>
      <c r="F226" s="81" t="s">
        <v>849</v>
      </c>
      <c r="G226" s="81" t="s">
        <v>127</v>
      </c>
      <c r="H226" s="3">
        <f t="shared" si="9"/>
        <v>250</v>
      </c>
      <c r="I226" s="3">
        <v>40</v>
      </c>
    </row>
    <row r="227" spans="1:9">
      <c r="A227" t="s">
        <v>1259</v>
      </c>
      <c r="B227" s="1">
        <v>41601</v>
      </c>
      <c r="C227" s="118" t="s">
        <v>6194</v>
      </c>
      <c r="D227">
        <v>2</v>
      </c>
      <c r="E227" t="s">
        <v>127</v>
      </c>
      <c r="F227" s="81" t="s">
        <v>849</v>
      </c>
      <c r="G227" s="81" t="s">
        <v>127</v>
      </c>
      <c r="H227" s="3">
        <f t="shared" si="9"/>
        <v>3700</v>
      </c>
      <c r="I227" s="3">
        <v>592</v>
      </c>
    </row>
    <row r="228" spans="1:9">
      <c r="A228" t="s">
        <v>1134</v>
      </c>
      <c r="B228" s="1">
        <v>41592</v>
      </c>
      <c r="C228" s="118" t="s">
        <v>6161</v>
      </c>
      <c r="D228">
        <v>1</v>
      </c>
      <c r="E228" t="s">
        <v>86</v>
      </c>
      <c r="F228" s="81" t="s">
        <v>851</v>
      </c>
      <c r="G228" s="81" t="s">
        <v>86</v>
      </c>
      <c r="H228" s="3">
        <f t="shared" si="9"/>
        <v>1109.5</v>
      </c>
      <c r="I228" s="3">
        <v>177.52</v>
      </c>
    </row>
    <row r="229" spans="1:9">
      <c r="A229" t="s">
        <v>4281</v>
      </c>
      <c r="B229" s="1">
        <v>41601</v>
      </c>
      <c r="C229" s="118" t="s">
        <v>6198</v>
      </c>
      <c r="D229">
        <v>1</v>
      </c>
      <c r="E229" t="s">
        <v>86</v>
      </c>
      <c r="F229" s="81" t="s">
        <v>851</v>
      </c>
      <c r="G229" s="81" t="s">
        <v>86</v>
      </c>
      <c r="H229" s="3">
        <f t="shared" si="9"/>
        <v>364.5</v>
      </c>
      <c r="I229" s="3">
        <v>58.32</v>
      </c>
    </row>
    <row r="230" spans="1:9">
      <c r="A230" t="s">
        <v>271</v>
      </c>
      <c r="B230" s="1">
        <v>41607</v>
      </c>
      <c r="C230" s="118" t="s">
        <v>6236</v>
      </c>
      <c r="D230">
        <v>1</v>
      </c>
      <c r="E230" t="s">
        <v>86</v>
      </c>
      <c r="F230" s="81" t="s">
        <v>851</v>
      </c>
      <c r="G230" s="81" t="s">
        <v>86</v>
      </c>
      <c r="H230" s="3">
        <f t="shared" si="9"/>
        <v>2000.625</v>
      </c>
      <c r="I230" s="3">
        <v>320.10000000000002</v>
      </c>
    </row>
    <row r="231" spans="1:9">
      <c r="A231" t="s">
        <v>2675</v>
      </c>
      <c r="B231" s="1">
        <v>41608</v>
      </c>
      <c r="C231" s="118">
        <v>9336</v>
      </c>
      <c r="D231">
        <v>1</v>
      </c>
      <c r="E231" t="s">
        <v>578</v>
      </c>
      <c r="F231" s="87" t="s">
        <v>851</v>
      </c>
      <c r="G231" s="81" t="s">
        <v>578</v>
      </c>
      <c r="H231" s="3">
        <f t="shared" si="9"/>
        <v>117.12499999999999</v>
      </c>
      <c r="I231" s="3">
        <v>18.739999999999998</v>
      </c>
    </row>
    <row r="232" spans="1:9">
      <c r="A232" t="s">
        <v>677</v>
      </c>
      <c r="B232" s="1">
        <v>41608</v>
      </c>
      <c r="C232" s="118">
        <v>9391</v>
      </c>
      <c r="D232">
        <v>1</v>
      </c>
      <c r="E232" t="s">
        <v>578</v>
      </c>
      <c r="F232" s="81" t="s">
        <v>851</v>
      </c>
      <c r="G232" s="81" t="s">
        <v>578</v>
      </c>
      <c r="H232" s="3">
        <f t="shared" si="9"/>
        <v>378.4375</v>
      </c>
      <c r="I232" s="3">
        <v>60.55</v>
      </c>
    </row>
    <row r="233" spans="1:9">
      <c r="A233" t="s">
        <v>5927</v>
      </c>
      <c r="B233" s="1">
        <v>41599</v>
      </c>
      <c r="C233" s="118" t="s">
        <v>5928</v>
      </c>
      <c r="D233">
        <v>1</v>
      </c>
      <c r="E233" t="s">
        <v>2955</v>
      </c>
      <c r="F233" s="87" t="s">
        <v>856</v>
      </c>
      <c r="G233" s="81" t="s">
        <v>857</v>
      </c>
      <c r="H233" s="3">
        <f t="shared" si="9"/>
        <v>217444.0625</v>
      </c>
      <c r="I233" s="3">
        <v>34791.050000000003</v>
      </c>
    </row>
    <row r="234" spans="1:9">
      <c r="A234" t="s">
        <v>5823</v>
      </c>
      <c r="B234" s="1">
        <v>41587</v>
      </c>
      <c r="C234" s="118" t="s">
        <v>5824</v>
      </c>
      <c r="D234">
        <v>1</v>
      </c>
      <c r="E234" t="s">
        <v>2947</v>
      </c>
      <c r="F234" s="87" t="s">
        <v>856</v>
      </c>
      <c r="G234" s="81" t="s">
        <v>857</v>
      </c>
      <c r="H234" s="3">
        <f t="shared" si="9"/>
        <v>202725.8125</v>
      </c>
      <c r="I234" s="3">
        <v>32436.13</v>
      </c>
    </row>
    <row r="235" spans="1:9">
      <c r="A235" t="s">
        <v>6114</v>
      </c>
      <c r="B235" s="1">
        <v>41607</v>
      </c>
      <c r="C235" s="118" t="s">
        <v>6115</v>
      </c>
      <c r="D235">
        <v>1</v>
      </c>
      <c r="E235" t="s">
        <v>6116</v>
      </c>
      <c r="F235" s="67" t="s">
        <v>829</v>
      </c>
      <c r="G235" s="68" t="s">
        <v>6</v>
      </c>
      <c r="H235" s="3">
        <f t="shared" si="9"/>
        <v>547904.3125</v>
      </c>
      <c r="I235" s="3">
        <v>87664.69</v>
      </c>
    </row>
    <row r="236" spans="1:9">
      <c r="A236" t="s">
        <v>2167</v>
      </c>
      <c r="B236" s="1">
        <v>41589</v>
      </c>
      <c r="C236" s="118" t="s">
        <v>6150</v>
      </c>
      <c r="D236">
        <v>2</v>
      </c>
      <c r="E236" t="s">
        <v>121</v>
      </c>
      <c r="F236" s="81" t="s">
        <v>858</v>
      </c>
      <c r="G236" s="81" t="s">
        <v>121</v>
      </c>
      <c r="H236" s="3">
        <f t="shared" si="9"/>
        <v>1750</v>
      </c>
      <c r="I236" s="3">
        <v>280</v>
      </c>
    </row>
    <row r="237" spans="1:9">
      <c r="A237" t="s">
        <v>638</v>
      </c>
      <c r="B237" s="1">
        <v>41608</v>
      </c>
      <c r="C237" s="118">
        <v>9377</v>
      </c>
      <c r="D237">
        <v>1</v>
      </c>
      <c r="E237" t="s">
        <v>6094</v>
      </c>
      <c r="F237" s="81" t="s">
        <v>2862</v>
      </c>
      <c r="G237" s="81" t="s">
        <v>6094</v>
      </c>
      <c r="H237" s="3">
        <f t="shared" si="9"/>
        <v>201.75</v>
      </c>
      <c r="I237" s="3">
        <v>32.28</v>
      </c>
    </row>
    <row r="238" spans="1:9">
      <c r="A238" t="s">
        <v>389</v>
      </c>
      <c r="B238" s="1">
        <v>41606</v>
      </c>
      <c r="C238" s="118" t="s">
        <v>6213</v>
      </c>
      <c r="D238">
        <v>1</v>
      </c>
      <c r="E238" t="s">
        <v>5700</v>
      </c>
      <c r="F238" s="81" t="s">
        <v>5771</v>
      </c>
      <c r="G238" s="81" t="s">
        <v>5700</v>
      </c>
      <c r="H238" s="3">
        <f t="shared" si="9"/>
        <v>7555.1249999999991</v>
      </c>
      <c r="I238" s="3">
        <v>1208.82</v>
      </c>
    </row>
    <row r="239" spans="1:9">
      <c r="A239" t="s">
        <v>1561</v>
      </c>
      <c r="B239" s="1">
        <v>41606</v>
      </c>
      <c r="C239" s="118" t="s">
        <v>6214</v>
      </c>
      <c r="D239">
        <v>1</v>
      </c>
      <c r="E239" t="s">
        <v>5700</v>
      </c>
      <c r="F239" s="81" t="s">
        <v>5771</v>
      </c>
      <c r="G239" s="81" t="s">
        <v>5700</v>
      </c>
      <c r="H239" s="3">
        <f t="shared" si="9"/>
        <v>17631.75</v>
      </c>
      <c r="I239" s="3">
        <v>2821.08</v>
      </c>
    </row>
    <row r="240" spans="1:9">
      <c r="A240" t="s">
        <v>709</v>
      </c>
      <c r="B240" s="1">
        <v>41607</v>
      </c>
      <c r="C240" s="118" t="s">
        <v>6225</v>
      </c>
      <c r="D240">
        <v>1</v>
      </c>
      <c r="E240" t="s">
        <v>174</v>
      </c>
      <c r="F240" s="81" t="s">
        <v>859</v>
      </c>
      <c r="G240" s="81" t="s">
        <v>174</v>
      </c>
      <c r="H240" s="3">
        <f t="shared" si="9"/>
        <v>4534.125</v>
      </c>
      <c r="I240" s="3">
        <v>725.46</v>
      </c>
    </row>
    <row r="241" spans="1:12">
      <c r="A241" t="s">
        <v>2572</v>
      </c>
      <c r="B241" s="1">
        <v>41608</v>
      </c>
      <c r="C241" s="118" t="s">
        <v>6071</v>
      </c>
      <c r="D241">
        <v>1</v>
      </c>
      <c r="E241" t="s">
        <v>6072</v>
      </c>
      <c r="F241" s="88" t="s">
        <v>1626</v>
      </c>
      <c r="G241" s="81" t="s">
        <v>1627</v>
      </c>
      <c r="H241" s="3">
        <f t="shared" si="9"/>
        <v>181607.4375</v>
      </c>
      <c r="I241" s="3">
        <v>29057.19</v>
      </c>
    </row>
    <row r="242" spans="1:12">
      <c r="A242" t="s">
        <v>1136</v>
      </c>
      <c r="B242" s="1">
        <v>41592</v>
      </c>
      <c r="C242" s="118" t="s">
        <v>6162</v>
      </c>
      <c r="D242">
        <v>2</v>
      </c>
      <c r="E242" t="s">
        <v>6163</v>
      </c>
      <c r="F242" s="81" t="s">
        <v>6298</v>
      </c>
      <c r="G242" s="81" t="s">
        <v>6163</v>
      </c>
      <c r="H242" s="3">
        <f t="shared" si="9"/>
        <v>1416</v>
      </c>
      <c r="I242" s="3">
        <v>226.56</v>
      </c>
    </row>
    <row r="243" spans="1:12">
      <c r="A243" t="s">
        <v>536</v>
      </c>
      <c r="B243" s="1">
        <v>41608</v>
      </c>
      <c r="C243" s="118">
        <v>9318</v>
      </c>
      <c r="D243">
        <v>1</v>
      </c>
      <c r="E243" t="s">
        <v>1965</v>
      </c>
      <c r="F243" s="87" t="s">
        <v>740</v>
      </c>
      <c r="G243" s="81" t="s">
        <v>1965</v>
      </c>
      <c r="H243" s="3">
        <f t="shared" si="9"/>
        <v>88</v>
      </c>
      <c r="I243" s="3">
        <v>14.08</v>
      </c>
    </row>
    <row r="244" spans="1:12">
      <c r="A244" t="s">
        <v>5860</v>
      </c>
      <c r="B244" s="1">
        <v>41593</v>
      </c>
      <c r="C244" s="118" t="s">
        <v>5861</v>
      </c>
      <c r="D244">
        <v>1</v>
      </c>
      <c r="E244" t="s">
        <v>5862</v>
      </c>
      <c r="F244" s="81" t="s">
        <v>6299</v>
      </c>
      <c r="G244" s="81" t="s">
        <v>5862</v>
      </c>
      <c r="H244" s="3">
        <f t="shared" si="9"/>
        <v>224993.125</v>
      </c>
      <c r="I244" s="3">
        <v>35998.9</v>
      </c>
    </row>
    <row r="245" spans="1:12">
      <c r="A245" t="s">
        <v>3223</v>
      </c>
      <c r="B245" s="1">
        <v>41584</v>
      </c>
      <c r="C245" s="118" t="s">
        <v>6140</v>
      </c>
      <c r="D245">
        <v>2</v>
      </c>
      <c r="E245" t="s">
        <v>158</v>
      </c>
      <c r="F245" s="81" t="s">
        <v>865</v>
      </c>
      <c r="G245" s="81" t="s">
        <v>158</v>
      </c>
      <c r="H245" s="3">
        <f t="shared" si="9"/>
        <v>6160</v>
      </c>
      <c r="I245" s="3">
        <v>985.6</v>
      </c>
    </row>
    <row r="246" spans="1:12">
      <c r="A246" t="s">
        <v>268</v>
      </c>
      <c r="B246" s="1">
        <v>41607</v>
      </c>
      <c r="C246" s="118" t="s">
        <v>6233</v>
      </c>
      <c r="D246">
        <v>2</v>
      </c>
      <c r="E246" t="s">
        <v>158</v>
      </c>
      <c r="F246" s="81" t="s">
        <v>865</v>
      </c>
      <c r="G246" s="81" t="s">
        <v>158</v>
      </c>
      <c r="H246" s="3">
        <f t="shared" si="9"/>
        <v>2560</v>
      </c>
      <c r="I246" s="3">
        <v>409.6</v>
      </c>
    </row>
    <row r="247" spans="1:12">
      <c r="A247" t="s">
        <v>5993</v>
      </c>
      <c r="B247" s="1">
        <v>41605</v>
      </c>
      <c r="C247" s="118" t="s">
        <v>5994</v>
      </c>
      <c r="D247">
        <v>1</v>
      </c>
      <c r="E247" t="s">
        <v>5995</v>
      </c>
      <c r="F247" s="87" t="s">
        <v>865</v>
      </c>
      <c r="G247" s="81" t="s">
        <v>5995</v>
      </c>
      <c r="H247" s="3">
        <f t="shared" si="9"/>
        <v>800</v>
      </c>
      <c r="I247" s="3">
        <v>128</v>
      </c>
    </row>
    <row r="248" spans="1:12">
      <c r="A248" t="s">
        <v>5989</v>
      </c>
      <c r="B248" s="1">
        <v>41605</v>
      </c>
      <c r="C248" s="118" t="s">
        <v>5990</v>
      </c>
      <c r="D248">
        <v>1</v>
      </c>
      <c r="E248" t="s">
        <v>5026</v>
      </c>
      <c r="F248" s="87" t="s">
        <v>1601</v>
      </c>
      <c r="G248" s="87" t="s">
        <v>6300</v>
      </c>
      <c r="H248" s="3">
        <f t="shared" si="9"/>
        <v>775.875</v>
      </c>
      <c r="I248" s="3">
        <v>124.14</v>
      </c>
    </row>
    <row r="249" spans="1:12">
      <c r="A249" t="s">
        <v>5991</v>
      </c>
      <c r="B249" s="1">
        <v>41605</v>
      </c>
      <c r="C249" s="118" t="s">
        <v>5992</v>
      </c>
      <c r="D249">
        <v>1</v>
      </c>
      <c r="E249" t="s">
        <v>5026</v>
      </c>
      <c r="F249" s="87" t="s">
        <v>1601</v>
      </c>
      <c r="G249" s="87" t="s">
        <v>6300</v>
      </c>
      <c r="H249" s="3">
        <f t="shared" si="9"/>
        <v>350</v>
      </c>
      <c r="I249" s="3">
        <v>56</v>
      </c>
    </row>
    <row r="250" spans="1:12">
      <c r="A250" t="s">
        <v>201</v>
      </c>
      <c r="B250" s="1">
        <v>41593</v>
      </c>
      <c r="C250" s="118" t="s">
        <v>6169</v>
      </c>
      <c r="D250">
        <v>2</v>
      </c>
      <c r="E250" t="s">
        <v>94</v>
      </c>
      <c r="F250" s="81" t="s">
        <v>868</v>
      </c>
      <c r="G250" s="81" t="s">
        <v>94</v>
      </c>
      <c r="H250" s="3">
        <f t="shared" si="9"/>
        <v>29400</v>
      </c>
      <c r="I250" s="3">
        <v>4704</v>
      </c>
    </row>
    <row r="251" spans="1:12">
      <c r="A251" t="s">
        <v>327</v>
      </c>
      <c r="B251" s="1">
        <v>41601</v>
      </c>
      <c r="C251" s="118" t="s">
        <v>6203</v>
      </c>
      <c r="D251">
        <v>2</v>
      </c>
      <c r="E251" t="s">
        <v>94</v>
      </c>
      <c r="F251" s="81" t="s">
        <v>868</v>
      </c>
      <c r="G251" s="81" t="s">
        <v>94</v>
      </c>
      <c r="H251" s="3">
        <f t="shared" si="9"/>
        <v>3800</v>
      </c>
      <c r="I251" s="3">
        <v>608</v>
      </c>
    </row>
    <row r="252" spans="1:12">
      <c r="A252" t="s">
        <v>5668</v>
      </c>
      <c r="B252" s="1">
        <v>41607</v>
      </c>
      <c r="C252" s="118" t="s">
        <v>6242</v>
      </c>
      <c r="D252">
        <v>2</v>
      </c>
      <c r="E252" t="s">
        <v>94</v>
      </c>
      <c r="F252" s="81" t="s">
        <v>868</v>
      </c>
      <c r="G252" s="81" t="s">
        <v>94</v>
      </c>
      <c r="H252" s="3">
        <f t="shared" si="9"/>
        <v>16250</v>
      </c>
      <c r="I252" s="3">
        <v>2600</v>
      </c>
    </row>
    <row r="253" spans="1:12">
      <c r="A253" t="s">
        <v>5804</v>
      </c>
      <c r="B253" s="1">
        <v>41586</v>
      </c>
      <c r="C253" s="118" t="s">
        <v>5805</v>
      </c>
      <c r="D253">
        <v>1</v>
      </c>
      <c r="E253" t="s">
        <v>5806</v>
      </c>
      <c r="F253" s="125" t="s">
        <v>873</v>
      </c>
      <c r="G253" s="126" t="s">
        <v>874</v>
      </c>
      <c r="H253" s="3">
        <f t="shared" ref="H253:H284" si="10">+I253/0.16</f>
        <v>410351.5625</v>
      </c>
      <c r="I253" s="3">
        <v>65656.25</v>
      </c>
    </row>
    <row r="254" spans="1:12">
      <c r="A254" t="s">
        <v>3250</v>
      </c>
      <c r="B254" s="1">
        <v>41593</v>
      </c>
      <c r="C254" s="118" t="s">
        <v>6171</v>
      </c>
      <c r="D254">
        <v>1</v>
      </c>
      <c r="E254" t="s">
        <v>71</v>
      </c>
      <c r="F254" s="28" t="s">
        <v>943</v>
      </c>
      <c r="G254" s="28" t="s">
        <v>71</v>
      </c>
      <c r="H254" s="3">
        <f t="shared" si="10"/>
        <v>720.6875</v>
      </c>
      <c r="I254" s="3">
        <v>115.31</v>
      </c>
    </row>
    <row r="255" spans="1:12">
      <c r="A255" t="s">
        <v>329</v>
      </c>
      <c r="B255" s="1">
        <v>41601</v>
      </c>
      <c r="C255" s="118" t="s">
        <v>6204</v>
      </c>
      <c r="D255">
        <v>1</v>
      </c>
      <c r="E255" t="s">
        <v>71</v>
      </c>
      <c r="F255" s="28" t="s">
        <v>943</v>
      </c>
      <c r="G255" s="28" t="s">
        <v>71</v>
      </c>
      <c r="H255" s="3">
        <f t="shared" si="10"/>
        <v>73.6875</v>
      </c>
      <c r="I255" s="3">
        <v>11.79</v>
      </c>
      <c r="J255" s="14" t="e">
        <f>+H255-#REF!</f>
        <v>#REF!</v>
      </c>
      <c r="K255" s="14" t="e">
        <f>+I255-#REF!</f>
        <v>#REF!</v>
      </c>
      <c r="L255" t="s">
        <v>900</v>
      </c>
    </row>
    <row r="256" spans="1:12">
      <c r="A256" t="s">
        <v>2696</v>
      </c>
      <c r="B256" s="1">
        <v>41608</v>
      </c>
      <c r="C256" s="118">
        <v>9352</v>
      </c>
      <c r="D256">
        <v>1</v>
      </c>
      <c r="E256" t="s">
        <v>6083</v>
      </c>
      <c r="F256" s="87" t="s">
        <v>6301</v>
      </c>
      <c r="G256" s="81" t="s">
        <v>6083</v>
      </c>
      <c r="H256" s="3">
        <f t="shared" si="10"/>
        <v>84.25</v>
      </c>
      <c r="I256" s="3">
        <v>13.48</v>
      </c>
    </row>
    <row r="257" spans="1:11">
      <c r="A257" t="s">
        <v>6262</v>
      </c>
      <c r="B257" s="1">
        <v>41597</v>
      </c>
      <c r="C257" s="118" t="s">
        <v>6263</v>
      </c>
      <c r="D257">
        <v>1</v>
      </c>
      <c r="E257" t="s">
        <v>306</v>
      </c>
      <c r="F257" s="81" t="s">
        <v>876</v>
      </c>
      <c r="G257" s="81" t="s">
        <v>306</v>
      </c>
      <c r="H257" s="3">
        <f t="shared" si="10"/>
        <v>32753.6875</v>
      </c>
      <c r="I257" s="3">
        <v>5240.59</v>
      </c>
    </row>
    <row r="258" spans="1:11">
      <c r="A258" t="s">
        <v>5003</v>
      </c>
      <c r="B258" s="1">
        <v>41608</v>
      </c>
      <c r="C258" s="118">
        <v>9358</v>
      </c>
      <c r="D258">
        <v>1</v>
      </c>
      <c r="E258" t="s">
        <v>4985</v>
      </c>
      <c r="F258" s="87" t="s">
        <v>5196</v>
      </c>
      <c r="G258" s="81" t="s">
        <v>4985</v>
      </c>
      <c r="H258" s="3">
        <f t="shared" si="10"/>
        <v>125.37499999999999</v>
      </c>
      <c r="I258" s="3">
        <v>20.059999999999999</v>
      </c>
    </row>
    <row r="259" spans="1:11">
      <c r="A259" t="s">
        <v>6008</v>
      </c>
      <c r="B259" s="1">
        <v>41605</v>
      </c>
      <c r="C259" s="118" t="s">
        <v>6009</v>
      </c>
      <c r="D259">
        <v>1</v>
      </c>
      <c r="E259" t="s">
        <v>5534</v>
      </c>
      <c r="F259" s="87" t="s">
        <v>4355</v>
      </c>
      <c r="G259" s="81" t="s">
        <v>5534</v>
      </c>
      <c r="H259" s="3">
        <f t="shared" si="10"/>
        <v>77.5625</v>
      </c>
      <c r="I259" s="3">
        <v>12.41</v>
      </c>
    </row>
    <row r="260" spans="1:11">
      <c r="A260" t="s">
        <v>1129</v>
      </c>
      <c r="B260" s="1">
        <v>41592</v>
      </c>
      <c r="C260" s="118" t="s">
        <v>6158</v>
      </c>
      <c r="D260">
        <v>1</v>
      </c>
      <c r="E260" t="s">
        <v>52</v>
      </c>
      <c r="F260" s="81" t="s">
        <v>879</v>
      </c>
      <c r="G260" s="81" t="s">
        <v>52</v>
      </c>
      <c r="H260" s="3">
        <f t="shared" si="10"/>
        <v>1897.4374999999998</v>
      </c>
      <c r="I260" s="3">
        <v>303.58999999999997</v>
      </c>
    </row>
    <row r="261" spans="1:11">
      <c r="A261" t="s">
        <v>2807</v>
      </c>
      <c r="B261" s="1">
        <v>41606</v>
      </c>
      <c r="C261" s="118" t="s">
        <v>6209</v>
      </c>
      <c r="D261">
        <v>1</v>
      </c>
      <c r="E261" t="s">
        <v>968</v>
      </c>
      <c r="F261" s="81" t="s">
        <v>1632</v>
      </c>
      <c r="G261" s="81" t="s">
        <v>968</v>
      </c>
      <c r="H261" s="3">
        <f t="shared" si="10"/>
        <v>13806.75</v>
      </c>
      <c r="I261" s="3">
        <v>2209.08</v>
      </c>
    </row>
    <row r="262" spans="1:11">
      <c r="A262" t="s">
        <v>3303</v>
      </c>
      <c r="B262" s="1">
        <v>41606</v>
      </c>
      <c r="C262" s="118" t="s">
        <v>6210</v>
      </c>
      <c r="D262">
        <v>1</v>
      </c>
      <c r="E262" t="s">
        <v>968</v>
      </c>
      <c r="F262" s="81" t="s">
        <v>1632</v>
      </c>
      <c r="G262" s="81" t="s">
        <v>968</v>
      </c>
      <c r="H262" s="3">
        <f t="shared" si="10"/>
        <v>6445</v>
      </c>
      <c r="I262" s="3">
        <v>1031.2</v>
      </c>
    </row>
    <row r="263" spans="1:11">
      <c r="A263" t="s">
        <v>585</v>
      </c>
      <c r="B263" s="1">
        <v>41608</v>
      </c>
      <c r="C263" s="118">
        <v>9353</v>
      </c>
      <c r="D263">
        <v>1</v>
      </c>
      <c r="E263" t="s">
        <v>590</v>
      </c>
      <c r="F263" s="87" t="s">
        <v>882</v>
      </c>
      <c r="G263" s="81" t="s">
        <v>590</v>
      </c>
      <c r="H263" s="3">
        <f t="shared" si="10"/>
        <v>328</v>
      </c>
      <c r="I263" s="3">
        <v>52.48</v>
      </c>
    </row>
    <row r="264" spans="1:11">
      <c r="A264" t="s">
        <v>5305</v>
      </c>
      <c r="B264" s="1">
        <v>41586</v>
      </c>
      <c r="C264" s="118" t="s">
        <v>5817</v>
      </c>
      <c r="D264">
        <v>1</v>
      </c>
      <c r="E264" t="s">
        <v>5818</v>
      </c>
      <c r="F264" s="81" t="s">
        <v>3376</v>
      </c>
      <c r="G264" s="81" t="s">
        <v>3056</v>
      </c>
      <c r="H264" s="3">
        <f t="shared" si="10"/>
        <v>237670.75</v>
      </c>
      <c r="I264" s="3">
        <v>38027.32</v>
      </c>
    </row>
    <row r="265" spans="1:11">
      <c r="A265" t="s">
        <v>2422</v>
      </c>
      <c r="B265" s="1">
        <v>41597</v>
      </c>
      <c r="C265" s="118" t="s">
        <v>5872</v>
      </c>
      <c r="D265">
        <v>1</v>
      </c>
      <c r="E265" t="s">
        <v>5873</v>
      </c>
      <c r="F265" s="81" t="s">
        <v>1633</v>
      </c>
      <c r="G265" s="81" t="s">
        <v>1634</v>
      </c>
      <c r="H265" s="3">
        <f t="shared" si="10"/>
        <v>181607.4375</v>
      </c>
      <c r="I265" s="3">
        <v>29057.19</v>
      </c>
    </row>
    <row r="266" spans="1:11">
      <c r="A266" t="s">
        <v>5923</v>
      </c>
      <c r="B266" s="1">
        <v>41599</v>
      </c>
      <c r="C266" s="118" t="s">
        <v>5872</v>
      </c>
      <c r="D266">
        <v>1</v>
      </c>
      <c r="E266" t="s">
        <v>5873</v>
      </c>
      <c r="F266" s="81" t="s">
        <v>1633</v>
      </c>
      <c r="G266" s="81" t="s">
        <v>1634</v>
      </c>
      <c r="H266" s="3">
        <f t="shared" si="10"/>
        <v>-181607.4375</v>
      </c>
      <c r="I266" s="3">
        <v>-29057.19</v>
      </c>
    </row>
    <row r="267" spans="1:11">
      <c r="A267" t="s">
        <v>5807</v>
      </c>
      <c r="B267" s="1">
        <v>41586</v>
      </c>
      <c r="C267" s="118" t="s">
        <v>5808</v>
      </c>
      <c r="D267">
        <v>1</v>
      </c>
      <c r="E267" t="s">
        <v>5809</v>
      </c>
      <c r="F267" s="127" t="s">
        <v>1635</v>
      </c>
      <c r="G267" s="128" t="s">
        <v>1636</v>
      </c>
      <c r="H267" s="3">
        <f t="shared" si="10"/>
        <v>169608.1875</v>
      </c>
      <c r="I267" s="3">
        <v>27137.31</v>
      </c>
    </row>
    <row r="268" spans="1:11">
      <c r="A268" t="s">
        <v>6020</v>
      </c>
      <c r="B268" s="1">
        <v>41605</v>
      </c>
      <c r="C268" s="118" t="s">
        <v>5808</v>
      </c>
      <c r="D268">
        <v>1</v>
      </c>
      <c r="E268" t="s">
        <v>5809</v>
      </c>
      <c r="F268" s="127" t="s">
        <v>1635</v>
      </c>
      <c r="G268" s="128" t="s">
        <v>1636</v>
      </c>
      <c r="H268" s="3">
        <f t="shared" si="10"/>
        <v>-169608.1875</v>
      </c>
      <c r="I268" s="3">
        <v>-27137.31</v>
      </c>
    </row>
    <row r="269" spans="1:11">
      <c r="A269" t="s">
        <v>1374</v>
      </c>
      <c r="B269" s="1">
        <v>41606</v>
      </c>
      <c r="C269" s="118" t="s">
        <v>6035</v>
      </c>
      <c r="D269">
        <v>1</v>
      </c>
      <c r="E269" t="s">
        <v>6036</v>
      </c>
      <c r="F269" s="91" t="s">
        <v>1635</v>
      </c>
      <c r="G269" s="81" t="s">
        <v>4522</v>
      </c>
      <c r="H269" s="3">
        <f t="shared" si="10"/>
        <v>311102.9375</v>
      </c>
      <c r="I269" s="3">
        <v>49776.47</v>
      </c>
    </row>
    <row r="270" spans="1:11">
      <c r="A270" t="s">
        <v>5788</v>
      </c>
      <c r="B270" s="1">
        <v>41579</v>
      </c>
      <c r="C270" s="118" t="s">
        <v>5420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10"/>
        <v>-180602.62499999997</v>
      </c>
      <c r="I270" s="3">
        <v>-28896.42</v>
      </c>
      <c r="J270" s="46"/>
      <c r="K270" s="50"/>
    </row>
    <row r="271" spans="1:11">
      <c r="A271" t="s">
        <v>5789</v>
      </c>
      <c r="B271" s="1">
        <v>41579</v>
      </c>
      <c r="C271" s="118" t="s">
        <v>5420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10"/>
        <v>181607.4375</v>
      </c>
      <c r="I271" s="3">
        <v>29057.19</v>
      </c>
      <c r="J271" s="46"/>
      <c r="K271" s="46"/>
    </row>
    <row r="272" spans="1:11">
      <c r="A272" t="s">
        <v>5790</v>
      </c>
      <c r="B272" s="1">
        <v>41579</v>
      </c>
      <c r="C272" s="118" t="s">
        <v>5522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0"/>
        <v>-330512.6875</v>
      </c>
      <c r="I272" s="3">
        <v>-52882.03</v>
      </c>
      <c r="J272" s="46"/>
      <c r="K272" s="50"/>
    </row>
    <row r="273" spans="1:11">
      <c r="A273" t="s">
        <v>5791</v>
      </c>
      <c r="B273" s="1">
        <v>41579</v>
      </c>
      <c r="C273" s="118" t="s">
        <v>5523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0"/>
        <v>-176664.125</v>
      </c>
      <c r="I273" s="3">
        <v>-28266.26</v>
      </c>
      <c r="J273" s="46"/>
      <c r="K273" s="50"/>
    </row>
    <row r="274" spans="1:11">
      <c r="A274" t="s">
        <v>5793</v>
      </c>
      <c r="B274" s="1">
        <v>41583</v>
      </c>
      <c r="C274" s="118" t="s">
        <v>5794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0"/>
        <v>221634.8125</v>
      </c>
      <c r="I274" s="3">
        <v>35461.57</v>
      </c>
    </row>
    <row r="275" spans="1:11">
      <c r="A275" t="s">
        <v>4792</v>
      </c>
      <c r="B275" s="1">
        <v>41585</v>
      </c>
      <c r="C275" s="118" t="s">
        <v>5801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0"/>
        <v>323465.75</v>
      </c>
      <c r="I275" s="3">
        <v>51754.52</v>
      </c>
    </row>
    <row r="276" spans="1:11">
      <c r="A276" t="s">
        <v>5802</v>
      </c>
      <c r="B276" s="1">
        <v>41585</v>
      </c>
      <c r="C276" s="118" t="s">
        <v>5803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0"/>
        <v>169607.8125</v>
      </c>
      <c r="I276" s="3">
        <v>27137.25</v>
      </c>
    </row>
    <row r="277" spans="1:11">
      <c r="A277" t="s">
        <v>5810</v>
      </c>
      <c r="B277" s="1">
        <v>41586</v>
      </c>
      <c r="C277" s="118" t="s">
        <v>5811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0"/>
        <v>311102.9375</v>
      </c>
      <c r="I277" s="3">
        <v>49776.47</v>
      </c>
    </row>
    <row r="278" spans="1:11">
      <c r="A278" t="s">
        <v>3835</v>
      </c>
      <c r="B278" s="1">
        <v>41586</v>
      </c>
      <c r="C278" s="118" t="s">
        <v>5821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0"/>
        <v>297961.625</v>
      </c>
      <c r="I278" s="3">
        <v>47673.86</v>
      </c>
    </row>
    <row r="279" spans="1:11">
      <c r="A279" t="s">
        <v>1758</v>
      </c>
      <c r="B279" s="1">
        <v>41587</v>
      </c>
      <c r="C279" s="118" t="s">
        <v>5822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0"/>
        <v>181607.4375</v>
      </c>
      <c r="I279" s="3">
        <v>29057.19</v>
      </c>
    </row>
    <row r="280" spans="1:11">
      <c r="A280" t="s">
        <v>5825</v>
      </c>
      <c r="B280" s="1">
        <v>41587</v>
      </c>
      <c r="C280" s="118" t="s">
        <v>5826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0"/>
        <v>162082.3125</v>
      </c>
      <c r="I280" s="3">
        <v>25933.17</v>
      </c>
    </row>
    <row r="281" spans="1:11">
      <c r="A281" t="s">
        <v>5827</v>
      </c>
      <c r="B281" s="1">
        <v>41587</v>
      </c>
      <c r="C281" s="118" t="s">
        <v>5828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0"/>
        <v>169608.1875</v>
      </c>
      <c r="I281" s="3">
        <v>27137.31</v>
      </c>
    </row>
    <row r="282" spans="1:11">
      <c r="A282" t="s">
        <v>3838</v>
      </c>
      <c r="B282" s="1">
        <v>41587</v>
      </c>
      <c r="C282" s="118" t="s">
        <v>5829</v>
      </c>
      <c r="D282">
        <v>1</v>
      </c>
      <c r="E282" t="s">
        <v>6</v>
      </c>
      <c r="F282" s="30" t="s">
        <v>886</v>
      </c>
      <c r="G282" s="31" t="s">
        <v>887</v>
      </c>
      <c r="H282" s="3">
        <f t="shared" si="10"/>
        <v>195878.125</v>
      </c>
      <c r="I282" s="3">
        <v>31340.5</v>
      </c>
    </row>
    <row r="283" spans="1:11">
      <c r="A283" t="s">
        <v>5830</v>
      </c>
      <c r="B283" s="1">
        <v>41587</v>
      </c>
      <c r="C283" s="118" t="s">
        <v>5831</v>
      </c>
      <c r="D283">
        <v>1</v>
      </c>
      <c r="E283" t="s">
        <v>6</v>
      </c>
      <c r="F283" s="30" t="s">
        <v>886</v>
      </c>
      <c r="G283" s="31" t="s">
        <v>887</v>
      </c>
      <c r="H283" s="3">
        <f t="shared" si="10"/>
        <v>224993.125</v>
      </c>
      <c r="I283" s="3">
        <v>35998.9</v>
      </c>
    </row>
    <row r="284" spans="1:11">
      <c r="A284" t="s">
        <v>5832</v>
      </c>
      <c r="B284" s="1">
        <v>41587</v>
      </c>
      <c r="C284" s="118" t="s">
        <v>5833</v>
      </c>
      <c r="D284">
        <v>1</v>
      </c>
      <c r="E284" t="s">
        <v>6</v>
      </c>
      <c r="F284" s="30" t="s">
        <v>886</v>
      </c>
      <c r="G284" s="31" t="s">
        <v>887</v>
      </c>
      <c r="H284" s="3">
        <f t="shared" si="10"/>
        <v>195878.125</v>
      </c>
      <c r="I284" s="3">
        <v>31340.5</v>
      </c>
    </row>
    <row r="285" spans="1:11">
      <c r="A285" t="s">
        <v>5834</v>
      </c>
      <c r="B285" s="1">
        <v>41587</v>
      </c>
      <c r="C285" s="118" t="s">
        <v>5835</v>
      </c>
      <c r="D285">
        <v>1</v>
      </c>
      <c r="E285" t="s">
        <v>6</v>
      </c>
      <c r="F285" s="30" t="s">
        <v>886</v>
      </c>
      <c r="G285" s="31" t="s">
        <v>887</v>
      </c>
      <c r="H285" s="3">
        <f t="shared" ref="H285:H316" si="11">+I285/0.16</f>
        <v>162082.3125</v>
      </c>
      <c r="I285" s="3">
        <v>25933.17</v>
      </c>
    </row>
    <row r="286" spans="1:11">
      <c r="A286" t="s">
        <v>5836</v>
      </c>
      <c r="B286" s="1">
        <v>41587</v>
      </c>
      <c r="C286" s="118" t="s">
        <v>5837</v>
      </c>
      <c r="D286">
        <v>1</v>
      </c>
      <c r="E286" t="s">
        <v>6</v>
      </c>
      <c r="F286" s="30" t="s">
        <v>886</v>
      </c>
      <c r="G286" s="31" t="s">
        <v>887</v>
      </c>
      <c r="H286" s="3">
        <f t="shared" si="11"/>
        <v>169607.8125</v>
      </c>
      <c r="I286" s="3">
        <v>27137.25</v>
      </c>
    </row>
    <row r="287" spans="1:11">
      <c r="A287" t="s">
        <v>2936</v>
      </c>
      <c r="B287" s="1">
        <v>41589</v>
      </c>
      <c r="C287" s="118" t="s">
        <v>5838</v>
      </c>
      <c r="D287">
        <v>1</v>
      </c>
      <c r="E287" t="s">
        <v>6</v>
      </c>
      <c r="F287" s="30" t="s">
        <v>886</v>
      </c>
      <c r="G287" s="31" t="s">
        <v>887</v>
      </c>
      <c r="H287" s="3">
        <f t="shared" si="11"/>
        <v>202725.8125</v>
      </c>
      <c r="I287" s="3">
        <v>32436.13</v>
      </c>
    </row>
    <row r="288" spans="1:11">
      <c r="A288" t="s">
        <v>5839</v>
      </c>
      <c r="B288" s="1">
        <v>41590</v>
      </c>
      <c r="C288" s="118" t="s">
        <v>5840</v>
      </c>
      <c r="D288">
        <v>1</v>
      </c>
      <c r="E288" t="s">
        <v>6</v>
      </c>
      <c r="F288" s="30" t="s">
        <v>886</v>
      </c>
      <c r="G288" s="31" t="s">
        <v>887</v>
      </c>
      <c r="H288" s="3">
        <f t="shared" si="11"/>
        <v>311102.9375</v>
      </c>
      <c r="I288" s="3">
        <v>49776.47</v>
      </c>
      <c r="J288" s="46"/>
      <c r="K288" s="46"/>
    </row>
    <row r="289" spans="1:11">
      <c r="A289" t="s">
        <v>4808</v>
      </c>
      <c r="B289" s="1">
        <v>41590</v>
      </c>
      <c r="C289" s="118" t="s">
        <v>5847</v>
      </c>
      <c r="D289">
        <v>1</v>
      </c>
      <c r="E289" t="s">
        <v>6</v>
      </c>
      <c r="F289" s="30" t="s">
        <v>886</v>
      </c>
      <c r="G289" s="31" t="s">
        <v>887</v>
      </c>
      <c r="H289" s="3">
        <f t="shared" si="11"/>
        <v>169608.1875</v>
      </c>
      <c r="I289" s="3">
        <v>27137.31</v>
      </c>
      <c r="J289" s="46"/>
      <c r="K289" s="46"/>
    </row>
    <row r="290" spans="1:11">
      <c r="A290" t="s">
        <v>5850</v>
      </c>
      <c r="B290" s="1">
        <v>41591</v>
      </c>
      <c r="C290" s="118" t="s">
        <v>5851</v>
      </c>
      <c r="D290">
        <v>1</v>
      </c>
      <c r="E290" t="s">
        <v>6</v>
      </c>
      <c r="F290" s="30" t="s">
        <v>886</v>
      </c>
      <c r="G290" s="31" t="s">
        <v>887</v>
      </c>
      <c r="H290" s="3">
        <f t="shared" si="11"/>
        <v>187966.5</v>
      </c>
      <c r="I290" s="3">
        <v>30074.639999999999</v>
      </c>
      <c r="J290" s="46"/>
      <c r="K290" s="46"/>
    </row>
    <row r="291" spans="1:11">
      <c r="A291" t="s">
        <v>5877</v>
      </c>
      <c r="B291" s="1">
        <v>41597</v>
      </c>
      <c r="C291" s="118" t="s">
        <v>5878</v>
      </c>
      <c r="D291">
        <v>1</v>
      </c>
      <c r="E291" t="s">
        <v>6</v>
      </c>
      <c r="F291" s="30" t="s">
        <v>886</v>
      </c>
      <c r="G291" s="31" t="s">
        <v>887</v>
      </c>
      <c r="H291" s="3">
        <f t="shared" si="11"/>
        <v>181607.125</v>
      </c>
      <c r="I291" s="3">
        <v>29057.14</v>
      </c>
      <c r="J291" s="46"/>
      <c r="K291" s="46"/>
    </row>
    <row r="292" spans="1:11">
      <c r="A292" t="s">
        <v>5881</v>
      </c>
      <c r="B292" s="1">
        <v>41597</v>
      </c>
      <c r="C292" s="118" t="s">
        <v>5882</v>
      </c>
      <c r="D292">
        <v>1</v>
      </c>
      <c r="E292" t="s">
        <v>6</v>
      </c>
      <c r="F292" s="30" t="s">
        <v>886</v>
      </c>
      <c r="G292" s="31" t="s">
        <v>887</v>
      </c>
      <c r="H292" s="3">
        <f t="shared" si="11"/>
        <v>181607.125</v>
      </c>
      <c r="I292" s="3">
        <v>29057.14</v>
      </c>
      <c r="J292" s="46"/>
      <c r="K292" s="46"/>
    </row>
    <row r="293" spans="1:11">
      <c r="A293" t="s">
        <v>5884</v>
      </c>
      <c r="B293" s="1">
        <v>41597</v>
      </c>
      <c r="C293" s="118" t="s">
        <v>5885</v>
      </c>
      <c r="D293">
        <v>1</v>
      </c>
      <c r="E293" t="s">
        <v>6</v>
      </c>
      <c r="F293" s="30" t="s">
        <v>886</v>
      </c>
      <c r="G293" s="31" t="s">
        <v>887</v>
      </c>
      <c r="H293" s="3">
        <f t="shared" si="11"/>
        <v>187966.5</v>
      </c>
      <c r="I293" s="3">
        <v>30074.639999999999</v>
      </c>
      <c r="J293" s="46"/>
      <c r="K293" s="46"/>
    </row>
    <row r="294" spans="1:11">
      <c r="A294" t="s">
        <v>259</v>
      </c>
      <c r="B294" s="1">
        <v>41598</v>
      </c>
      <c r="C294" s="118" t="s">
        <v>5910</v>
      </c>
      <c r="D294">
        <v>1</v>
      </c>
      <c r="E294" t="s">
        <v>6</v>
      </c>
      <c r="F294" s="30" t="s">
        <v>886</v>
      </c>
      <c r="G294" s="31" t="s">
        <v>887</v>
      </c>
      <c r="H294" s="3">
        <f t="shared" si="11"/>
        <v>216185.75</v>
      </c>
      <c r="I294" s="3">
        <v>34589.72</v>
      </c>
    </row>
    <row r="295" spans="1:11">
      <c r="A295" t="s">
        <v>5911</v>
      </c>
      <c r="B295" s="1">
        <v>41598</v>
      </c>
      <c r="C295" s="118" t="s">
        <v>5821</v>
      </c>
      <c r="D295">
        <v>1</v>
      </c>
      <c r="E295" t="s">
        <v>6</v>
      </c>
      <c r="F295" s="30" t="s">
        <v>886</v>
      </c>
      <c r="G295" s="31" t="s">
        <v>887</v>
      </c>
      <c r="H295" s="3">
        <f t="shared" si="11"/>
        <v>-297961.625</v>
      </c>
      <c r="I295" s="3">
        <v>-47673.86</v>
      </c>
    </row>
    <row r="296" spans="1:11">
      <c r="A296" t="s">
        <v>5912</v>
      </c>
      <c r="B296" s="1">
        <v>41598</v>
      </c>
      <c r="C296" s="118" t="s">
        <v>5821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11"/>
        <v>296733.375</v>
      </c>
      <c r="I296" s="3">
        <v>47477.34</v>
      </c>
    </row>
    <row r="297" spans="1:11">
      <c r="A297" t="s">
        <v>5913</v>
      </c>
      <c r="B297" s="1">
        <v>41598</v>
      </c>
      <c r="C297" s="118" t="s">
        <v>5914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11"/>
        <v>296733.375</v>
      </c>
      <c r="I297" s="3">
        <v>47477.34</v>
      </c>
    </row>
    <row r="298" spans="1:11">
      <c r="A298" t="s">
        <v>5915</v>
      </c>
      <c r="B298" s="1">
        <v>41598</v>
      </c>
      <c r="C298" s="118" t="s">
        <v>5916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11"/>
        <v>346060.1875</v>
      </c>
      <c r="I298" s="3">
        <v>55369.63</v>
      </c>
    </row>
    <row r="299" spans="1:11">
      <c r="A299" t="s">
        <v>5921</v>
      </c>
      <c r="B299" s="1">
        <v>41599</v>
      </c>
      <c r="C299" s="118" t="s">
        <v>5922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11"/>
        <v>296733.375</v>
      </c>
      <c r="I299" s="3">
        <v>47477.34</v>
      </c>
    </row>
    <row r="300" spans="1:11">
      <c r="A300" t="s">
        <v>5929</v>
      </c>
      <c r="B300" s="1">
        <v>41599</v>
      </c>
      <c r="C300" s="118" t="s">
        <v>5930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11"/>
        <v>153703</v>
      </c>
      <c r="I300" s="3">
        <v>24592.48</v>
      </c>
    </row>
    <row r="301" spans="1:11">
      <c r="A301" t="s">
        <v>5931</v>
      </c>
      <c r="B301" s="1">
        <v>41599</v>
      </c>
      <c r="C301" s="118" t="s">
        <v>5932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11"/>
        <v>168134.0625</v>
      </c>
      <c r="I301" s="3">
        <v>26901.45</v>
      </c>
    </row>
    <row r="302" spans="1:11">
      <c r="A302" t="s">
        <v>264</v>
      </c>
      <c r="B302" s="1">
        <v>41599</v>
      </c>
      <c r="C302" s="118" t="s">
        <v>5933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11"/>
        <v>168134.0625</v>
      </c>
      <c r="I302" s="3">
        <v>26901.45</v>
      </c>
    </row>
    <row r="303" spans="1:11">
      <c r="A303" t="s">
        <v>266</v>
      </c>
      <c r="B303" s="1">
        <v>41599</v>
      </c>
      <c r="C303" s="118" t="s">
        <v>5934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11"/>
        <v>210084.93749999997</v>
      </c>
      <c r="I303" s="3">
        <v>33613.589999999997</v>
      </c>
    </row>
    <row r="304" spans="1:11">
      <c r="A304" t="s">
        <v>5935</v>
      </c>
      <c r="B304" s="1">
        <v>41599</v>
      </c>
      <c r="C304" s="118" t="s">
        <v>5936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11"/>
        <v>187966.5</v>
      </c>
      <c r="I304" s="3">
        <v>30074.639999999999</v>
      </c>
    </row>
    <row r="305" spans="1:9">
      <c r="A305" t="s">
        <v>5937</v>
      </c>
      <c r="B305" s="1">
        <v>41599</v>
      </c>
      <c r="C305" s="118" t="s">
        <v>5938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11"/>
        <v>187966.5</v>
      </c>
      <c r="I305" s="3">
        <v>30074.639999999999</v>
      </c>
    </row>
    <row r="306" spans="1:9">
      <c r="A306" t="s">
        <v>4864</v>
      </c>
      <c r="B306" s="1">
        <v>41600</v>
      </c>
      <c r="C306" s="118" t="s">
        <v>5955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11"/>
        <v>224993.125</v>
      </c>
      <c r="I306" s="3">
        <v>35998.9</v>
      </c>
    </row>
    <row r="307" spans="1:9">
      <c r="A307" t="s">
        <v>5956</v>
      </c>
      <c r="B307" s="1">
        <v>41600</v>
      </c>
      <c r="C307" s="118" t="s">
        <v>5957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11"/>
        <v>216185.75</v>
      </c>
      <c r="I307" s="3">
        <v>34589.72</v>
      </c>
    </row>
    <row r="308" spans="1:9">
      <c r="A308" t="s">
        <v>3496</v>
      </c>
      <c r="B308" s="1">
        <v>41603</v>
      </c>
      <c r="C308" s="118" t="s">
        <v>4534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11"/>
        <v>-182560.6875</v>
      </c>
      <c r="I308" s="3">
        <v>-29209.71</v>
      </c>
    </row>
    <row r="309" spans="1:9">
      <c r="A309" t="s">
        <v>5958</v>
      </c>
      <c r="B309" s="1">
        <v>41603</v>
      </c>
      <c r="C309" s="118" t="s">
        <v>5959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11"/>
        <v>355043.625</v>
      </c>
      <c r="I309" s="3">
        <v>56806.98</v>
      </c>
    </row>
    <row r="310" spans="1:9">
      <c r="A310" t="s">
        <v>5962</v>
      </c>
      <c r="B310" s="1">
        <v>41603</v>
      </c>
      <c r="C310" s="118" t="s">
        <v>4535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11"/>
        <v>-212747.3125</v>
      </c>
      <c r="I310" s="3">
        <v>-34039.57</v>
      </c>
    </row>
    <row r="311" spans="1:9">
      <c r="A311" t="s">
        <v>1291</v>
      </c>
      <c r="B311" s="1">
        <v>41603</v>
      </c>
      <c r="C311" s="118" t="s">
        <v>4537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11"/>
        <v>-212747.3125</v>
      </c>
      <c r="I311" s="3">
        <v>-34039.57</v>
      </c>
    </row>
    <row r="312" spans="1:9">
      <c r="A312" t="s">
        <v>3945</v>
      </c>
      <c r="B312" s="1">
        <v>41603</v>
      </c>
      <c r="C312" s="118" t="s">
        <v>5964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11"/>
        <v>224993.125</v>
      </c>
      <c r="I312" s="3">
        <v>35998.9</v>
      </c>
    </row>
    <row r="313" spans="1:9">
      <c r="A313" t="s">
        <v>3969</v>
      </c>
      <c r="B313" s="1">
        <v>41604</v>
      </c>
      <c r="C313" s="118" t="s">
        <v>5982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11"/>
        <v>181607.4375</v>
      </c>
      <c r="I313" s="3">
        <v>29057.19</v>
      </c>
    </row>
    <row r="314" spans="1:9">
      <c r="A314" t="s">
        <v>1353</v>
      </c>
      <c r="B314" s="1">
        <v>41605</v>
      </c>
      <c r="C314" s="118" t="s">
        <v>5494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11"/>
        <v>-311102.9375</v>
      </c>
      <c r="I314" s="3">
        <v>-49776.47</v>
      </c>
    </row>
    <row r="315" spans="1:9">
      <c r="A315" t="s">
        <v>6032</v>
      </c>
      <c r="B315" s="1">
        <v>41605</v>
      </c>
      <c r="C315" s="118" t="s">
        <v>6033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11"/>
        <v>217444.0625</v>
      </c>
      <c r="I315" s="3">
        <v>34791.050000000003</v>
      </c>
    </row>
    <row r="316" spans="1:9">
      <c r="A316" t="s">
        <v>362</v>
      </c>
      <c r="B316" s="1">
        <v>41605</v>
      </c>
      <c r="C316" s="118" t="s">
        <v>6034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si="11"/>
        <v>169608.1875</v>
      </c>
      <c r="I316" s="3">
        <v>27137.31</v>
      </c>
    </row>
    <row r="317" spans="1:9">
      <c r="A317" t="s">
        <v>6037</v>
      </c>
      <c r="B317" s="1">
        <v>41606</v>
      </c>
      <c r="C317" s="118" t="s">
        <v>6038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ref="H317:H339" si="12">+I317/0.16</f>
        <v>162082.3125</v>
      </c>
      <c r="I317" s="3">
        <v>25933.17</v>
      </c>
    </row>
    <row r="318" spans="1:9">
      <c r="A318" t="s">
        <v>374</v>
      </c>
      <c r="B318" s="1">
        <v>41606</v>
      </c>
      <c r="C318" s="118" t="s">
        <v>6039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12"/>
        <v>181607.4375</v>
      </c>
      <c r="I318" s="3">
        <v>29057.19</v>
      </c>
    </row>
    <row r="319" spans="1:9">
      <c r="A319" t="s">
        <v>1377</v>
      </c>
      <c r="B319" s="1">
        <v>41606</v>
      </c>
      <c r="C319" s="118" t="s">
        <v>6040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12"/>
        <v>259916.0625</v>
      </c>
      <c r="I319" s="3">
        <v>41586.57</v>
      </c>
    </row>
    <row r="320" spans="1:9">
      <c r="A320" t="s">
        <v>1928</v>
      </c>
      <c r="B320" s="1">
        <v>41606</v>
      </c>
      <c r="C320" s="118" t="s">
        <v>6041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12"/>
        <v>202725.8125</v>
      </c>
      <c r="I320" s="3">
        <v>32436.13</v>
      </c>
    </row>
    <row r="321" spans="1:9">
      <c r="A321" t="s">
        <v>1379</v>
      </c>
      <c r="B321" s="1">
        <v>41606</v>
      </c>
      <c r="C321" s="118" t="s">
        <v>6042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12"/>
        <v>202725.8125</v>
      </c>
      <c r="I321" s="3">
        <v>32436.13</v>
      </c>
    </row>
    <row r="322" spans="1:9">
      <c r="A322" t="s">
        <v>1934</v>
      </c>
      <c r="B322" s="1">
        <v>41606</v>
      </c>
      <c r="C322" s="118" t="s">
        <v>6043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12"/>
        <v>202725.8125</v>
      </c>
      <c r="I322" s="3">
        <v>32436.13</v>
      </c>
    </row>
    <row r="323" spans="1:9">
      <c r="A323" t="s">
        <v>6044</v>
      </c>
      <c r="B323" s="1">
        <v>41606</v>
      </c>
      <c r="C323" s="118" t="s">
        <v>6045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12"/>
        <v>187966.5</v>
      </c>
      <c r="I323" s="3">
        <v>30074.639999999999</v>
      </c>
    </row>
    <row r="324" spans="1:9">
      <c r="A324" t="s">
        <v>4518</v>
      </c>
      <c r="B324" s="1">
        <v>41606</v>
      </c>
      <c r="C324" s="118" t="s">
        <v>6046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12"/>
        <v>187966.5</v>
      </c>
      <c r="I324" s="3">
        <v>30074.639999999999</v>
      </c>
    </row>
    <row r="325" spans="1:9">
      <c r="A325" t="s">
        <v>6047</v>
      </c>
      <c r="B325" s="1">
        <v>41606</v>
      </c>
      <c r="C325" s="118" t="s">
        <v>6048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12"/>
        <v>180498.125</v>
      </c>
      <c r="I325" s="3">
        <v>28879.7</v>
      </c>
    </row>
    <row r="326" spans="1:9">
      <c r="A326" t="s">
        <v>6049</v>
      </c>
      <c r="B326" s="1">
        <v>41606</v>
      </c>
      <c r="C326" s="118" t="s">
        <v>6050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12"/>
        <v>202725.8125</v>
      </c>
      <c r="I326" s="3">
        <v>32436.13</v>
      </c>
    </row>
    <row r="327" spans="1:9">
      <c r="A327" t="s">
        <v>6051</v>
      </c>
      <c r="B327" s="1">
        <v>41606</v>
      </c>
      <c r="C327" s="118" t="s">
        <v>6052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12"/>
        <v>180498.125</v>
      </c>
      <c r="I327" s="3">
        <v>28879.7</v>
      </c>
    </row>
    <row r="328" spans="1:9">
      <c r="A328" t="s">
        <v>6053</v>
      </c>
      <c r="B328" s="1">
        <v>41606</v>
      </c>
      <c r="C328" s="118" t="s">
        <v>6054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12"/>
        <v>322089.875</v>
      </c>
      <c r="I328" s="3">
        <v>51534.38</v>
      </c>
    </row>
    <row r="329" spans="1:9">
      <c r="A329" t="s">
        <v>1382</v>
      </c>
      <c r="B329" s="1">
        <v>41606</v>
      </c>
      <c r="C329" s="118" t="s">
        <v>6055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12"/>
        <v>355043.625</v>
      </c>
      <c r="I329" s="3">
        <v>56806.98</v>
      </c>
    </row>
    <row r="330" spans="1:9">
      <c r="A330" t="s">
        <v>2495</v>
      </c>
      <c r="B330" s="1">
        <v>41606</v>
      </c>
      <c r="C330" s="118" t="s">
        <v>5263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12"/>
        <v>-202461.875</v>
      </c>
      <c r="I330" s="3">
        <v>-32393.9</v>
      </c>
    </row>
    <row r="331" spans="1:9">
      <c r="A331" t="s">
        <v>387</v>
      </c>
      <c r="B331" s="1">
        <v>41606</v>
      </c>
      <c r="C331" s="118" t="s">
        <v>5315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12"/>
        <v>-202461.875</v>
      </c>
      <c r="I331" s="3">
        <v>-32393.9</v>
      </c>
    </row>
    <row r="332" spans="1:9">
      <c r="A332" t="s">
        <v>6056</v>
      </c>
      <c r="B332" s="1">
        <v>41606</v>
      </c>
      <c r="C332" s="118" t="s">
        <v>6057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12"/>
        <v>224993.125</v>
      </c>
      <c r="I332" s="3">
        <v>35998.9</v>
      </c>
    </row>
    <row r="333" spans="1:9">
      <c r="A333" t="s">
        <v>1957</v>
      </c>
      <c r="B333" s="1">
        <v>41607</v>
      </c>
      <c r="C333" s="118" t="s">
        <v>5349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12"/>
        <v>-296733.375</v>
      </c>
      <c r="I333" s="3">
        <v>-47477.34</v>
      </c>
    </row>
    <row r="334" spans="1:9">
      <c r="A334" t="s">
        <v>1959</v>
      </c>
      <c r="B334" s="1">
        <v>41607</v>
      </c>
      <c r="C334" s="118" t="s">
        <v>5349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12"/>
        <v>297961.625</v>
      </c>
      <c r="I334" s="3">
        <v>47673.86</v>
      </c>
    </row>
    <row r="335" spans="1:9">
      <c r="A335" t="s">
        <v>1686</v>
      </c>
      <c r="B335" s="1">
        <v>41608</v>
      </c>
      <c r="C335" s="118" t="s">
        <v>6070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12"/>
        <v>277621.375</v>
      </c>
      <c r="I335" s="3">
        <v>44419.42</v>
      </c>
    </row>
    <row r="336" spans="1:9">
      <c r="A336" t="s">
        <v>6120</v>
      </c>
      <c r="B336" s="1">
        <v>41608</v>
      </c>
      <c r="C336" s="118" t="s">
        <v>6121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12"/>
        <v>168129.625</v>
      </c>
      <c r="I336" s="3">
        <v>26900.74</v>
      </c>
    </row>
    <row r="337" spans="1:11">
      <c r="A337" t="s">
        <v>6122</v>
      </c>
      <c r="B337" s="1">
        <v>41608</v>
      </c>
      <c r="C337" s="118" t="s">
        <v>6123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12"/>
        <v>202725.8125</v>
      </c>
      <c r="I337" s="3">
        <v>32436.13</v>
      </c>
    </row>
    <row r="338" spans="1:11">
      <c r="A338" t="s">
        <v>4013</v>
      </c>
      <c r="B338" s="1">
        <v>41608</v>
      </c>
      <c r="C338" s="118" t="s">
        <v>6124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12"/>
        <v>202725.8125</v>
      </c>
      <c r="I338" s="3">
        <v>32436.13</v>
      </c>
    </row>
    <row r="339" spans="1:11">
      <c r="A339" t="s">
        <v>122</v>
      </c>
      <c r="B339" s="1">
        <v>41589</v>
      </c>
      <c r="C339" s="118" t="s">
        <v>6147</v>
      </c>
      <c r="D339">
        <v>1</v>
      </c>
      <c r="E339" t="s">
        <v>6</v>
      </c>
      <c r="F339" s="67" t="s">
        <v>829</v>
      </c>
      <c r="G339" s="68" t="s">
        <v>6</v>
      </c>
      <c r="H339" s="3">
        <f t="shared" si="12"/>
        <v>322964.125</v>
      </c>
      <c r="I339" s="3">
        <v>51674.26</v>
      </c>
    </row>
    <row r="340" spans="1:11">
      <c r="A340" t="s">
        <v>1345</v>
      </c>
      <c r="B340" s="1">
        <v>41605</v>
      </c>
      <c r="C340" s="118" t="s">
        <v>6014</v>
      </c>
      <c r="D340">
        <v>1</v>
      </c>
      <c r="E340" t="s">
        <v>6015</v>
      </c>
      <c r="F340" s="81" t="s">
        <v>5742</v>
      </c>
      <c r="G340" s="81" t="s">
        <v>5743</v>
      </c>
      <c r="H340" s="82">
        <f t="shared" ref="H340:H362" si="13">I340/0.16</f>
        <v>95</v>
      </c>
      <c r="I340" s="82">
        <v>15.2</v>
      </c>
      <c r="J340" s="3"/>
      <c r="K340" s="3"/>
    </row>
    <row r="341" spans="1:11">
      <c r="A341" t="s">
        <v>1345</v>
      </c>
      <c r="B341" s="1">
        <v>41605</v>
      </c>
      <c r="C341" s="118" t="s">
        <v>6014</v>
      </c>
      <c r="D341">
        <v>1</v>
      </c>
      <c r="E341" t="s">
        <v>6015</v>
      </c>
      <c r="F341" s="28" t="s">
        <v>2287</v>
      </c>
      <c r="G341" s="28" t="s">
        <v>2288</v>
      </c>
      <c r="H341" s="47">
        <f t="shared" si="13"/>
        <v>292.6875</v>
      </c>
      <c r="I341" s="47">
        <v>46.83</v>
      </c>
    </row>
    <row r="342" spans="1:11">
      <c r="A342" t="s">
        <v>1345</v>
      </c>
      <c r="B342" s="1">
        <v>41605</v>
      </c>
      <c r="C342" s="118" t="s">
        <v>6014</v>
      </c>
      <c r="D342">
        <v>1</v>
      </c>
      <c r="E342" t="s">
        <v>6015</v>
      </c>
      <c r="F342" s="32" t="s">
        <v>946</v>
      </c>
      <c r="G342" t="s">
        <v>947</v>
      </c>
      <c r="H342" s="46">
        <f t="shared" si="13"/>
        <v>663.125</v>
      </c>
      <c r="I342" s="46">
        <v>106.1</v>
      </c>
      <c r="J342" s="14">
        <f>1050.81-H340-H341-H342</f>
        <v>-2.5000000000545697E-3</v>
      </c>
      <c r="K342" s="14">
        <f>168.13-I340-I341-I342</f>
        <v>0</v>
      </c>
    </row>
    <row r="343" spans="1:11">
      <c r="A343" t="s">
        <v>5778</v>
      </c>
      <c r="B343" s="1">
        <v>41598</v>
      </c>
      <c r="C343" s="118" t="s">
        <v>5897</v>
      </c>
      <c r="D343">
        <v>1</v>
      </c>
      <c r="E343" t="s">
        <v>5898</v>
      </c>
      <c r="F343" s="28" t="s">
        <v>6302</v>
      </c>
      <c r="G343" s="28" t="s">
        <v>6303</v>
      </c>
      <c r="H343" s="47">
        <f t="shared" si="13"/>
        <v>376.3125</v>
      </c>
      <c r="I343" s="47">
        <v>60.21</v>
      </c>
      <c r="J343" s="3"/>
      <c r="K343" s="3"/>
    </row>
    <row r="344" spans="1:11">
      <c r="A344" t="s">
        <v>5778</v>
      </c>
      <c r="B344" s="1">
        <v>41598</v>
      </c>
      <c r="C344" s="118" t="s">
        <v>5897</v>
      </c>
      <c r="D344">
        <v>1</v>
      </c>
      <c r="E344" t="s">
        <v>5898</v>
      </c>
      <c r="F344" s="28" t="s">
        <v>923</v>
      </c>
      <c r="G344" s="28" t="s">
        <v>1657</v>
      </c>
      <c r="H344" s="47">
        <f t="shared" si="13"/>
        <v>41.8125</v>
      </c>
      <c r="I344" s="47">
        <v>6.69</v>
      </c>
      <c r="J344" s="3"/>
      <c r="K344" s="3"/>
    </row>
    <row r="345" spans="1:11">
      <c r="A345" t="s">
        <v>5778</v>
      </c>
      <c r="B345" s="1">
        <v>41598</v>
      </c>
      <c r="C345" s="118" t="s">
        <v>5897</v>
      </c>
      <c r="D345">
        <v>1</v>
      </c>
      <c r="E345" t="s">
        <v>5898</v>
      </c>
      <c r="F345" s="81" t="s">
        <v>3751</v>
      </c>
      <c r="G345" s="81" t="s">
        <v>4343</v>
      </c>
      <c r="H345" s="82">
        <f t="shared" si="13"/>
        <v>77.5625</v>
      </c>
      <c r="I345" s="82">
        <v>12.41</v>
      </c>
      <c r="J345" s="14"/>
    </row>
    <row r="346" spans="1:11">
      <c r="A346" t="s">
        <v>5778</v>
      </c>
      <c r="B346" s="1">
        <v>41598</v>
      </c>
      <c r="C346" s="118" t="s">
        <v>5897</v>
      </c>
      <c r="D346">
        <v>1</v>
      </c>
      <c r="E346" t="s">
        <v>5898</v>
      </c>
      <c r="F346" s="32" t="s">
        <v>946</v>
      </c>
      <c r="G346" t="s">
        <v>1581</v>
      </c>
      <c r="H346" s="3">
        <f t="shared" si="13"/>
        <v>258.75</v>
      </c>
      <c r="I346" s="46">
        <v>41.4</v>
      </c>
      <c r="J346" s="14">
        <f>754.44-H343-H344-H345-H346</f>
        <v>2.5000000000545697E-3</v>
      </c>
      <c r="K346" s="14">
        <f>120.71-I343-I344-I345-I346</f>
        <v>0</v>
      </c>
    </row>
    <row r="347" spans="1:11">
      <c r="A347" t="s">
        <v>6021</v>
      </c>
      <c r="B347" s="1">
        <v>41605</v>
      </c>
      <c r="C347" s="118" t="s">
        <v>6022</v>
      </c>
      <c r="D347">
        <v>1</v>
      </c>
      <c r="E347" t="s">
        <v>6023</v>
      </c>
      <c r="F347" s="32" t="s">
        <v>946</v>
      </c>
      <c r="G347" t="s">
        <v>947</v>
      </c>
      <c r="H347" s="3">
        <f t="shared" si="13"/>
        <v>176.8125</v>
      </c>
      <c r="I347" s="46">
        <v>28.29</v>
      </c>
      <c r="J347" s="3"/>
      <c r="K347" s="3"/>
    </row>
    <row r="348" spans="1:11">
      <c r="A348" t="s">
        <v>6021</v>
      </c>
      <c r="B348" s="1">
        <v>41605</v>
      </c>
      <c r="C348" s="118" t="s">
        <v>6022</v>
      </c>
      <c r="D348">
        <v>1</v>
      </c>
      <c r="E348" t="s">
        <v>6023</v>
      </c>
      <c r="F348" s="81" t="s">
        <v>6304</v>
      </c>
      <c r="G348" s="81" t="s">
        <v>6305</v>
      </c>
      <c r="H348" s="82">
        <f t="shared" si="13"/>
        <v>95</v>
      </c>
      <c r="I348" s="82">
        <v>15.2</v>
      </c>
    </row>
    <row r="349" spans="1:11">
      <c r="A349" t="s">
        <v>6021</v>
      </c>
      <c r="B349" s="1">
        <v>41605</v>
      </c>
      <c r="C349" s="118" t="s">
        <v>6022</v>
      </c>
      <c r="D349">
        <v>1</v>
      </c>
      <c r="E349" t="s">
        <v>6023</v>
      </c>
      <c r="F349" s="28" t="s">
        <v>2343</v>
      </c>
      <c r="G349" s="28" t="s">
        <v>2344</v>
      </c>
      <c r="H349" s="47">
        <f t="shared" si="13"/>
        <v>343</v>
      </c>
      <c r="I349" s="47">
        <v>54.88</v>
      </c>
      <c r="J349" s="14">
        <f>614.81-H347-H348-H349</f>
        <v>-2.5000000000545697E-3</v>
      </c>
      <c r="K349" s="14">
        <f>98.37-I347-I348-I349</f>
        <v>0</v>
      </c>
    </row>
    <row r="350" spans="1:11">
      <c r="A350" t="s">
        <v>1357</v>
      </c>
      <c r="B350" s="1">
        <v>41605</v>
      </c>
      <c r="C350" s="118" t="s">
        <v>6027</v>
      </c>
      <c r="D350">
        <v>1</v>
      </c>
      <c r="E350" t="s">
        <v>6028</v>
      </c>
      <c r="F350" s="81" t="s">
        <v>1649</v>
      </c>
      <c r="G350" s="81" t="s">
        <v>1650</v>
      </c>
      <c r="H350" s="82">
        <f t="shared" si="13"/>
        <v>76.75</v>
      </c>
      <c r="I350" s="82">
        <v>12.28</v>
      </c>
      <c r="J350" s="3"/>
      <c r="K350" s="3"/>
    </row>
    <row r="351" spans="1:11">
      <c r="A351" t="s">
        <v>1357</v>
      </c>
      <c r="B351" s="1">
        <v>41605</v>
      </c>
      <c r="C351" s="118" t="s">
        <v>6027</v>
      </c>
      <c r="D351">
        <v>1</v>
      </c>
      <c r="E351" t="s">
        <v>6028</v>
      </c>
      <c r="F351" s="81" t="s">
        <v>6306</v>
      </c>
      <c r="G351" s="81" t="s">
        <v>6307</v>
      </c>
      <c r="H351" s="82">
        <f t="shared" si="13"/>
        <v>627.4375</v>
      </c>
      <c r="I351" s="82">
        <v>100.39</v>
      </c>
    </row>
    <row r="352" spans="1:11">
      <c r="A352" t="s">
        <v>1357</v>
      </c>
      <c r="B352" s="1">
        <v>41605</v>
      </c>
      <c r="C352" s="118" t="s">
        <v>6027</v>
      </c>
      <c r="D352">
        <v>1</v>
      </c>
      <c r="E352" t="s">
        <v>6028</v>
      </c>
      <c r="F352" s="28" t="s">
        <v>923</v>
      </c>
      <c r="G352" s="28" t="s">
        <v>1657</v>
      </c>
      <c r="H352" s="47">
        <f t="shared" si="13"/>
        <v>250.875</v>
      </c>
      <c r="I352" s="47">
        <v>40.14</v>
      </c>
    </row>
    <row r="353" spans="1:11">
      <c r="A353" t="s">
        <v>1357</v>
      </c>
      <c r="B353" s="1">
        <v>41605</v>
      </c>
      <c r="C353" s="118" t="s">
        <v>6027</v>
      </c>
      <c r="D353">
        <v>1</v>
      </c>
      <c r="E353" t="s">
        <v>6028</v>
      </c>
      <c r="F353" s="32" t="s">
        <v>946</v>
      </c>
      <c r="G353" t="s">
        <v>947</v>
      </c>
      <c r="H353" s="46">
        <f t="shared" si="13"/>
        <v>175.875</v>
      </c>
      <c r="I353" s="46">
        <v>28.14</v>
      </c>
    </row>
    <row r="354" spans="1:11">
      <c r="A354" t="s">
        <v>1357</v>
      </c>
      <c r="B354" s="1">
        <v>41605</v>
      </c>
      <c r="C354" s="118" t="s">
        <v>6027</v>
      </c>
      <c r="D354">
        <v>1</v>
      </c>
      <c r="E354" t="s">
        <v>6028</v>
      </c>
      <c r="F354" s="32" t="s">
        <v>946</v>
      </c>
      <c r="G354" t="s">
        <v>1581</v>
      </c>
      <c r="H354" s="46">
        <f t="shared" si="13"/>
        <v>375.0625</v>
      </c>
      <c r="I354" s="46">
        <v>60.01</v>
      </c>
      <c r="J354" s="14">
        <f>1506-H350-H351-H352-H353-H354</f>
        <v>0</v>
      </c>
      <c r="K354" s="14">
        <f>240.96-I350-I351-I352-I353-I354</f>
        <v>0</v>
      </c>
    </row>
    <row r="355" spans="1:11">
      <c r="A355" t="s">
        <v>6024</v>
      </c>
      <c r="B355" s="1">
        <v>41605</v>
      </c>
      <c r="C355" s="118" t="s">
        <v>6025</v>
      </c>
      <c r="D355">
        <v>1</v>
      </c>
      <c r="E355" t="s">
        <v>6026</v>
      </c>
      <c r="F355" s="81" t="s">
        <v>1671</v>
      </c>
      <c r="G355" s="81" t="s">
        <v>5201</v>
      </c>
      <c r="H355" s="82">
        <f t="shared" si="13"/>
        <v>334.5</v>
      </c>
      <c r="I355" s="82">
        <v>53.52</v>
      </c>
      <c r="J355" s="3"/>
      <c r="K355" s="3"/>
    </row>
    <row r="356" spans="1:11">
      <c r="A356" t="s">
        <v>6024</v>
      </c>
      <c r="B356" s="1">
        <v>41605</v>
      </c>
      <c r="C356" s="118" t="s">
        <v>6025</v>
      </c>
      <c r="D356">
        <v>1</v>
      </c>
      <c r="E356" t="s">
        <v>6026</v>
      </c>
      <c r="F356" s="81" t="s">
        <v>1649</v>
      </c>
      <c r="G356" s="81" t="s">
        <v>1650</v>
      </c>
      <c r="H356" s="82">
        <f t="shared" si="13"/>
        <v>76.75</v>
      </c>
      <c r="I356" s="82">
        <v>12.28</v>
      </c>
    </row>
    <row r="357" spans="1:11">
      <c r="A357" t="s">
        <v>6024</v>
      </c>
      <c r="B357" s="1">
        <v>41605</v>
      </c>
      <c r="C357" s="118" t="s">
        <v>6025</v>
      </c>
      <c r="D357">
        <v>1</v>
      </c>
      <c r="E357" t="s">
        <v>6026</v>
      </c>
      <c r="F357" s="32" t="s">
        <v>946</v>
      </c>
      <c r="G357" t="s">
        <v>947</v>
      </c>
      <c r="H357" s="3">
        <f t="shared" si="13"/>
        <v>244.06249999999997</v>
      </c>
      <c r="I357" s="46">
        <v>39.049999999999997</v>
      </c>
      <c r="J357" s="14">
        <f>655.31-H355-H356-H357</f>
        <v>-2.500000000026148E-3</v>
      </c>
      <c r="K357" s="14">
        <f>104.85-I355-I356-I357</f>
        <v>0</v>
      </c>
    </row>
    <row r="358" spans="1:11">
      <c r="A358" t="s">
        <v>5975</v>
      </c>
      <c r="B358" s="1">
        <v>41604</v>
      </c>
      <c r="C358" s="118" t="s">
        <v>5976</v>
      </c>
      <c r="D358">
        <v>1</v>
      </c>
      <c r="E358" t="s">
        <v>5977</v>
      </c>
      <c r="F358" s="32" t="s">
        <v>946</v>
      </c>
      <c r="G358" s="33" t="s">
        <v>1581</v>
      </c>
      <c r="H358" s="46">
        <f t="shared" si="13"/>
        <v>56.0625</v>
      </c>
      <c r="I358" s="46">
        <v>8.9700000000000006</v>
      </c>
      <c r="J358" s="3"/>
      <c r="K358" s="3"/>
    </row>
    <row r="359" spans="1:11">
      <c r="A359" t="s">
        <v>5975</v>
      </c>
      <c r="B359" s="1">
        <v>41604</v>
      </c>
      <c r="C359" s="118" t="s">
        <v>5976</v>
      </c>
      <c r="D359">
        <v>1</v>
      </c>
      <c r="E359" t="s">
        <v>5977</v>
      </c>
      <c r="F359" s="28" t="s">
        <v>4349</v>
      </c>
      <c r="G359" s="28" t="s">
        <v>4720</v>
      </c>
      <c r="H359" s="47">
        <f t="shared" si="13"/>
        <v>334.5</v>
      </c>
      <c r="I359" s="47">
        <v>53.52</v>
      </c>
    </row>
    <row r="360" spans="1:11">
      <c r="A360" t="s">
        <v>5975</v>
      </c>
      <c r="B360" s="1">
        <v>41604</v>
      </c>
      <c r="C360" s="118" t="s">
        <v>5976</v>
      </c>
      <c r="D360">
        <v>1</v>
      </c>
      <c r="E360" t="s">
        <v>5977</v>
      </c>
      <c r="F360" s="28" t="s">
        <v>3353</v>
      </c>
      <c r="G360" s="28" t="s">
        <v>3354</v>
      </c>
      <c r="H360" s="47">
        <f t="shared" si="13"/>
        <v>83.625</v>
      </c>
      <c r="I360" s="47">
        <v>13.38</v>
      </c>
    </row>
    <row r="361" spans="1:11">
      <c r="A361" t="s">
        <v>5975</v>
      </c>
      <c r="B361" s="1">
        <v>41604</v>
      </c>
      <c r="C361" s="118" t="s">
        <v>5976</v>
      </c>
      <c r="D361">
        <v>1</v>
      </c>
      <c r="E361" t="s">
        <v>5977</v>
      </c>
      <c r="F361" s="81" t="s">
        <v>3751</v>
      </c>
      <c r="G361" s="81" t="s">
        <v>4343</v>
      </c>
      <c r="H361" s="82">
        <f t="shared" si="13"/>
        <v>86.187499999999986</v>
      </c>
      <c r="I361" s="82">
        <v>13.79</v>
      </c>
      <c r="J361" s="14"/>
      <c r="K361" s="14"/>
    </row>
    <row r="362" spans="1:11">
      <c r="A362" t="s">
        <v>5975</v>
      </c>
      <c r="B362" s="1">
        <v>41604</v>
      </c>
      <c r="C362" s="118" t="s">
        <v>5976</v>
      </c>
      <c r="D362">
        <v>1</v>
      </c>
      <c r="E362" t="s">
        <v>5977</v>
      </c>
      <c r="F362" s="32" t="s">
        <v>946</v>
      </c>
      <c r="G362" t="s">
        <v>1581</v>
      </c>
      <c r="H362" s="46">
        <f t="shared" si="13"/>
        <v>170.75</v>
      </c>
      <c r="I362" s="46">
        <v>27.32</v>
      </c>
      <c r="J362" s="14">
        <f>731.13-H358-H359-H360-H361-H362</f>
        <v>4.9999999999954525E-3</v>
      </c>
      <c r="K362" s="14">
        <f>116.98-I358-I359-I360-I361-I362</f>
        <v>0</v>
      </c>
    </row>
    <row r="363" spans="1:11">
      <c r="A363" t="s">
        <v>314</v>
      </c>
      <c r="B363" s="1">
        <v>41604</v>
      </c>
      <c r="C363" s="118" t="s">
        <v>5973</v>
      </c>
      <c r="D363">
        <v>1</v>
      </c>
      <c r="E363" t="s">
        <v>5974</v>
      </c>
      <c r="F363" s="32" t="s">
        <v>946</v>
      </c>
      <c r="G363" t="s">
        <v>947</v>
      </c>
      <c r="H363" s="3">
        <f>+I363/0.16</f>
        <v>56.0625</v>
      </c>
      <c r="I363" s="3">
        <v>8.9700000000000006</v>
      </c>
    </row>
    <row r="364" spans="1:11">
      <c r="A364" t="s">
        <v>4590</v>
      </c>
      <c r="B364" s="1">
        <v>41608</v>
      </c>
      <c r="C364" s="118" t="s">
        <v>6108</v>
      </c>
      <c r="D364">
        <v>1</v>
      </c>
      <c r="E364" t="s">
        <v>6109</v>
      </c>
      <c r="F364" s="32" t="s">
        <v>946</v>
      </c>
      <c r="G364" s="33" t="s">
        <v>1581</v>
      </c>
      <c r="H364" s="46">
        <f t="shared" ref="H364:H379" si="14">I364/0.16</f>
        <v>481.18749999999994</v>
      </c>
      <c r="I364" s="46">
        <v>76.989999999999995</v>
      </c>
      <c r="J364" s="3"/>
      <c r="K364" s="3"/>
    </row>
    <row r="365" spans="1:11">
      <c r="A365" t="s">
        <v>4590</v>
      </c>
      <c r="B365" s="1">
        <v>41608</v>
      </c>
      <c r="C365" s="118" t="s">
        <v>6108</v>
      </c>
      <c r="D365">
        <v>1</v>
      </c>
      <c r="E365" t="s">
        <v>6109</v>
      </c>
      <c r="F365" s="32" t="s">
        <v>946</v>
      </c>
      <c r="G365" t="s">
        <v>947</v>
      </c>
      <c r="H365" s="46">
        <f t="shared" si="14"/>
        <v>181.9375</v>
      </c>
      <c r="I365" s="46">
        <v>29.11</v>
      </c>
    </row>
    <row r="366" spans="1:11">
      <c r="A366" t="s">
        <v>4590</v>
      </c>
      <c r="B366" s="1">
        <v>41608</v>
      </c>
      <c r="C366" s="118" t="s">
        <v>6108</v>
      </c>
      <c r="D366">
        <v>1</v>
      </c>
      <c r="E366" t="s">
        <v>6109</v>
      </c>
      <c r="F366" s="28" t="s">
        <v>939</v>
      </c>
      <c r="G366" s="28" t="s">
        <v>940</v>
      </c>
      <c r="H366" s="47">
        <f t="shared" si="14"/>
        <v>334.5</v>
      </c>
      <c r="I366" s="82">
        <v>53.52</v>
      </c>
    </row>
    <row r="367" spans="1:11">
      <c r="A367" t="s">
        <v>4590</v>
      </c>
      <c r="B367" s="1">
        <v>41608</v>
      </c>
      <c r="C367" s="118" t="s">
        <v>6108</v>
      </c>
      <c r="D367">
        <v>1</v>
      </c>
      <c r="E367" t="s">
        <v>6109</v>
      </c>
      <c r="F367" s="81" t="s">
        <v>5203</v>
      </c>
      <c r="G367" s="81" t="s">
        <v>5204</v>
      </c>
      <c r="H367" s="82">
        <f t="shared" si="14"/>
        <v>86.187499999999986</v>
      </c>
      <c r="I367" s="82">
        <v>13.79</v>
      </c>
    </row>
    <row r="368" spans="1:11">
      <c r="A368" t="s">
        <v>4590</v>
      </c>
      <c r="B368" s="1">
        <v>41608</v>
      </c>
      <c r="C368" s="118" t="s">
        <v>6108</v>
      </c>
      <c r="D368">
        <v>1</v>
      </c>
      <c r="E368" t="s">
        <v>6109</v>
      </c>
      <c r="F368" s="28" t="s">
        <v>913</v>
      </c>
      <c r="G368" s="28" t="s">
        <v>914</v>
      </c>
      <c r="H368" s="47">
        <f t="shared" si="14"/>
        <v>851.375</v>
      </c>
      <c r="I368" s="47">
        <v>136.22</v>
      </c>
      <c r="J368" s="14">
        <f>1935.19-H364-H365-H366-H367-H368</f>
        <v>2.5000000000545697E-3</v>
      </c>
      <c r="K368" s="14">
        <f>309.63-I364-I365-I366-I367-I368</f>
        <v>0</v>
      </c>
    </row>
    <row r="369" spans="1:12">
      <c r="A369" t="s">
        <v>4587</v>
      </c>
      <c r="B369" s="1">
        <v>41608</v>
      </c>
      <c r="C369" s="118" t="s">
        <v>6096</v>
      </c>
      <c r="D369">
        <v>1</v>
      </c>
      <c r="E369" t="s">
        <v>6097</v>
      </c>
      <c r="F369" s="81" t="s">
        <v>941</v>
      </c>
      <c r="G369" s="81" t="s">
        <v>1641</v>
      </c>
      <c r="H369" s="82">
        <f t="shared" si="14"/>
        <v>66.375</v>
      </c>
      <c r="I369" s="82">
        <v>10.62</v>
      </c>
      <c r="J369" s="3"/>
      <c r="K369" s="3"/>
    </row>
    <row r="370" spans="1:12">
      <c r="A370" t="s">
        <v>4587</v>
      </c>
      <c r="B370" s="1">
        <v>41608</v>
      </c>
      <c r="C370" s="118" t="s">
        <v>6096</v>
      </c>
      <c r="D370">
        <v>1</v>
      </c>
      <c r="E370" t="s">
        <v>6097</v>
      </c>
      <c r="F370" s="28" t="s">
        <v>1651</v>
      </c>
      <c r="G370" s="28" t="s">
        <v>940</v>
      </c>
      <c r="H370" s="47">
        <f t="shared" si="14"/>
        <v>501.75</v>
      </c>
      <c r="I370" s="82">
        <v>80.28</v>
      </c>
    </row>
    <row r="371" spans="1:12">
      <c r="A371" t="s">
        <v>4587</v>
      </c>
      <c r="B371" s="1">
        <v>41608</v>
      </c>
      <c r="C371" s="118" t="s">
        <v>6096</v>
      </c>
      <c r="D371">
        <v>1</v>
      </c>
      <c r="E371" t="s">
        <v>6097</v>
      </c>
      <c r="F371" s="32" t="s">
        <v>946</v>
      </c>
      <c r="G371" s="33" t="s">
        <v>947</v>
      </c>
      <c r="H371" s="46">
        <f t="shared" si="14"/>
        <v>388</v>
      </c>
      <c r="I371" s="46">
        <v>62.08</v>
      </c>
      <c r="J371" s="14">
        <f>956.13-H369-H370-H371</f>
        <v>4.9999999999954525E-3</v>
      </c>
      <c r="K371" s="14">
        <f>152.98-I369-I370-I371</f>
        <v>0</v>
      </c>
    </row>
    <row r="372" spans="1:12">
      <c r="A372" t="s">
        <v>5965</v>
      </c>
      <c r="B372" s="1">
        <v>41604</v>
      </c>
      <c r="C372" s="118" t="s">
        <v>5966</v>
      </c>
      <c r="D372">
        <v>1</v>
      </c>
      <c r="E372" t="s">
        <v>5967</v>
      </c>
      <c r="F372" s="32" t="s">
        <v>946</v>
      </c>
      <c r="G372" s="33" t="s">
        <v>947</v>
      </c>
      <c r="H372" s="3">
        <f t="shared" si="14"/>
        <v>176.8125</v>
      </c>
      <c r="I372" s="46">
        <v>28.29</v>
      </c>
      <c r="J372" s="3"/>
      <c r="K372" s="3"/>
    </row>
    <row r="373" spans="1:12">
      <c r="A373" t="s">
        <v>5965</v>
      </c>
      <c r="B373" s="1">
        <v>41604</v>
      </c>
      <c r="C373" s="118" t="s">
        <v>5966</v>
      </c>
      <c r="D373">
        <v>1</v>
      </c>
      <c r="E373" t="s">
        <v>5967</v>
      </c>
      <c r="F373" s="87" t="s">
        <v>6308</v>
      </c>
      <c r="G373" s="81" t="s">
        <v>6309</v>
      </c>
      <c r="H373" s="82">
        <f t="shared" si="14"/>
        <v>86.187499999999986</v>
      </c>
      <c r="I373" s="82">
        <v>13.79</v>
      </c>
    </row>
    <row r="374" spans="1:12">
      <c r="A374" t="s">
        <v>5965</v>
      </c>
      <c r="B374" s="1">
        <v>41604</v>
      </c>
      <c r="C374" s="118" t="s">
        <v>5966</v>
      </c>
      <c r="D374">
        <v>1</v>
      </c>
      <c r="E374" t="s">
        <v>5967</v>
      </c>
      <c r="F374" s="69" t="s">
        <v>6310</v>
      </c>
      <c r="G374" s="28" t="s">
        <v>6311</v>
      </c>
      <c r="H374" s="47">
        <f t="shared" si="14"/>
        <v>334.5</v>
      </c>
      <c r="I374" s="47">
        <v>53.52</v>
      </c>
      <c r="J374" s="14">
        <f>597.5-H372-H373-H374</f>
        <v>0</v>
      </c>
      <c r="K374" s="14">
        <f>95.6-I372-I373-I374</f>
        <v>0</v>
      </c>
    </row>
    <row r="375" spans="1:12">
      <c r="A375" t="s">
        <v>6101</v>
      </c>
      <c r="B375" s="1">
        <v>41608</v>
      </c>
      <c r="C375" s="118" t="s">
        <v>6102</v>
      </c>
      <c r="D375">
        <v>1</v>
      </c>
      <c r="E375" t="s">
        <v>6103</v>
      </c>
      <c r="F375" s="28" t="s">
        <v>6312</v>
      </c>
      <c r="G375" s="28" t="s">
        <v>6313</v>
      </c>
      <c r="H375" s="47">
        <f t="shared" si="14"/>
        <v>292.6875</v>
      </c>
      <c r="I375" s="47">
        <v>46.83</v>
      </c>
      <c r="J375" s="3"/>
      <c r="K375" s="3"/>
    </row>
    <row r="376" spans="1:12">
      <c r="A376" t="s">
        <v>6101</v>
      </c>
      <c r="B376" s="1">
        <v>41608</v>
      </c>
      <c r="C376" s="118" t="s">
        <v>6102</v>
      </c>
      <c r="D376">
        <v>1</v>
      </c>
      <c r="E376" t="s">
        <v>6103</v>
      </c>
      <c r="F376" s="81" t="s">
        <v>1702</v>
      </c>
      <c r="G376" s="81" t="s">
        <v>1703</v>
      </c>
      <c r="H376" s="82">
        <f t="shared" si="14"/>
        <v>96.5</v>
      </c>
      <c r="I376" s="82">
        <v>15.44</v>
      </c>
    </row>
    <row r="377" spans="1:12">
      <c r="A377" t="s">
        <v>6101</v>
      </c>
      <c r="B377" s="1">
        <v>41608</v>
      </c>
      <c r="C377" s="118" t="s">
        <v>6102</v>
      </c>
      <c r="D377">
        <v>1</v>
      </c>
      <c r="E377" t="s">
        <v>6103</v>
      </c>
      <c r="F377" s="81" t="s">
        <v>911</v>
      </c>
      <c r="G377" s="81" t="s">
        <v>912</v>
      </c>
      <c r="H377" s="82">
        <f t="shared" si="14"/>
        <v>402.0625</v>
      </c>
      <c r="I377" s="82">
        <v>64.33</v>
      </c>
    </row>
    <row r="378" spans="1:12">
      <c r="A378" t="s">
        <v>6101</v>
      </c>
      <c r="B378" s="1">
        <v>41608</v>
      </c>
      <c r="C378" s="118" t="s">
        <v>6102</v>
      </c>
      <c r="D378">
        <v>1</v>
      </c>
      <c r="E378" t="s">
        <v>6103</v>
      </c>
      <c r="F378" s="32" t="s">
        <v>946</v>
      </c>
      <c r="G378" t="s">
        <v>947</v>
      </c>
      <c r="H378" s="46">
        <f t="shared" si="14"/>
        <v>180.3125</v>
      </c>
      <c r="I378" s="46">
        <f>28.84+0.01</f>
        <v>28.85</v>
      </c>
      <c r="J378" s="14">
        <f>971.56-H375-H376-H377-H378</f>
        <v>-2.5000000000545697E-3</v>
      </c>
      <c r="K378" s="14">
        <f>155.45-I375-I376-I377-I378</f>
        <v>0</v>
      </c>
      <c r="L378" t="s">
        <v>900</v>
      </c>
    </row>
    <row r="379" spans="1:12">
      <c r="A379" t="s">
        <v>1297</v>
      </c>
      <c r="B379" s="1">
        <v>41604</v>
      </c>
      <c r="C379" s="118" t="s">
        <v>5968</v>
      </c>
      <c r="D379">
        <v>1</v>
      </c>
      <c r="E379" t="s">
        <v>5969</v>
      </c>
      <c r="F379" s="32" t="s">
        <v>946</v>
      </c>
      <c r="G379" s="41" t="s">
        <v>947</v>
      </c>
      <c r="H379" s="46">
        <f t="shared" si="14"/>
        <v>56.0625</v>
      </c>
      <c r="I379" s="3">
        <v>8.9700000000000006</v>
      </c>
    </row>
    <row r="380" spans="1:12">
      <c r="A380" t="s">
        <v>3913</v>
      </c>
      <c r="B380" s="1">
        <v>41598</v>
      </c>
      <c r="C380" s="118" t="s">
        <v>5901</v>
      </c>
      <c r="D380">
        <v>1</v>
      </c>
      <c r="E380" t="s">
        <v>5902</v>
      </c>
      <c r="F380" s="81" t="s">
        <v>941</v>
      </c>
      <c r="G380" s="81" t="s">
        <v>6314</v>
      </c>
      <c r="H380" s="82">
        <f t="shared" ref="H380:H386" si="15">I380/0.16</f>
        <v>84.4375</v>
      </c>
      <c r="I380" s="82">
        <v>13.51</v>
      </c>
      <c r="J380" s="3"/>
      <c r="K380" s="3"/>
    </row>
    <row r="381" spans="1:12">
      <c r="A381" t="s">
        <v>3913</v>
      </c>
      <c r="B381" s="1">
        <v>41598</v>
      </c>
      <c r="C381" s="118" t="s">
        <v>5901</v>
      </c>
      <c r="D381">
        <v>1</v>
      </c>
      <c r="E381" t="s">
        <v>5902</v>
      </c>
      <c r="F381" s="28" t="s">
        <v>2277</v>
      </c>
      <c r="G381" s="28" t="s">
        <v>2278</v>
      </c>
      <c r="H381" s="47">
        <f t="shared" si="15"/>
        <v>417.99999999999994</v>
      </c>
      <c r="I381" s="47">
        <v>66.88</v>
      </c>
    </row>
    <row r="382" spans="1:12">
      <c r="A382" t="s">
        <v>3913</v>
      </c>
      <c r="B382" s="1">
        <v>41598</v>
      </c>
      <c r="C382" s="118" t="s">
        <v>5901</v>
      </c>
      <c r="D382">
        <v>1</v>
      </c>
      <c r="E382" t="s">
        <v>5902</v>
      </c>
      <c r="F382" s="32" t="s">
        <v>946</v>
      </c>
      <c r="G382" t="s">
        <v>947</v>
      </c>
      <c r="H382" s="3">
        <f t="shared" si="15"/>
        <v>176.8125</v>
      </c>
      <c r="I382" s="46">
        <v>28.29</v>
      </c>
      <c r="J382" s="14">
        <f>679.25-H380-H381-H382</f>
        <v>0</v>
      </c>
      <c r="K382" s="14">
        <f>108.68-I380-I381-I382</f>
        <v>0</v>
      </c>
    </row>
    <row r="383" spans="1:12">
      <c r="A383" t="s">
        <v>4490</v>
      </c>
      <c r="B383" s="1">
        <v>41604</v>
      </c>
      <c r="C383" s="118" t="s">
        <v>5978</v>
      </c>
      <c r="D383">
        <v>1</v>
      </c>
      <c r="E383" t="s">
        <v>5979</v>
      </c>
      <c r="F383" s="32" t="s">
        <v>946</v>
      </c>
      <c r="G383" s="33" t="s">
        <v>1581</v>
      </c>
      <c r="H383" s="46">
        <f t="shared" si="15"/>
        <v>663.125</v>
      </c>
      <c r="I383" s="46">
        <v>106.1</v>
      </c>
      <c r="J383" s="3"/>
      <c r="K383" s="3"/>
    </row>
    <row r="384" spans="1:12">
      <c r="A384" t="s">
        <v>4490</v>
      </c>
      <c r="B384" s="1">
        <v>41604</v>
      </c>
      <c r="C384" s="118" t="s">
        <v>5978</v>
      </c>
      <c r="D384">
        <v>1</v>
      </c>
      <c r="E384" t="s">
        <v>5979</v>
      </c>
      <c r="F384" s="28" t="s">
        <v>2287</v>
      </c>
      <c r="G384" s="28" t="s">
        <v>6315</v>
      </c>
      <c r="H384" s="47">
        <f t="shared" si="15"/>
        <v>292.6875</v>
      </c>
      <c r="I384" s="47">
        <v>46.83</v>
      </c>
    </row>
    <row r="385" spans="1:11">
      <c r="A385" t="s">
        <v>4490</v>
      </c>
      <c r="B385" s="1">
        <v>41604</v>
      </c>
      <c r="C385" s="118" t="s">
        <v>5978</v>
      </c>
      <c r="D385">
        <v>1</v>
      </c>
      <c r="E385" t="s">
        <v>5979</v>
      </c>
      <c r="F385" s="28" t="s">
        <v>913</v>
      </c>
      <c r="G385" s="28" t="s">
        <v>914</v>
      </c>
      <c r="H385" s="47">
        <f t="shared" si="15"/>
        <v>774</v>
      </c>
      <c r="I385" s="47">
        <v>123.84</v>
      </c>
      <c r="J385" s="14">
        <f>1729.81-H383-H384-H385</f>
        <v>-2.5000000000545697E-3</v>
      </c>
      <c r="K385" s="14">
        <f>276.77-I383-I384-I385</f>
        <v>0</v>
      </c>
    </row>
    <row r="386" spans="1:11">
      <c r="A386" t="s">
        <v>3906</v>
      </c>
      <c r="B386" s="1">
        <v>41598</v>
      </c>
      <c r="C386" s="118" t="s">
        <v>5899</v>
      </c>
      <c r="D386">
        <v>1</v>
      </c>
      <c r="E386" t="s">
        <v>5900</v>
      </c>
      <c r="F386" s="81" t="s">
        <v>935</v>
      </c>
      <c r="G386" s="81" t="s">
        <v>936</v>
      </c>
      <c r="H386" s="47">
        <f t="shared" si="15"/>
        <v>83.625</v>
      </c>
      <c r="I386" s="3">
        <v>13.38</v>
      </c>
    </row>
    <row r="387" spans="1:11">
      <c r="A387" t="s">
        <v>1205</v>
      </c>
      <c r="B387" s="1">
        <v>41598</v>
      </c>
      <c r="C387" s="118" t="s">
        <v>5903</v>
      </c>
      <c r="D387">
        <v>1</v>
      </c>
      <c r="E387" t="s">
        <v>5904</v>
      </c>
      <c r="F387" s="28" t="s">
        <v>6316</v>
      </c>
      <c r="G387" s="28" t="s">
        <v>6317</v>
      </c>
      <c r="H387" s="47">
        <f t="shared" ref="H387:H423" si="16">I387/0.16</f>
        <v>803.3125</v>
      </c>
      <c r="I387" s="47">
        <v>128.53</v>
      </c>
      <c r="J387" s="3"/>
      <c r="K387" s="3"/>
    </row>
    <row r="388" spans="1:11">
      <c r="A388" t="s">
        <v>1205</v>
      </c>
      <c r="B388" s="1">
        <v>41598</v>
      </c>
      <c r="C388" s="118" t="s">
        <v>5903</v>
      </c>
      <c r="D388">
        <v>1</v>
      </c>
      <c r="E388" t="s">
        <v>5904</v>
      </c>
      <c r="F388" s="81" t="s">
        <v>903</v>
      </c>
      <c r="G388" s="81" t="s">
        <v>904</v>
      </c>
      <c r="H388" s="82">
        <f t="shared" si="16"/>
        <v>208.99999999999997</v>
      </c>
      <c r="I388" s="82">
        <v>33.44</v>
      </c>
    </row>
    <row r="389" spans="1:11">
      <c r="A389" t="s">
        <v>1205</v>
      </c>
      <c r="B389" s="1">
        <v>41598</v>
      </c>
      <c r="C389" s="118" t="s">
        <v>5903</v>
      </c>
      <c r="D389">
        <v>1</v>
      </c>
      <c r="E389" t="s">
        <v>5904</v>
      </c>
      <c r="F389" s="81" t="s">
        <v>3751</v>
      </c>
      <c r="G389" s="81" t="s">
        <v>4343</v>
      </c>
      <c r="H389" s="82">
        <f t="shared" si="16"/>
        <v>86.187499999999986</v>
      </c>
      <c r="I389" s="82">
        <v>13.79</v>
      </c>
    </row>
    <row r="390" spans="1:11">
      <c r="A390" t="s">
        <v>1205</v>
      </c>
      <c r="B390" s="1">
        <v>41598</v>
      </c>
      <c r="C390" s="118" t="s">
        <v>5903</v>
      </c>
      <c r="D390">
        <v>1</v>
      </c>
      <c r="E390" t="s">
        <v>5904</v>
      </c>
      <c r="F390" s="32" t="s">
        <v>946</v>
      </c>
      <c r="G390" s="33" t="s">
        <v>1581</v>
      </c>
      <c r="H390" s="46">
        <f t="shared" si="16"/>
        <v>270.6875</v>
      </c>
      <c r="I390" s="46">
        <v>43.31</v>
      </c>
    </row>
    <row r="391" spans="1:11">
      <c r="A391" t="s">
        <v>1205</v>
      </c>
      <c r="B391" s="1">
        <v>41598</v>
      </c>
      <c r="C391" s="118" t="s">
        <v>5903</v>
      </c>
      <c r="D391">
        <v>1</v>
      </c>
      <c r="E391" t="s">
        <v>5904</v>
      </c>
      <c r="F391" s="32" t="s">
        <v>946</v>
      </c>
      <c r="G391" s="33" t="s">
        <v>1581</v>
      </c>
      <c r="H391" s="46">
        <f t="shared" si="16"/>
        <v>362.125</v>
      </c>
      <c r="I391" s="46">
        <v>57.94</v>
      </c>
      <c r="J391" s="14">
        <f>1731.31-H387-H388-H389-H390-H391</f>
        <v>-2.5000000000545697E-3</v>
      </c>
      <c r="K391" s="14">
        <f>277.01-I387-I388-I389-I390-I391</f>
        <v>0</v>
      </c>
    </row>
    <row r="392" spans="1:11">
      <c r="A392" t="s">
        <v>3947</v>
      </c>
      <c r="B392" s="1">
        <v>41604</v>
      </c>
      <c r="C392" s="118" t="s">
        <v>5980</v>
      </c>
      <c r="D392">
        <v>1</v>
      </c>
      <c r="E392" t="s">
        <v>5981</v>
      </c>
      <c r="F392" s="32" t="s">
        <v>946</v>
      </c>
      <c r="G392" t="s">
        <v>947</v>
      </c>
      <c r="H392" s="3">
        <f t="shared" si="16"/>
        <v>235.4375</v>
      </c>
      <c r="I392" s="46">
        <v>37.67</v>
      </c>
      <c r="J392" s="3"/>
      <c r="K392" s="3"/>
    </row>
    <row r="393" spans="1:11">
      <c r="A393" t="s">
        <v>3947</v>
      </c>
      <c r="B393" s="1">
        <v>41604</v>
      </c>
      <c r="C393" s="118" t="s">
        <v>5980</v>
      </c>
      <c r="D393">
        <v>1</v>
      </c>
      <c r="E393" t="s">
        <v>5981</v>
      </c>
      <c r="F393" s="28" t="s">
        <v>6318</v>
      </c>
      <c r="G393" s="28" t="s">
        <v>6319</v>
      </c>
      <c r="H393" s="47">
        <f t="shared" si="16"/>
        <v>351.25</v>
      </c>
      <c r="I393" s="47">
        <v>56.2</v>
      </c>
      <c r="J393" s="14">
        <f>586.69-H392-H393</f>
        <v>2.5000000000545697E-3</v>
      </c>
      <c r="K393" s="14">
        <f>93.87-I392-I393</f>
        <v>0</v>
      </c>
    </row>
    <row r="394" spans="1:11">
      <c r="A394" t="s">
        <v>659</v>
      </c>
      <c r="B394" s="1">
        <v>41608</v>
      </c>
      <c r="C394" s="118" t="s">
        <v>6106</v>
      </c>
      <c r="D394">
        <v>1</v>
      </c>
      <c r="E394" t="s">
        <v>6107</v>
      </c>
      <c r="F394" s="28" t="s">
        <v>939</v>
      </c>
      <c r="G394" s="28" t="s">
        <v>940</v>
      </c>
      <c r="H394" s="47">
        <f t="shared" si="16"/>
        <v>401.375</v>
      </c>
      <c r="I394" s="82">
        <v>64.22</v>
      </c>
      <c r="J394" s="3"/>
      <c r="K394" s="3"/>
    </row>
    <row r="395" spans="1:11">
      <c r="A395" t="s">
        <v>659</v>
      </c>
      <c r="B395" s="1">
        <v>41608</v>
      </c>
      <c r="C395" s="118" t="s">
        <v>6106</v>
      </c>
      <c r="D395">
        <v>1</v>
      </c>
      <c r="E395" t="s">
        <v>6107</v>
      </c>
      <c r="F395" s="81" t="s">
        <v>3389</v>
      </c>
      <c r="G395" s="81" t="s">
        <v>4336</v>
      </c>
      <c r="H395" s="82">
        <f t="shared" si="16"/>
        <v>51.312500000000007</v>
      </c>
      <c r="I395" s="82">
        <v>8.2100000000000009</v>
      </c>
    </row>
    <row r="396" spans="1:11">
      <c r="A396" t="s">
        <v>659</v>
      </c>
      <c r="B396" s="1">
        <v>41608</v>
      </c>
      <c r="C396" s="118" t="s">
        <v>6106</v>
      </c>
      <c r="D396">
        <v>1</v>
      </c>
      <c r="E396" t="s">
        <v>6107</v>
      </c>
      <c r="F396" s="32" t="s">
        <v>946</v>
      </c>
      <c r="G396" t="s">
        <v>947</v>
      </c>
      <c r="H396" s="46">
        <f t="shared" si="16"/>
        <v>339.75</v>
      </c>
      <c r="I396" s="46">
        <v>54.36</v>
      </c>
      <c r="J396" s="14">
        <f>792.44-H394-H395-H396</f>
        <v>2.5000000000545697E-3</v>
      </c>
      <c r="K396" s="14">
        <f>126.79-I394-I395-I396</f>
        <v>0</v>
      </c>
    </row>
    <row r="397" spans="1:11">
      <c r="A397" t="s">
        <v>6098</v>
      </c>
      <c r="B397" s="1">
        <v>41608</v>
      </c>
      <c r="C397" s="118" t="s">
        <v>6099</v>
      </c>
      <c r="D397">
        <v>1</v>
      </c>
      <c r="E397" t="s">
        <v>6100</v>
      </c>
      <c r="F397" s="32" t="s">
        <v>946</v>
      </c>
      <c r="G397" t="s">
        <v>947</v>
      </c>
      <c r="H397" s="46">
        <f t="shared" si="16"/>
        <v>232.8125</v>
      </c>
      <c r="I397" s="46">
        <v>37.25</v>
      </c>
      <c r="J397" s="3"/>
      <c r="K397" s="3"/>
    </row>
    <row r="398" spans="1:11">
      <c r="A398" t="s">
        <v>6098</v>
      </c>
      <c r="B398" s="1">
        <v>41608</v>
      </c>
      <c r="C398" s="118" t="s">
        <v>6099</v>
      </c>
      <c r="D398">
        <v>1</v>
      </c>
      <c r="E398" t="s">
        <v>6100</v>
      </c>
      <c r="F398" s="81" t="s">
        <v>3395</v>
      </c>
      <c r="G398" s="81" t="s">
        <v>4340</v>
      </c>
      <c r="H398" s="82">
        <f t="shared" si="16"/>
        <v>376.3125</v>
      </c>
      <c r="I398" s="82">
        <v>60.21</v>
      </c>
    </row>
    <row r="399" spans="1:11">
      <c r="A399" t="s">
        <v>6098</v>
      </c>
      <c r="B399" s="1">
        <v>41608</v>
      </c>
      <c r="C399" s="118" t="s">
        <v>6099</v>
      </c>
      <c r="D399">
        <v>1</v>
      </c>
      <c r="E399" t="s">
        <v>6100</v>
      </c>
      <c r="F399" s="81" t="s">
        <v>3751</v>
      </c>
      <c r="G399" s="81" t="s">
        <v>4343</v>
      </c>
      <c r="H399" s="82">
        <f t="shared" si="16"/>
        <v>72.375</v>
      </c>
      <c r="I399" s="82">
        <v>11.58</v>
      </c>
      <c r="J399" s="14">
        <f>681.5-H397-H398-H399</f>
        <v>0</v>
      </c>
      <c r="K399" s="14">
        <f>109.04-I397-I398-I399</f>
        <v>0</v>
      </c>
    </row>
    <row r="400" spans="1:11">
      <c r="A400" t="s">
        <v>5970</v>
      </c>
      <c r="B400" s="1">
        <v>41604</v>
      </c>
      <c r="C400" s="118" t="s">
        <v>5971</v>
      </c>
      <c r="D400">
        <v>1</v>
      </c>
      <c r="E400" t="s">
        <v>5972</v>
      </c>
      <c r="F400" s="81" t="s">
        <v>6320</v>
      </c>
      <c r="G400" s="81" t="s">
        <v>6321</v>
      </c>
      <c r="H400" s="82">
        <f t="shared" si="16"/>
        <v>93.125</v>
      </c>
      <c r="I400" s="82">
        <v>14.9</v>
      </c>
      <c r="J400" s="3"/>
      <c r="K400" s="3"/>
    </row>
    <row r="401" spans="1:12">
      <c r="A401" t="s">
        <v>5970</v>
      </c>
      <c r="B401" s="1">
        <v>41604</v>
      </c>
      <c r="C401" s="118" t="s">
        <v>5971</v>
      </c>
      <c r="D401">
        <v>1</v>
      </c>
      <c r="E401" t="s">
        <v>5972</v>
      </c>
      <c r="F401" s="81" t="s">
        <v>1676</v>
      </c>
      <c r="G401" s="81" t="s">
        <v>1677</v>
      </c>
      <c r="H401" s="82">
        <f t="shared" si="16"/>
        <v>418.125</v>
      </c>
      <c r="I401" s="82">
        <v>66.900000000000006</v>
      </c>
    </row>
    <row r="402" spans="1:12">
      <c r="A402" t="s">
        <v>5970</v>
      </c>
      <c r="B402" s="1">
        <v>41604</v>
      </c>
      <c r="C402" s="118" t="s">
        <v>5971</v>
      </c>
      <c r="D402">
        <v>1</v>
      </c>
      <c r="E402" t="s">
        <v>5972</v>
      </c>
      <c r="F402" s="32" t="s">
        <v>946</v>
      </c>
      <c r="G402" t="s">
        <v>947</v>
      </c>
      <c r="H402" s="46">
        <f t="shared" si="16"/>
        <v>388</v>
      </c>
      <c r="I402" s="46">
        <v>62.08</v>
      </c>
      <c r="J402" s="14">
        <f>899.25-H400-H401-H402</f>
        <v>0</v>
      </c>
      <c r="K402" s="14">
        <f>143.88-I400-I401-I402</f>
        <v>0</v>
      </c>
    </row>
    <row r="403" spans="1:12">
      <c r="A403" t="s">
        <v>656</v>
      </c>
      <c r="B403" s="1">
        <v>41608</v>
      </c>
      <c r="C403" s="118" t="s">
        <v>6104</v>
      </c>
      <c r="D403">
        <v>1</v>
      </c>
      <c r="E403" t="s">
        <v>6105</v>
      </c>
      <c r="F403" s="32" t="s">
        <v>946</v>
      </c>
      <c r="G403" t="s">
        <v>947</v>
      </c>
      <c r="H403" s="46">
        <f t="shared" si="16"/>
        <v>226.75</v>
      </c>
      <c r="I403" s="46">
        <v>36.28</v>
      </c>
      <c r="J403" s="3"/>
      <c r="K403" s="3"/>
    </row>
    <row r="404" spans="1:12">
      <c r="A404" t="s">
        <v>656</v>
      </c>
      <c r="B404" s="1">
        <v>41608</v>
      </c>
      <c r="C404" s="118" t="s">
        <v>6104</v>
      </c>
      <c r="D404">
        <v>1</v>
      </c>
      <c r="E404" t="s">
        <v>6105</v>
      </c>
      <c r="F404" s="81" t="s">
        <v>941</v>
      </c>
      <c r="G404" s="81" t="s">
        <v>1641</v>
      </c>
      <c r="H404" s="82">
        <f t="shared" si="16"/>
        <v>79.25</v>
      </c>
      <c r="I404" s="82">
        <v>12.68</v>
      </c>
    </row>
    <row r="405" spans="1:12">
      <c r="A405" t="s">
        <v>656</v>
      </c>
      <c r="B405" s="1">
        <v>41608</v>
      </c>
      <c r="C405" s="118" t="s">
        <v>6104</v>
      </c>
      <c r="D405">
        <v>1</v>
      </c>
      <c r="E405" t="s">
        <v>6105</v>
      </c>
      <c r="F405" s="81" t="s">
        <v>6322</v>
      </c>
      <c r="G405" s="81" t="s">
        <v>6323</v>
      </c>
      <c r="H405" s="82">
        <f t="shared" si="16"/>
        <v>334.5</v>
      </c>
      <c r="I405" s="82">
        <v>53.52</v>
      </c>
      <c r="J405" s="14">
        <f>640.5-H403-H404-H405</f>
        <v>0</v>
      </c>
      <c r="K405" s="14">
        <f>102.48-I403-I404-I405</f>
        <v>0</v>
      </c>
    </row>
    <row r="406" spans="1:12">
      <c r="A406" t="s">
        <v>3050</v>
      </c>
      <c r="B406" s="1">
        <v>41605</v>
      </c>
      <c r="C406" s="118" t="s">
        <v>6018</v>
      </c>
      <c r="D406">
        <v>1</v>
      </c>
      <c r="E406" t="s">
        <v>6019</v>
      </c>
      <c r="F406" s="28" t="s">
        <v>939</v>
      </c>
      <c r="G406" s="28" t="s">
        <v>940</v>
      </c>
      <c r="H406" s="47">
        <f t="shared" si="16"/>
        <v>376.3125</v>
      </c>
      <c r="I406" s="82">
        <v>60.21</v>
      </c>
      <c r="J406" s="3"/>
      <c r="K406" s="3"/>
    </row>
    <row r="407" spans="1:12">
      <c r="A407" t="s">
        <v>3050</v>
      </c>
      <c r="B407" s="1">
        <v>41605</v>
      </c>
      <c r="C407" s="118" t="s">
        <v>6018</v>
      </c>
      <c r="D407">
        <v>1</v>
      </c>
      <c r="E407" t="s">
        <v>6019</v>
      </c>
      <c r="F407" s="81" t="s">
        <v>6324</v>
      </c>
      <c r="G407" s="81" t="s">
        <v>6325</v>
      </c>
      <c r="H407" s="82">
        <f t="shared" si="16"/>
        <v>155</v>
      </c>
      <c r="I407" s="82">
        <v>24.8</v>
      </c>
    </row>
    <row r="408" spans="1:12">
      <c r="A408" t="s">
        <v>3050</v>
      </c>
      <c r="B408" s="1">
        <v>41605</v>
      </c>
      <c r="C408" s="118" t="s">
        <v>6018</v>
      </c>
      <c r="D408">
        <v>1</v>
      </c>
      <c r="E408" t="s">
        <v>6019</v>
      </c>
      <c r="F408" s="81" t="s">
        <v>3384</v>
      </c>
      <c r="G408" s="81" t="s">
        <v>6326</v>
      </c>
      <c r="H408" s="82">
        <f t="shared" si="16"/>
        <v>99.125</v>
      </c>
      <c r="I408" s="82">
        <v>15.86</v>
      </c>
    </row>
    <row r="409" spans="1:12">
      <c r="A409" t="s">
        <v>3050</v>
      </c>
      <c r="B409" s="1">
        <v>41605</v>
      </c>
      <c r="C409" s="118" t="s">
        <v>6018</v>
      </c>
      <c r="D409">
        <v>1</v>
      </c>
      <c r="E409" t="s">
        <v>6019</v>
      </c>
      <c r="F409" s="32" t="s">
        <v>946</v>
      </c>
      <c r="G409" t="s">
        <v>947</v>
      </c>
      <c r="H409" s="3">
        <f t="shared" si="16"/>
        <v>246.625</v>
      </c>
      <c r="I409" s="46">
        <v>39.46</v>
      </c>
    </row>
    <row r="410" spans="1:12">
      <c r="A410" t="s">
        <v>3050</v>
      </c>
      <c r="B410" s="1">
        <v>41605</v>
      </c>
      <c r="C410" s="118" t="s">
        <v>6018</v>
      </c>
      <c r="D410">
        <v>1</v>
      </c>
      <c r="E410" t="s">
        <v>6019</v>
      </c>
      <c r="F410" s="32" t="s">
        <v>946</v>
      </c>
      <c r="G410" t="s">
        <v>947</v>
      </c>
      <c r="H410" s="3">
        <f t="shared" si="16"/>
        <v>135.62500000000003</v>
      </c>
      <c r="I410" s="46">
        <f>23.87-2.17</f>
        <v>21.700000000000003</v>
      </c>
      <c r="J410" s="14">
        <f>1012.69-H406-H407-H408-H409-H410</f>
        <v>2.500000000026148E-3</v>
      </c>
      <c r="K410" s="14">
        <f>162.03-I406-I407-I408-I409-I410</f>
        <v>0</v>
      </c>
      <c r="L410" t="s">
        <v>900</v>
      </c>
    </row>
    <row r="411" spans="1:12">
      <c r="A411" t="s">
        <v>665</v>
      </c>
      <c r="B411" s="1">
        <v>41608</v>
      </c>
      <c r="C411" s="118">
        <v>9382</v>
      </c>
      <c r="D411">
        <v>1</v>
      </c>
      <c r="E411" t="s">
        <v>6111</v>
      </c>
      <c r="F411" s="32" t="s">
        <v>946</v>
      </c>
      <c r="G411" t="s">
        <v>947</v>
      </c>
      <c r="H411" s="46">
        <f t="shared" si="16"/>
        <v>607.0625</v>
      </c>
      <c r="I411" s="46">
        <v>97.13</v>
      </c>
      <c r="J411" s="3"/>
      <c r="K411" s="3"/>
    </row>
    <row r="412" spans="1:12">
      <c r="A412" t="s">
        <v>665</v>
      </c>
      <c r="B412" s="1">
        <v>41608</v>
      </c>
      <c r="C412" s="118">
        <v>9382</v>
      </c>
      <c r="D412">
        <v>1</v>
      </c>
      <c r="E412" t="s">
        <v>6111</v>
      </c>
      <c r="F412" s="28" t="s">
        <v>6328</v>
      </c>
      <c r="G412" s="28" t="s">
        <v>6329</v>
      </c>
      <c r="H412" s="47">
        <f t="shared" si="16"/>
        <v>428.125</v>
      </c>
      <c r="I412" s="47">
        <v>68.5</v>
      </c>
    </row>
    <row r="413" spans="1:12">
      <c r="A413" t="s">
        <v>665</v>
      </c>
      <c r="B413" s="1">
        <v>41608</v>
      </c>
      <c r="C413" s="118">
        <v>9382</v>
      </c>
      <c r="D413">
        <v>1</v>
      </c>
      <c r="E413" t="s">
        <v>6111</v>
      </c>
      <c r="F413" s="28" t="s">
        <v>6330</v>
      </c>
      <c r="G413" s="28" t="s">
        <v>6331</v>
      </c>
      <c r="H413" s="47">
        <f t="shared" si="16"/>
        <v>41.8125</v>
      </c>
      <c r="I413" s="47">
        <v>6.69</v>
      </c>
    </row>
    <row r="414" spans="1:12">
      <c r="A414" t="s">
        <v>665</v>
      </c>
      <c r="B414" s="1">
        <v>41608</v>
      </c>
      <c r="C414" s="118">
        <v>9382</v>
      </c>
      <c r="D414">
        <v>1</v>
      </c>
      <c r="E414" t="s">
        <v>6111</v>
      </c>
      <c r="F414" s="81" t="s">
        <v>1582</v>
      </c>
      <c r="G414" s="81" t="s">
        <v>1583</v>
      </c>
      <c r="H414" s="82">
        <f t="shared" si="16"/>
        <v>90.5625</v>
      </c>
      <c r="I414" s="82">
        <v>14.49</v>
      </c>
    </row>
    <row r="415" spans="1:12">
      <c r="A415" t="s">
        <v>665</v>
      </c>
      <c r="B415" s="1">
        <v>41608</v>
      </c>
      <c r="C415" s="118">
        <v>9382</v>
      </c>
      <c r="D415">
        <v>1</v>
      </c>
      <c r="E415" t="s">
        <v>6111</v>
      </c>
      <c r="F415" s="28" t="s">
        <v>2287</v>
      </c>
      <c r="G415" s="28" t="s">
        <v>2288</v>
      </c>
      <c r="H415" s="47">
        <f t="shared" si="16"/>
        <v>200.625</v>
      </c>
      <c r="I415" s="47">
        <v>32.1</v>
      </c>
      <c r="J415" s="14">
        <f>1368.19-H411-H412-H413-H414-H415</f>
        <v>2.5000000000545697E-3</v>
      </c>
      <c r="K415" s="14">
        <f>218.91-I411-I412-I413-I414-I415</f>
        <v>0</v>
      </c>
    </row>
    <row r="416" spans="1:12">
      <c r="A416" t="s">
        <v>662</v>
      </c>
      <c r="B416" s="1">
        <v>41608</v>
      </c>
      <c r="C416" s="118">
        <v>9381</v>
      </c>
      <c r="D416">
        <v>1</v>
      </c>
      <c r="E416" t="s">
        <v>6110</v>
      </c>
      <c r="F416" s="81" t="s">
        <v>2920</v>
      </c>
      <c r="G416" s="81" t="s">
        <v>2921</v>
      </c>
      <c r="H416" s="82">
        <f t="shared" si="16"/>
        <v>358.625</v>
      </c>
      <c r="I416" s="82">
        <v>57.38</v>
      </c>
      <c r="J416" s="3"/>
      <c r="K416" s="3"/>
    </row>
    <row r="417" spans="1:11">
      <c r="A417" t="s">
        <v>662</v>
      </c>
      <c r="B417" s="1">
        <v>41608</v>
      </c>
      <c r="C417" s="118">
        <v>9381</v>
      </c>
      <c r="D417">
        <v>1</v>
      </c>
      <c r="E417" t="s">
        <v>6110</v>
      </c>
      <c r="F417" s="81" t="s">
        <v>2901</v>
      </c>
      <c r="G417" s="81" t="s">
        <v>2902</v>
      </c>
      <c r="H417" s="82">
        <f t="shared" si="16"/>
        <v>81.875</v>
      </c>
      <c r="I417" s="82">
        <v>13.1</v>
      </c>
    </row>
    <row r="418" spans="1:11">
      <c r="A418" t="s">
        <v>662</v>
      </c>
      <c r="B418" s="1">
        <v>41608</v>
      </c>
      <c r="C418" s="118">
        <v>9381</v>
      </c>
      <c r="D418">
        <v>1</v>
      </c>
      <c r="E418" t="s">
        <v>6110</v>
      </c>
      <c r="F418" s="28" t="s">
        <v>2287</v>
      </c>
      <c r="G418" s="28" t="s">
        <v>2288</v>
      </c>
      <c r="H418" s="47">
        <f t="shared" si="16"/>
        <v>292.6875</v>
      </c>
      <c r="I418" s="47">
        <v>46.83</v>
      </c>
    </row>
    <row r="419" spans="1:11">
      <c r="A419" t="s">
        <v>662</v>
      </c>
      <c r="B419" s="1">
        <v>41608</v>
      </c>
      <c r="C419" s="118">
        <v>9381</v>
      </c>
      <c r="D419">
        <v>1</v>
      </c>
      <c r="E419" t="s">
        <v>6110</v>
      </c>
      <c r="F419" s="32" t="s">
        <v>946</v>
      </c>
      <c r="G419" t="s">
        <v>947</v>
      </c>
      <c r="H419" s="46">
        <f t="shared" si="16"/>
        <v>395.8125</v>
      </c>
      <c r="I419" s="46">
        <v>63.33</v>
      </c>
    </row>
    <row r="420" spans="1:11">
      <c r="A420" t="s">
        <v>662</v>
      </c>
      <c r="B420" s="1">
        <v>41608</v>
      </c>
      <c r="C420" s="118">
        <v>9381</v>
      </c>
      <c r="D420">
        <v>1</v>
      </c>
      <c r="E420" t="s">
        <v>6110</v>
      </c>
      <c r="F420" s="32" t="s">
        <v>946</v>
      </c>
      <c r="G420" t="s">
        <v>947</v>
      </c>
      <c r="H420" s="46">
        <f t="shared" si="16"/>
        <v>267.3125</v>
      </c>
      <c r="I420" s="46">
        <v>42.77</v>
      </c>
      <c r="J420" s="14">
        <f>1396.31-H416-H417-H418-H419-H420</f>
        <v>-2.5000000000545697E-3</v>
      </c>
      <c r="K420" s="14">
        <f>223.41-I416-I417-I418-I419-I420</f>
        <v>0</v>
      </c>
    </row>
    <row r="421" spans="1:11">
      <c r="A421" t="s">
        <v>5419</v>
      </c>
      <c r="B421" s="1">
        <v>41605</v>
      </c>
      <c r="C421" s="118" t="s">
        <v>6012</v>
      </c>
      <c r="D421">
        <v>1</v>
      </c>
      <c r="E421" t="s">
        <v>6013</v>
      </c>
      <c r="F421" s="81" t="s">
        <v>941</v>
      </c>
      <c r="G421" s="81" t="s">
        <v>1641</v>
      </c>
      <c r="H421" s="82">
        <f t="shared" si="16"/>
        <v>74.125</v>
      </c>
      <c r="I421" s="82">
        <v>11.86</v>
      </c>
      <c r="J421" s="3"/>
      <c r="K421" s="3"/>
    </row>
    <row r="422" spans="1:11">
      <c r="A422" t="s">
        <v>5419</v>
      </c>
      <c r="B422" s="1">
        <v>41605</v>
      </c>
      <c r="C422" s="118" t="s">
        <v>6012</v>
      </c>
      <c r="D422">
        <v>1</v>
      </c>
      <c r="E422" t="s">
        <v>6013</v>
      </c>
      <c r="F422" s="28" t="s">
        <v>2343</v>
      </c>
      <c r="G422" s="28" t="s">
        <v>2344</v>
      </c>
      <c r="H422" s="47">
        <f t="shared" si="16"/>
        <v>326.5</v>
      </c>
      <c r="I422" s="47">
        <v>52.24</v>
      </c>
    </row>
    <row r="423" spans="1:11">
      <c r="A423" t="s">
        <v>5419</v>
      </c>
      <c r="B423" s="1">
        <v>41605</v>
      </c>
      <c r="C423" s="118" t="s">
        <v>6012</v>
      </c>
      <c r="D423">
        <v>1</v>
      </c>
      <c r="E423" t="s">
        <v>6013</v>
      </c>
      <c r="F423" s="32" t="s">
        <v>946</v>
      </c>
      <c r="G423" t="s">
        <v>947</v>
      </c>
      <c r="H423" s="46">
        <f t="shared" si="16"/>
        <v>176.8125</v>
      </c>
      <c r="I423" s="46">
        <v>28.29</v>
      </c>
      <c r="J423" s="14">
        <f>577.44-H421-H422-H423</f>
        <v>2.5000000000545697E-3</v>
      </c>
      <c r="K423" s="14">
        <f>92.39-I421-I422-I423</f>
        <v>0</v>
      </c>
    </row>
    <row r="424" spans="1:11">
      <c r="A424" t="s">
        <v>5848</v>
      </c>
      <c r="B424" s="1">
        <v>41591</v>
      </c>
      <c r="C424" s="118" t="s">
        <v>5813</v>
      </c>
      <c r="D424">
        <v>1</v>
      </c>
      <c r="E424" t="s">
        <v>5849</v>
      </c>
      <c r="F424" s="87" t="s">
        <v>915</v>
      </c>
      <c r="G424" s="90" t="s">
        <v>916</v>
      </c>
      <c r="H424" s="3">
        <f t="shared" ref="H424:H434" si="17">+I424/0.16</f>
        <v>95</v>
      </c>
      <c r="I424" s="3">
        <v>15.2</v>
      </c>
    </row>
    <row r="425" spans="1:11">
      <c r="A425" t="s">
        <v>5856</v>
      </c>
      <c r="B425" s="1">
        <v>41593</v>
      </c>
      <c r="C425" s="118" t="s">
        <v>5813</v>
      </c>
      <c r="D425">
        <v>1</v>
      </c>
      <c r="E425" t="s">
        <v>5857</v>
      </c>
      <c r="F425" s="87" t="s">
        <v>915</v>
      </c>
      <c r="G425" s="90" t="s">
        <v>916</v>
      </c>
      <c r="H425" s="3">
        <f t="shared" si="17"/>
        <v>95</v>
      </c>
      <c r="I425" s="3">
        <v>15.2</v>
      </c>
    </row>
    <row r="426" spans="1:11">
      <c r="A426" t="s">
        <v>422</v>
      </c>
      <c r="B426" s="1">
        <v>41607</v>
      </c>
      <c r="C426" s="118" t="s">
        <v>6065</v>
      </c>
      <c r="D426">
        <v>1</v>
      </c>
      <c r="E426" t="s">
        <v>6066</v>
      </c>
      <c r="F426" s="84" t="s">
        <v>890</v>
      </c>
      <c r="G426" s="81" t="s">
        <v>891</v>
      </c>
      <c r="H426" s="3">
        <f t="shared" si="17"/>
        <v>309447.5</v>
      </c>
      <c r="I426" s="3">
        <v>49511.6</v>
      </c>
    </row>
    <row r="427" spans="1:11">
      <c r="A427" t="s">
        <v>4486</v>
      </c>
      <c r="B427" s="1">
        <v>41603</v>
      </c>
      <c r="C427" s="118" t="s">
        <v>5960</v>
      </c>
      <c r="D427">
        <v>1</v>
      </c>
      <c r="E427" t="s">
        <v>5961</v>
      </c>
      <c r="F427" s="129" t="s">
        <v>892</v>
      </c>
      <c r="G427" s="81" t="s">
        <v>893</v>
      </c>
      <c r="H427" s="3">
        <f t="shared" si="17"/>
        <v>253738.56249999997</v>
      </c>
      <c r="I427" s="3">
        <v>40598.17</v>
      </c>
    </row>
    <row r="428" spans="1:11">
      <c r="A428" t="s">
        <v>5863</v>
      </c>
      <c r="B428" s="1">
        <v>41593</v>
      </c>
      <c r="C428" s="118" t="s">
        <v>5864</v>
      </c>
      <c r="D428">
        <v>1</v>
      </c>
      <c r="E428" t="s">
        <v>5865</v>
      </c>
      <c r="F428" s="84" t="s">
        <v>890</v>
      </c>
      <c r="G428" s="81" t="s">
        <v>891</v>
      </c>
      <c r="H428" s="3">
        <f t="shared" si="17"/>
        <v>182560.6875</v>
      </c>
      <c r="I428" s="3">
        <v>29209.71</v>
      </c>
    </row>
    <row r="429" spans="1:11">
      <c r="A429" t="s">
        <v>4470</v>
      </c>
      <c r="B429" s="1">
        <v>41599</v>
      </c>
      <c r="C429" s="118" t="s">
        <v>5864</v>
      </c>
      <c r="D429">
        <v>1</v>
      </c>
      <c r="E429" t="s">
        <v>5865</v>
      </c>
      <c r="F429" s="84" t="s">
        <v>890</v>
      </c>
      <c r="G429" s="81" t="s">
        <v>5865</v>
      </c>
      <c r="H429" s="3">
        <f t="shared" si="17"/>
        <v>-182560.6875</v>
      </c>
      <c r="I429" s="3">
        <v>-29209.71</v>
      </c>
    </row>
    <row r="430" spans="1:11">
      <c r="A430" t="s">
        <v>5919</v>
      </c>
      <c r="B430" s="1">
        <v>41599</v>
      </c>
      <c r="C430" s="118" t="s">
        <v>5864</v>
      </c>
      <c r="D430">
        <v>1</v>
      </c>
      <c r="E430" t="s">
        <v>5920</v>
      </c>
      <c r="F430" s="84" t="s">
        <v>890</v>
      </c>
      <c r="G430" s="81" t="s">
        <v>891</v>
      </c>
      <c r="H430" s="3">
        <f t="shared" si="17"/>
        <v>175582.31249999997</v>
      </c>
      <c r="I430" s="3">
        <v>28093.17</v>
      </c>
    </row>
    <row r="431" spans="1:11">
      <c r="A431" t="s">
        <v>3937</v>
      </c>
      <c r="B431" s="1">
        <v>41600</v>
      </c>
      <c r="C431" s="118" t="s">
        <v>5940</v>
      </c>
      <c r="D431">
        <v>1</v>
      </c>
      <c r="E431" t="s">
        <v>5941</v>
      </c>
      <c r="F431" s="129" t="s">
        <v>892</v>
      </c>
      <c r="G431" s="81" t="s">
        <v>893</v>
      </c>
      <c r="H431" s="3">
        <f t="shared" si="17"/>
        <v>259056.9375</v>
      </c>
      <c r="I431" s="3">
        <v>41449.11</v>
      </c>
    </row>
    <row r="432" spans="1:11">
      <c r="A432" t="s">
        <v>2498</v>
      </c>
      <c r="B432" s="1">
        <v>41606</v>
      </c>
      <c r="C432" s="118" t="s">
        <v>6058</v>
      </c>
      <c r="D432">
        <v>1</v>
      </c>
      <c r="E432" t="s">
        <v>6059</v>
      </c>
      <c r="F432" s="130" t="s">
        <v>1709</v>
      </c>
      <c r="G432" s="90" t="s">
        <v>1710</v>
      </c>
      <c r="H432" s="3">
        <f t="shared" si="17"/>
        <v>175267.5625</v>
      </c>
      <c r="I432" s="3">
        <v>28042.81</v>
      </c>
    </row>
    <row r="433" spans="1:11">
      <c r="A433" t="s">
        <v>1863</v>
      </c>
      <c r="B433" s="1">
        <v>41600</v>
      </c>
      <c r="C433" s="118" t="s">
        <v>5942</v>
      </c>
      <c r="D433">
        <v>1</v>
      </c>
      <c r="E433" t="s">
        <v>5943</v>
      </c>
      <c r="F433" s="130" t="s">
        <v>1709</v>
      </c>
      <c r="G433" s="90" t="s">
        <v>1710</v>
      </c>
      <c r="H433" s="3">
        <f t="shared" si="17"/>
        <v>330512.6875</v>
      </c>
      <c r="I433" s="3">
        <v>52882.03</v>
      </c>
    </row>
    <row r="434" spans="1:11">
      <c r="A434" t="s">
        <v>6029</v>
      </c>
      <c r="B434" s="1">
        <v>41605</v>
      </c>
      <c r="C434" s="118" t="s">
        <v>6030</v>
      </c>
      <c r="D434">
        <v>1</v>
      </c>
      <c r="E434" t="s">
        <v>6031</v>
      </c>
      <c r="F434" s="130" t="s">
        <v>1709</v>
      </c>
      <c r="G434" s="90" t="s">
        <v>1710</v>
      </c>
      <c r="H434" s="3">
        <f t="shared" si="17"/>
        <v>309447.5</v>
      </c>
      <c r="I434" s="3">
        <v>49511.6</v>
      </c>
    </row>
    <row r="435" spans="1:11">
      <c r="A435" t="s">
        <v>5983</v>
      </c>
      <c r="B435" s="1">
        <v>41604</v>
      </c>
      <c r="C435" s="118" t="s">
        <v>5547</v>
      </c>
      <c r="D435">
        <v>1</v>
      </c>
      <c r="E435" t="s">
        <v>5984</v>
      </c>
      <c r="F435" s="81" t="s">
        <v>2922</v>
      </c>
      <c r="G435" s="81" t="s">
        <v>2923</v>
      </c>
      <c r="H435" s="82">
        <f>I435/0.16</f>
        <v>2218.5</v>
      </c>
      <c r="I435" s="82">
        <v>354.96</v>
      </c>
      <c r="J435" s="3"/>
      <c r="K435" s="3"/>
    </row>
    <row r="436" spans="1:11">
      <c r="A436" t="s">
        <v>5983</v>
      </c>
      <c r="B436" s="1">
        <v>41604</v>
      </c>
      <c r="C436" s="118" t="s">
        <v>5547</v>
      </c>
      <c r="D436">
        <v>1</v>
      </c>
      <c r="E436" t="s">
        <v>5984</v>
      </c>
      <c r="F436" s="81" t="s">
        <v>2910</v>
      </c>
      <c r="G436" s="81" t="s">
        <v>2911</v>
      </c>
      <c r="H436" s="82">
        <f>I436/0.16</f>
        <v>96.5625</v>
      </c>
      <c r="I436" s="82">
        <v>15.45</v>
      </c>
    </row>
    <row r="437" spans="1:11">
      <c r="A437" t="s">
        <v>5983</v>
      </c>
      <c r="B437" s="1">
        <v>41604</v>
      </c>
      <c r="C437" s="118" t="s">
        <v>5547</v>
      </c>
      <c r="D437">
        <v>1</v>
      </c>
      <c r="E437" t="s">
        <v>5984</v>
      </c>
      <c r="F437" s="81" t="s">
        <v>2910</v>
      </c>
      <c r="G437" s="81" t="s">
        <v>2911</v>
      </c>
      <c r="H437" s="82">
        <f>I437/0.16</f>
        <v>85.3125</v>
      </c>
      <c r="I437" s="82">
        <v>13.65</v>
      </c>
    </row>
    <row r="438" spans="1:11">
      <c r="A438" t="s">
        <v>5983</v>
      </c>
      <c r="B438" s="1">
        <v>41604</v>
      </c>
      <c r="C438" s="118" t="s">
        <v>5547</v>
      </c>
      <c r="D438">
        <v>1</v>
      </c>
      <c r="E438" t="s">
        <v>5984</v>
      </c>
      <c r="F438" s="81" t="s">
        <v>2333</v>
      </c>
      <c r="G438" s="81" t="s">
        <v>2334</v>
      </c>
      <c r="H438" s="82">
        <f>I438/0.16</f>
        <v>101.75</v>
      </c>
      <c r="I438" s="82">
        <v>16.28</v>
      </c>
      <c r="J438" s="14">
        <f>2502.13-H435-H436-H437-H438</f>
        <v>5.0000000001091394E-3</v>
      </c>
      <c r="K438" s="14">
        <f>400.34-I435-I436-I437-I438</f>
        <v>0</v>
      </c>
    </row>
    <row r="439" spans="1:11" ht="18" customHeight="1">
      <c r="A439" t="s">
        <v>6002</v>
      </c>
      <c r="B439" s="1">
        <v>41605</v>
      </c>
      <c r="C439" s="118" t="s">
        <v>6003</v>
      </c>
      <c r="D439">
        <v>1</v>
      </c>
      <c r="E439" t="s">
        <v>6004</v>
      </c>
      <c r="F439" s="87" t="s">
        <v>1617</v>
      </c>
      <c r="G439" s="81" t="s">
        <v>6004</v>
      </c>
      <c r="H439" s="3">
        <f>+I439/0.16</f>
        <v>344.8125</v>
      </c>
      <c r="I439" s="3">
        <v>55.17</v>
      </c>
    </row>
    <row r="440" spans="1:11" ht="17.25" customHeight="1">
      <c r="A440" t="s">
        <v>1339</v>
      </c>
      <c r="B440" s="1">
        <v>41605</v>
      </c>
      <c r="C440" s="118" t="s">
        <v>6005</v>
      </c>
      <c r="D440">
        <v>1</v>
      </c>
      <c r="E440" t="s">
        <v>6004</v>
      </c>
      <c r="F440" s="87" t="s">
        <v>1617</v>
      </c>
      <c r="G440" s="81" t="s">
        <v>6004</v>
      </c>
      <c r="H440" s="3">
        <f>+I440/0.16</f>
        <v>344.8125</v>
      </c>
      <c r="I440" s="3">
        <v>55.17</v>
      </c>
    </row>
    <row r="441" spans="1:11" ht="14.25" customHeight="1">
      <c r="A441" t="s">
        <v>297</v>
      </c>
      <c r="B441" s="1">
        <v>41601</v>
      </c>
      <c r="C441" s="118" t="s">
        <v>6188</v>
      </c>
      <c r="D441">
        <v>1</v>
      </c>
      <c r="E441" t="s">
        <v>1287</v>
      </c>
      <c r="F441" t="s">
        <v>1728</v>
      </c>
      <c r="G441" t="s">
        <v>1287</v>
      </c>
      <c r="H441" s="3">
        <f>+I441/0.16</f>
        <v>594.6875</v>
      </c>
      <c r="I441" s="3">
        <v>95.15</v>
      </c>
    </row>
    <row r="443" spans="1:11">
      <c r="H443" s="3">
        <f>SUM(H7:H441)</f>
        <v>24803098.0625</v>
      </c>
      <c r="I443" s="3">
        <f>SUM(I7:I442)</f>
        <v>3968495.6900000009</v>
      </c>
    </row>
    <row r="445" spans="1:11">
      <c r="H445" s="3">
        <f>4763548.18-795052.49</f>
        <v>3968495.6899999995</v>
      </c>
      <c r="I445" s="3">
        <f>+H445-I443</f>
        <v>0</v>
      </c>
    </row>
    <row r="447" spans="1:11">
      <c r="A447" s="151"/>
      <c r="B447" s="151"/>
      <c r="C447" s="151"/>
      <c r="D447" s="151"/>
      <c r="E447" s="151"/>
      <c r="F447" s="151" t="s">
        <v>724</v>
      </c>
      <c r="G447" s="151" t="s">
        <v>725</v>
      </c>
      <c r="H447" s="152" t="s">
        <v>732</v>
      </c>
      <c r="I447" s="151" t="s">
        <v>726</v>
      </c>
      <c r="J447" s="151" t="s">
        <v>7073</v>
      </c>
    </row>
    <row r="448" spans="1:11">
      <c r="A448" s="174" t="s">
        <v>7099</v>
      </c>
      <c r="B448">
        <v>85</v>
      </c>
      <c r="F448" s="81" t="s">
        <v>5719</v>
      </c>
      <c r="G448" s="81" t="s">
        <v>5612</v>
      </c>
      <c r="H448" s="3">
        <f>+I448/0.16</f>
        <v>44500</v>
      </c>
      <c r="I448" s="3">
        <f>+SUMIF($F$7:$F$441,F448,$I$7:$I$441)</f>
        <v>7120</v>
      </c>
      <c r="J448" s="150"/>
    </row>
    <row r="449" spans="1:10">
      <c r="A449" s="174" t="s">
        <v>7099</v>
      </c>
      <c r="B449">
        <v>85</v>
      </c>
      <c r="F449" s="81" t="s">
        <v>750</v>
      </c>
      <c r="G449" s="81" t="s">
        <v>475</v>
      </c>
      <c r="H449" s="3">
        <f t="shared" ref="H449:H512" si="18">+I449/0.16</f>
        <v>128.5</v>
      </c>
      <c r="I449" s="3">
        <f t="shared" ref="I449:I512" si="19">+SUMIF($F$7:$F$441,F449,$I$7:$I$441)</f>
        <v>20.56</v>
      </c>
      <c r="J449" s="150"/>
    </row>
    <row r="450" spans="1:10">
      <c r="A450" s="174" t="s">
        <v>7099</v>
      </c>
      <c r="B450">
        <v>85</v>
      </c>
      <c r="F450" s="81" t="s">
        <v>6279</v>
      </c>
      <c r="G450" s="81" t="s">
        <v>6280</v>
      </c>
      <c r="H450" s="3">
        <f t="shared" si="18"/>
        <v>422.375</v>
      </c>
      <c r="I450" s="3">
        <f t="shared" si="19"/>
        <v>67.58</v>
      </c>
      <c r="J450" s="150"/>
    </row>
    <row r="451" spans="1:10">
      <c r="A451" s="174" t="s">
        <v>7099</v>
      </c>
      <c r="B451">
        <v>85</v>
      </c>
      <c r="F451" s="91" t="s">
        <v>1571</v>
      </c>
      <c r="G451" s="81" t="s">
        <v>1285</v>
      </c>
      <c r="H451" s="3">
        <f t="shared" si="18"/>
        <v>2327.5625</v>
      </c>
      <c r="I451" s="3">
        <f t="shared" si="19"/>
        <v>372.41</v>
      </c>
      <c r="J451" s="150"/>
    </row>
    <row r="452" spans="1:10">
      <c r="A452" s="174" t="s">
        <v>7099</v>
      </c>
      <c r="B452">
        <v>85</v>
      </c>
      <c r="F452" s="81" t="s">
        <v>1574</v>
      </c>
      <c r="G452" s="81" t="s">
        <v>991</v>
      </c>
      <c r="H452" s="3">
        <f t="shared" si="18"/>
        <v>646549.8125</v>
      </c>
      <c r="I452" s="3">
        <f t="shared" si="19"/>
        <v>103447.97</v>
      </c>
      <c r="J452" s="150"/>
    </row>
    <row r="453" spans="1:10">
      <c r="A453" s="174" t="s">
        <v>7099</v>
      </c>
      <c r="B453">
        <v>85</v>
      </c>
      <c r="F453" s="88" t="s">
        <v>1578</v>
      </c>
      <c r="G453" s="89" t="s">
        <v>1579</v>
      </c>
      <c r="H453" s="3">
        <f t="shared" si="18"/>
        <v>1310.8125</v>
      </c>
      <c r="I453" s="3">
        <f t="shared" si="19"/>
        <v>209.73</v>
      </c>
      <c r="J453" s="159"/>
    </row>
    <row r="454" spans="1:10">
      <c r="A454" s="174" t="s">
        <v>7099</v>
      </c>
      <c r="B454">
        <v>85</v>
      </c>
      <c r="F454" s="81" t="s">
        <v>1590</v>
      </c>
      <c r="G454" s="81" t="s">
        <v>5887</v>
      </c>
      <c r="H454" s="3">
        <f t="shared" si="18"/>
        <v>440</v>
      </c>
      <c r="I454" s="3">
        <f t="shared" si="19"/>
        <v>70.400000000000006</v>
      </c>
      <c r="J454" s="150"/>
    </row>
    <row r="455" spans="1:10">
      <c r="A455" s="174" t="s">
        <v>7099</v>
      </c>
      <c r="B455">
        <v>85</v>
      </c>
      <c r="F455" s="28" t="s">
        <v>939</v>
      </c>
      <c r="G455" s="28" t="s">
        <v>940</v>
      </c>
      <c r="H455" s="3">
        <f t="shared" si="18"/>
        <v>1446.6875</v>
      </c>
      <c r="I455" s="3">
        <f t="shared" si="19"/>
        <v>231.47</v>
      </c>
      <c r="J455" s="150"/>
    </row>
    <row r="456" spans="1:10">
      <c r="A456" s="174" t="s">
        <v>7099</v>
      </c>
      <c r="B456">
        <v>85</v>
      </c>
      <c r="F456" s="81" t="s">
        <v>1671</v>
      </c>
      <c r="G456" s="81" t="s">
        <v>5201</v>
      </c>
      <c r="H456" s="3">
        <f t="shared" si="18"/>
        <v>334.5</v>
      </c>
      <c r="I456" s="3">
        <f t="shared" si="19"/>
        <v>53.52</v>
      </c>
      <c r="J456" s="150"/>
    </row>
    <row r="457" spans="1:10">
      <c r="A457" s="174" t="s">
        <v>7099</v>
      </c>
      <c r="B457">
        <v>85</v>
      </c>
      <c r="F457" s="81" t="s">
        <v>5722</v>
      </c>
      <c r="G457" s="81" t="s">
        <v>6227</v>
      </c>
      <c r="H457" s="3">
        <f t="shared" si="18"/>
        <v>9600</v>
      </c>
      <c r="I457" s="3">
        <f t="shared" si="19"/>
        <v>1536</v>
      </c>
      <c r="J457" s="150"/>
    </row>
    <row r="458" spans="1:10">
      <c r="A458" s="174" t="s">
        <v>7099</v>
      </c>
      <c r="B458">
        <v>85</v>
      </c>
      <c r="F458" s="81" t="s">
        <v>1649</v>
      </c>
      <c r="G458" s="81" t="s">
        <v>1650</v>
      </c>
      <c r="H458" s="3">
        <f t="shared" si="18"/>
        <v>153.5</v>
      </c>
      <c r="I458" s="3">
        <f t="shared" si="19"/>
        <v>24.56</v>
      </c>
      <c r="J458" s="150"/>
    </row>
    <row r="459" spans="1:10">
      <c r="A459" s="174" t="s">
        <v>7099</v>
      </c>
      <c r="B459">
        <v>85</v>
      </c>
      <c r="F459" s="81" t="s">
        <v>2269</v>
      </c>
      <c r="G459" s="81" t="s">
        <v>2080</v>
      </c>
      <c r="H459" s="3">
        <f t="shared" si="18"/>
        <v>660</v>
      </c>
      <c r="I459" s="3">
        <f t="shared" si="19"/>
        <v>105.6</v>
      </c>
      <c r="J459" s="150"/>
    </row>
    <row r="460" spans="1:10">
      <c r="A460" s="174" t="s">
        <v>7099</v>
      </c>
      <c r="B460">
        <v>85</v>
      </c>
      <c r="F460" s="81" t="s">
        <v>748</v>
      </c>
      <c r="G460" s="81" t="s">
        <v>5905</v>
      </c>
      <c r="H460" s="3">
        <f t="shared" si="18"/>
        <v>258.4375</v>
      </c>
      <c r="I460" s="3">
        <f t="shared" si="19"/>
        <v>41.35</v>
      </c>
      <c r="J460" s="150"/>
    </row>
    <row r="461" spans="1:10">
      <c r="A461" s="174" t="s">
        <v>7099</v>
      </c>
      <c r="B461">
        <v>85</v>
      </c>
      <c r="F461" s="81" t="s">
        <v>941</v>
      </c>
      <c r="G461" s="81" t="s">
        <v>1641</v>
      </c>
      <c r="H461" s="3">
        <f t="shared" si="18"/>
        <v>304.1875</v>
      </c>
      <c r="I461" s="3">
        <f t="shared" si="19"/>
        <v>48.67</v>
      </c>
      <c r="J461" s="150"/>
    </row>
    <row r="462" spans="1:10">
      <c r="A462" s="174" t="s">
        <v>7099</v>
      </c>
      <c r="B462">
        <v>85</v>
      </c>
      <c r="F462" s="87" t="s">
        <v>745</v>
      </c>
      <c r="G462" s="88" t="s">
        <v>746</v>
      </c>
      <c r="H462" s="3">
        <f t="shared" si="18"/>
        <v>259056.9375</v>
      </c>
      <c r="I462" s="3">
        <f t="shared" si="19"/>
        <v>41449.11</v>
      </c>
      <c r="J462" s="160"/>
    </row>
    <row r="463" spans="1:10">
      <c r="A463" s="174" t="s">
        <v>7099</v>
      </c>
      <c r="B463">
        <v>85</v>
      </c>
      <c r="F463" s="81" t="s">
        <v>6277</v>
      </c>
      <c r="G463" s="81" t="s">
        <v>6212</v>
      </c>
      <c r="H463" s="3">
        <f t="shared" si="18"/>
        <v>47993</v>
      </c>
      <c r="I463" s="3">
        <f t="shared" si="19"/>
        <v>7678.88</v>
      </c>
      <c r="J463" s="150"/>
    </row>
    <row r="464" spans="1:10">
      <c r="A464" s="174" t="s">
        <v>7099</v>
      </c>
      <c r="B464">
        <v>85</v>
      </c>
      <c r="F464" s="81" t="s">
        <v>736</v>
      </c>
      <c r="G464" s="81" t="s">
        <v>3053</v>
      </c>
      <c r="H464" s="3">
        <f t="shared" si="18"/>
        <v>832402.24999999988</v>
      </c>
      <c r="I464" s="3">
        <f t="shared" si="19"/>
        <v>133184.35999999999</v>
      </c>
      <c r="J464" s="150"/>
    </row>
    <row r="465" spans="1:11">
      <c r="A465" s="174" t="s">
        <v>7099</v>
      </c>
      <c r="B465">
        <v>85</v>
      </c>
      <c r="F465" s="84" t="s">
        <v>734</v>
      </c>
      <c r="G465" s="81" t="s">
        <v>735</v>
      </c>
      <c r="H465" s="3">
        <f t="shared" si="18"/>
        <v>1340031.8125</v>
      </c>
      <c r="I465" s="3">
        <f t="shared" si="19"/>
        <v>214405.09</v>
      </c>
      <c r="J465" s="150"/>
    </row>
    <row r="466" spans="1:11">
      <c r="A466" s="174" t="s">
        <v>7099</v>
      </c>
      <c r="B466">
        <v>85</v>
      </c>
      <c r="F466" s="28" t="s">
        <v>1651</v>
      </c>
      <c r="G466" s="28" t="s">
        <v>940</v>
      </c>
      <c r="H466" s="3">
        <f t="shared" si="18"/>
        <v>501.75</v>
      </c>
      <c r="I466" s="3">
        <f t="shared" si="19"/>
        <v>80.28</v>
      </c>
      <c r="J466" s="150"/>
    </row>
    <row r="467" spans="1:11">
      <c r="A467" s="174" t="s">
        <v>7099</v>
      </c>
      <c r="B467">
        <v>85</v>
      </c>
      <c r="F467" s="81" t="s">
        <v>6285</v>
      </c>
      <c r="G467" s="81" t="s">
        <v>6286</v>
      </c>
      <c r="H467" s="3">
        <f t="shared" si="18"/>
        <v>212</v>
      </c>
      <c r="I467" s="3">
        <f t="shared" si="19"/>
        <v>33.92</v>
      </c>
      <c r="J467" s="150"/>
    </row>
    <row r="468" spans="1:11">
      <c r="A468" s="174" t="s">
        <v>7099</v>
      </c>
      <c r="B468">
        <v>85</v>
      </c>
      <c r="F468" s="87" t="s">
        <v>4715</v>
      </c>
      <c r="G468" s="81" t="s">
        <v>828</v>
      </c>
      <c r="H468" s="3">
        <f t="shared" si="18"/>
        <v>17248.6875</v>
      </c>
      <c r="I468" s="3">
        <f t="shared" si="19"/>
        <v>2759.79</v>
      </c>
      <c r="J468" s="150"/>
    </row>
    <row r="469" spans="1:11">
      <c r="A469" s="174" t="s">
        <v>7099</v>
      </c>
      <c r="B469">
        <v>85</v>
      </c>
      <c r="F469" s="87" t="s">
        <v>821</v>
      </c>
      <c r="G469" s="87" t="s">
        <v>2272</v>
      </c>
      <c r="H469" s="3">
        <f t="shared" si="18"/>
        <v>265</v>
      </c>
      <c r="I469" s="3">
        <f t="shared" si="19"/>
        <v>42.4</v>
      </c>
      <c r="J469" s="161"/>
    </row>
    <row r="470" spans="1:11">
      <c r="A470" s="174" t="s">
        <v>7099</v>
      </c>
      <c r="B470">
        <v>85</v>
      </c>
      <c r="F470" s="81" t="s">
        <v>6304</v>
      </c>
      <c r="G470" s="81" t="s">
        <v>6305</v>
      </c>
      <c r="H470" s="3">
        <f t="shared" si="18"/>
        <v>95</v>
      </c>
      <c r="I470" s="3">
        <f t="shared" si="19"/>
        <v>15.2</v>
      </c>
      <c r="J470" s="150"/>
    </row>
    <row r="471" spans="1:11">
      <c r="A471" s="174" t="s">
        <v>7099</v>
      </c>
      <c r="B471">
        <v>85</v>
      </c>
      <c r="F471" s="81" t="s">
        <v>2855</v>
      </c>
      <c r="G471" s="81" t="s">
        <v>2724</v>
      </c>
      <c r="H471" s="3">
        <f t="shared" si="18"/>
        <v>3500</v>
      </c>
      <c r="I471" s="3">
        <f t="shared" si="19"/>
        <v>560</v>
      </c>
      <c r="J471" s="150"/>
    </row>
    <row r="472" spans="1:11">
      <c r="A472" s="174" t="s">
        <v>7099</v>
      </c>
      <c r="B472">
        <v>85</v>
      </c>
      <c r="F472" s="87" t="s">
        <v>823</v>
      </c>
      <c r="G472" s="90" t="s">
        <v>824</v>
      </c>
      <c r="H472" s="3">
        <f t="shared" si="18"/>
        <v>356</v>
      </c>
      <c r="I472" s="3">
        <f t="shared" si="19"/>
        <v>56.96</v>
      </c>
      <c r="J472" s="162"/>
    </row>
    <row r="473" spans="1:11">
      <c r="A473" s="174" t="s">
        <v>7099</v>
      </c>
      <c r="B473">
        <v>85</v>
      </c>
      <c r="F473" s="123" t="s">
        <v>950</v>
      </c>
      <c r="G473" s="90" t="s">
        <v>951</v>
      </c>
      <c r="H473" s="3">
        <f t="shared" si="18"/>
        <v>9350.5</v>
      </c>
      <c r="I473" s="3">
        <f t="shared" si="19"/>
        <v>1496.08</v>
      </c>
      <c r="J473" s="162"/>
    </row>
    <row r="474" spans="1:11">
      <c r="A474" s="174" t="s">
        <v>7099</v>
      </c>
      <c r="B474">
        <v>85</v>
      </c>
      <c r="F474" s="87" t="s">
        <v>825</v>
      </c>
      <c r="G474" s="90" t="s">
        <v>826</v>
      </c>
      <c r="H474" s="3">
        <f t="shared" si="18"/>
        <v>126</v>
      </c>
      <c r="I474" s="3">
        <f t="shared" si="19"/>
        <v>20.16</v>
      </c>
      <c r="J474" s="162"/>
    </row>
    <row r="475" spans="1:11">
      <c r="A475" s="174" t="s">
        <v>7099</v>
      </c>
      <c r="B475">
        <v>85</v>
      </c>
      <c r="F475" s="84" t="s">
        <v>772</v>
      </c>
      <c r="G475" s="81" t="s">
        <v>29</v>
      </c>
      <c r="H475" s="3">
        <f t="shared" si="18"/>
        <v>1320599.0625</v>
      </c>
      <c r="I475" s="3">
        <f t="shared" si="19"/>
        <v>211295.85</v>
      </c>
      <c r="J475" s="150"/>
    </row>
    <row r="476" spans="1:11">
      <c r="A476" s="174" t="s">
        <v>7099</v>
      </c>
      <c r="B476">
        <v>85</v>
      </c>
      <c r="F476" s="81" t="s">
        <v>3395</v>
      </c>
      <c r="G476" s="81" t="s">
        <v>4340</v>
      </c>
      <c r="H476" s="3">
        <f t="shared" si="18"/>
        <v>376.3125</v>
      </c>
      <c r="I476" s="3">
        <f t="shared" si="19"/>
        <v>60.21</v>
      </c>
      <c r="J476" s="150"/>
    </row>
    <row r="477" spans="1:11">
      <c r="A477" s="174" t="s">
        <v>7099</v>
      </c>
      <c r="B477">
        <v>85</v>
      </c>
      <c r="F477" s="87" t="s">
        <v>755</v>
      </c>
      <c r="G477" s="81" t="s">
        <v>6278</v>
      </c>
      <c r="H477" s="3">
        <f t="shared" si="18"/>
        <v>1009686.5</v>
      </c>
      <c r="I477" s="3">
        <f t="shared" si="19"/>
        <v>161549.84</v>
      </c>
      <c r="J477" s="150"/>
    </row>
    <row r="478" spans="1:11">
      <c r="A478" s="174" t="s">
        <v>7099</v>
      </c>
      <c r="B478">
        <v>85</v>
      </c>
      <c r="F478" s="28" t="s">
        <v>6328</v>
      </c>
      <c r="G478" s="28" t="s">
        <v>6329</v>
      </c>
      <c r="H478" s="3">
        <f t="shared" si="18"/>
        <v>428.125</v>
      </c>
      <c r="I478" s="3">
        <f t="shared" si="19"/>
        <v>68.5</v>
      </c>
      <c r="J478" s="150"/>
    </row>
    <row r="479" spans="1:11">
      <c r="A479" s="174" t="s">
        <v>7099</v>
      </c>
      <c r="B479">
        <v>85</v>
      </c>
      <c r="F479" s="87" t="s">
        <v>6294</v>
      </c>
      <c r="G479" s="81" t="s">
        <v>6007</v>
      </c>
      <c r="H479" s="3">
        <f t="shared" si="18"/>
        <v>200</v>
      </c>
      <c r="I479" s="3">
        <f t="shared" si="19"/>
        <v>32</v>
      </c>
      <c r="J479" s="150"/>
    </row>
    <row r="480" spans="1:11">
      <c r="A480" s="174" t="s">
        <v>7099</v>
      </c>
      <c r="B480">
        <v>85</v>
      </c>
      <c r="F480" s="81" t="s">
        <v>6284</v>
      </c>
      <c r="G480" s="81" t="s">
        <v>5661</v>
      </c>
      <c r="H480" s="3">
        <f t="shared" si="18"/>
        <v>351517.18750000006</v>
      </c>
      <c r="I480" s="3">
        <f t="shared" si="19"/>
        <v>56242.750000000007</v>
      </c>
      <c r="J480" s="150"/>
      <c r="K480" s="14">
        <f>+J480-I480</f>
        <v>-56242.750000000007</v>
      </c>
    </row>
    <row r="481" spans="1:10">
      <c r="A481" s="174" t="s">
        <v>7099</v>
      </c>
      <c r="B481">
        <v>85</v>
      </c>
      <c r="F481" s="81" t="s">
        <v>5728</v>
      </c>
      <c r="G481" s="81" t="s">
        <v>5729</v>
      </c>
      <c r="H481" s="3">
        <f t="shared" si="18"/>
        <v>206.875</v>
      </c>
      <c r="I481" s="3">
        <f t="shared" si="19"/>
        <v>33.1</v>
      </c>
      <c r="J481" s="150"/>
    </row>
    <row r="482" spans="1:10">
      <c r="A482" s="174" t="s">
        <v>7099</v>
      </c>
      <c r="B482">
        <v>85</v>
      </c>
      <c r="F482" s="81" t="s">
        <v>3389</v>
      </c>
      <c r="G482" s="81" t="s">
        <v>4336</v>
      </c>
      <c r="H482" s="3">
        <f t="shared" si="18"/>
        <v>51.312500000000007</v>
      </c>
      <c r="I482" s="3">
        <f t="shared" si="19"/>
        <v>8.2100000000000009</v>
      </c>
      <c r="J482" s="150"/>
    </row>
    <row r="483" spans="1:10">
      <c r="A483" s="174" t="s">
        <v>7099</v>
      </c>
      <c r="B483">
        <v>85</v>
      </c>
      <c r="F483" s="81" t="s">
        <v>763</v>
      </c>
      <c r="G483" s="81" t="s">
        <v>284</v>
      </c>
      <c r="H483" s="3">
        <f t="shared" si="18"/>
        <v>910.99999999999989</v>
      </c>
      <c r="I483" s="3">
        <f t="shared" si="19"/>
        <v>145.76</v>
      </c>
      <c r="J483" s="150"/>
    </row>
    <row r="484" spans="1:10">
      <c r="A484" s="174" t="s">
        <v>7099</v>
      </c>
      <c r="B484">
        <v>85</v>
      </c>
      <c r="F484" s="81" t="s">
        <v>1577</v>
      </c>
      <c r="G484" s="81" t="s">
        <v>1062</v>
      </c>
      <c r="H484" s="3">
        <f t="shared" si="18"/>
        <v>8060.375</v>
      </c>
      <c r="I484" s="3">
        <f t="shared" si="19"/>
        <v>1289.6600000000001</v>
      </c>
      <c r="J484" s="150"/>
    </row>
    <row r="485" spans="1:10">
      <c r="A485" s="174" t="s">
        <v>7099</v>
      </c>
      <c r="B485">
        <v>85</v>
      </c>
      <c r="F485" s="87" t="s">
        <v>5725</v>
      </c>
      <c r="G485" s="81" t="s">
        <v>5464</v>
      </c>
      <c r="H485" s="3">
        <f t="shared" si="18"/>
        <v>92.25</v>
      </c>
      <c r="I485" s="3">
        <f t="shared" si="19"/>
        <v>14.76</v>
      </c>
      <c r="J485" s="150"/>
    </row>
    <row r="486" spans="1:10">
      <c r="A486" s="174" t="s">
        <v>7099</v>
      </c>
      <c r="B486">
        <v>85</v>
      </c>
      <c r="F486" s="81" t="s">
        <v>2920</v>
      </c>
      <c r="G486" s="81" t="s">
        <v>2921</v>
      </c>
      <c r="H486" s="3">
        <f t="shared" si="18"/>
        <v>358.625</v>
      </c>
      <c r="I486" s="3">
        <f t="shared" si="19"/>
        <v>57.38</v>
      </c>
      <c r="J486" s="150"/>
    </row>
    <row r="487" spans="1:10">
      <c r="A487" s="174" t="s">
        <v>7099</v>
      </c>
      <c r="B487">
        <v>85</v>
      </c>
      <c r="F487" s="81" t="s">
        <v>764</v>
      </c>
      <c r="G487" s="81" t="s">
        <v>100</v>
      </c>
      <c r="H487" s="3">
        <f t="shared" si="18"/>
        <v>21717.25</v>
      </c>
      <c r="I487" s="3">
        <f t="shared" si="19"/>
        <v>3474.76</v>
      </c>
      <c r="J487" s="150"/>
    </row>
    <row r="488" spans="1:10">
      <c r="A488" s="174" t="s">
        <v>7099</v>
      </c>
      <c r="B488">
        <v>85</v>
      </c>
      <c r="F488" s="81" t="s">
        <v>770</v>
      </c>
      <c r="G488" s="81" t="s">
        <v>1142</v>
      </c>
      <c r="H488" s="3">
        <f t="shared" si="18"/>
        <v>33011</v>
      </c>
      <c r="I488" s="3">
        <f t="shared" si="19"/>
        <v>5281.76</v>
      </c>
      <c r="J488" s="150"/>
    </row>
    <row r="489" spans="1:10">
      <c r="A489" s="174" t="s">
        <v>7099</v>
      </c>
      <c r="B489">
        <v>85</v>
      </c>
      <c r="F489" s="84" t="s">
        <v>759</v>
      </c>
      <c r="G489" s="81" t="s">
        <v>760</v>
      </c>
      <c r="H489" s="3">
        <f t="shared" si="18"/>
        <v>169608.1875</v>
      </c>
      <c r="I489" s="3">
        <f t="shared" si="19"/>
        <v>27137.31</v>
      </c>
      <c r="J489" s="150"/>
    </row>
    <row r="490" spans="1:10">
      <c r="A490" s="174" t="s">
        <v>7099</v>
      </c>
      <c r="B490">
        <v>85</v>
      </c>
      <c r="F490" s="81" t="s">
        <v>1585</v>
      </c>
      <c r="G490" s="81" t="s">
        <v>999</v>
      </c>
      <c r="H490" s="3">
        <f t="shared" si="18"/>
        <v>10752.9375</v>
      </c>
      <c r="I490" s="3">
        <f t="shared" si="19"/>
        <v>1720.47</v>
      </c>
      <c r="J490" s="150"/>
    </row>
    <row r="491" spans="1:10">
      <c r="A491" s="174" t="s">
        <v>7099</v>
      </c>
      <c r="B491">
        <v>85</v>
      </c>
      <c r="F491" s="87" t="s">
        <v>767</v>
      </c>
      <c r="G491" s="81" t="s">
        <v>549</v>
      </c>
      <c r="H491" s="3">
        <f t="shared" si="18"/>
        <v>1120.6875</v>
      </c>
      <c r="I491" s="3">
        <f t="shared" si="19"/>
        <v>179.31</v>
      </c>
      <c r="J491" s="150"/>
    </row>
    <row r="492" spans="1:10">
      <c r="A492" s="174" t="s">
        <v>7099</v>
      </c>
      <c r="B492">
        <v>85</v>
      </c>
      <c r="F492" s="87" t="s">
        <v>1601</v>
      </c>
      <c r="G492" s="87" t="s">
        <v>6300</v>
      </c>
      <c r="H492" s="3">
        <f t="shared" si="18"/>
        <v>1125.875</v>
      </c>
      <c r="I492" s="3">
        <f t="shared" si="19"/>
        <v>180.14</v>
      </c>
      <c r="J492" s="161"/>
    </row>
    <row r="493" spans="1:10">
      <c r="A493" s="174" t="s">
        <v>7099</v>
      </c>
      <c r="B493">
        <v>85</v>
      </c>
      <c r="F493" s="81" t="s">
        <v>1587</v>
      </c>
      <c r="G493" s="81" t="s">
        <v>1239</v>
      </c>
      <c r="H493" s="3">
        <f t="shared" si="18"/>
        <v>748</v>
      </c>
      <c r="I493" s="3">
        <f t="shared" si="19"/>
        <v>119.68</v>
      </c>
      <c r="J493" s="150"/>
    </row>
    <row r="494" spans="1:10">
      <c r="A494" s="174" t="s">
        <v>7099</v>
      </c>
      <c r="B494">
        <v>85</v>
      </c>
      <c r="F494" s="81" t="s">
        <v>6320</v>
      </c>
      <c r="G494" s="81" t="s">
        <v>6321</v>
      </c>
      <c r="H494" s="3">
        <f t="shared" si="18"/>
        <v>93.125</v>
      </c>
      <c r="I494" s="3">
        <f t="shared" si="19"/>
        <v>14.9</v>
      </c>
      <c r="J494" s="150"/>
    </row>
    <row r="495" spans="1:10">
      <c r="A495" s="174" t="s">
        <v>7099</v>
      </c>
      <c r="B495">
        <v>85</v>
      </c>
      <c r="F495" s="81" t="s">
        <v>6306</v>
      </c>
      <c r="G495" s="81" t="s">
        <v>6307</v>
      </c>
      <c r="H495" s="3">
        <f t="shared" si="18"/>
        <v>627.4375</v>
      </c>
      <c r="I495" s="3">
        <f t="shared" si="19"/>
        <v>100.39</v>
      </c>
      <c r="J495" s="150"/>
    </row>
    <row r="496" spans="1:10">
      <c r="A496" s="174" t="s">
        <v>7099</v>
      </c>
      <c r="B496">
        <v>85</v>
      </c>
      <c r="F496" s="123" t="s">
        <v>944</v>
      </c>
      <c r="G496" s="81" t="s">
        <v>303</v>
      </c>
      <c r="H496" s="3">
        <f t="shared" si="18"/>
        <v>296733.375</v>
      </c>
      <c r="I496" s="3">
        <f t="shared" si="19"/>
        <v>47477.34</v>
      </c>
      <c r="J496" s="150"/>
    </row>
    <row r="497" spans="1:10">
      <c r="A497" s="174" t="s">
        <v>7099</v>
      </c>
      <c r="B497">
        <v>85</v>
      </c>
      <c r="F497" s="84" t="s">
        <v>761</v>
      </c>
      <c r="G497" s="81" t="s">
        <v>762</v>
      </c>
      <c r="H497" s="3">
        <f t="shared" si="18"/>
        <v>476941.625</v>
      </c>
      <c r="I497" s="3">
        <f t="shared" si="19"/>
        <v>76310.66</v>
      </c>
      <c r="J497" s="150"/>
    </row>
    <row r="498" spans="1:10">
      <c r="A498" s="174" t="s">
        <v>7099</v>
      </c>
      <c r="B498">
        <v>85</v>
      </c>
      <c r="F498" s="81" t="s">
        <v>777</v>
      </c>
      <c r="G498" s="81" t="s">
        <v>296</v>
      </c>
      <c r="H498" s="3">
        <f t="shared" si="18"/>
        <v>12849</v>
      </c>
      <c r="I498" s="3">
        <f t="shared" si="19"/>
        <v>2055.84</v>
      </c>
      <c r="J498" s="150"/>
    </row>
    <row r="499" spans="1:10">
      <c r="A499" s="174" t="s">
        <v>7099</v>
      </c>
      <c r="B499">
        <v>85</v>
      </c>
      <c r="F499" s="87" t="s">
        <v>2290</v>
      </c>
      <c r="G499" s="81" t="s">
        <v>2064</v>
      </c>
      <c r="H499" s="3">
        <f t="shared" si="18"/>
        <v>425</v>
      </c>
      <c r="I499" s="3">
        <f t="shared" si="19"/>
        <v>68</v>
      </c>
      <c r="J499" s="150"/>
    </row>
    <row r="500" spans="1:10">
      <c r="A500" s="174" t="s">
        <v>7099</v>
      </c>
      <c r="B500">
        <v>85</v>
      </c>
      <c r="F500" s="81" t="s">
        <v>6322</v>
      </c>
      <c r="G500" s="81" t="s">
        <v>6323</v>
      </c>
      <c r="H500" s="3">
        <f t="shared" si="18"/>
        <v>334.5</v>
      </c>
      <c r="I500" s="3">
        <f t="shared" si="19"/>
        <v>53.52</v>
      </c>
      <c r="J500" s="150"/>
    </row>
    <row r="501" spans="1:10">
      <c r="A501" s="174" t="s">
        <v>7099</v>
      </c>
      <c r="B501">
        <v>85</v>
      </c>
      <c r="F501" s="87" t="s">
        <v>775</v>
      </c>
      <c r="G501" s="81" t="s">
        <v>776</v>
      </c>
      <c r="H501" s="3">
        <f t="shared" si="18"/>
        <v>224993.125</v>
      </c>
      <c r="I501" s="3">
        <f t="shared" si="19"/>
        <v>35998.9</v>
      </c>
      <c r="J501" s="150"/>
    </row>
    <row r="502" spans="1:10">
      <c r="A502" s="174" t="s">
        <v>7099</v>
      </c>
      <c r="B502">
        <v>85</v>
      </c>
      <c r="F502" s="81" t="s">
        <v>1594</v>
      </c>
      <c r="G502" s="81" t="s">
        <v>4739</v>
      </c>
      <c r="H502" s="3">
        <f t="shared" si="18"/>
        <v>14919.25</v>
      </c>
      <c r="I502" s="3">
        <f t="shared" si="19"/>
        <v>2387.08</v>
      </c>
      <c r="J502" s="150"/>
    </row>
    <row r="503" spans="1:10">
      <c r="A503" s="174" t="s">
        <v>7099</v>
      </c>
      <c r="B503">
        <v>85</v>
      </c>
      <c r="F503" s="81" t="s">
        <v>781</v>
      </c>
      <c r="G503" s="81" t="s">
        <v>80</v>
      </c>
      <c r="H503" s="3">
        <f t="shared" si="18"/>
        <v>4726.9999999999991</v>
      </c>
      <c r="I503" s="3">
        <f t="shared" si="19"/>
        <v>756.31999999999994</v>
      </c>
      <c r="J503" s="150"/>
    </row>
    <row r="504" spans="1:10">
      <c r="A504" s="174" t="s">
        <v>7099</v>
      </c>
      <c r="B504">
        <v>85</v>
      </c>
      <c r="F504" s="81" t="s">
        <v>780</v>
      </c>
      <c r="G504" s="81" t="s">
        <v>373</v>
      </c>
      <c r="H504" s="3">
        <f t="shared" si="18"/>
        <v>44940</v>
      </c>
      <c r="I504" s="3">
        <f t="shared" si="19"/>
        <v>7190.4000000000005</v>
      </c>
      <c r="J504" s="150"/>
    </row>
    <row r="505" spans="1:10">
      <c r="A505" s="174" t="s">
        <v>7099</v>
      </c>
      <c r="B505">
        <v>85</v>
      </c>
      <c r="F505" s="81" t="s">
        <v>935</v>
      </c>
      <c r="G505" s="81" t="s">
        <v>936</v>
      </c>
      <c r="H505" s="3">
        <f t="shared" si="18"/>
        <v>83.625</v>
      </c>
      <c r="I505" s="3">
        <f t="shared" si="19"/>
        <v>13.38</v>
      </c>
      <c r="J505" s="150"/>
    </row>
    <row r="506" spans="1:10">
      <c r="A506" s="174" t="s">
        <v>7099</v>
      </c>
      <c r="B506">
        <v>85</v>
      </c>
      <c r="F506" s="87" t="s">
        <v>784</v>
      </c>
      <c r="G506" s="81" t="s">
        <v>618</v>
      </c>
      <c r="H506" s="3">
        <f t="shared" si="18"/>
        <v>172.4375</v>
      </c>
      <c r="I506" s="3">
        <f t="shared" si="19"/>
        <v>27.59</v>
      </c>
      <c r="J506" s="150"/>
    </row>
    <row r="507" spans="1:10">
      <c r="A507" s="174" t="s">
        <v>7099</v>
      </c>
      <c r="B507">
        <v>85</v>
      </c>
      <c r="F507" s="81" t="s">
        <v>739</v>
      </c>
      <c r="G507" s="81" t="s">
        <v>469</v>
      </c>
      <c r="H507" s="3">
        <f t="shared" si="18"/>
        <v>2155.0625</v>
      </c>
      <c r="I507" s="3">
        <f t="shared" si="19"/>
        <v>344.81</v>
      </c>
      <c r="J507" s="150"/>
    </row>
    <row r="508" spans="1:10">
      <c r="A508" s="174" t="s">
        <v>7099</v>
      </c>
      <c r="B508">
        <v>85</v>
      </c>
      <c r="F508" s="81" t="s">
        <v>6289</v>
      </c>
      <c r="G508" s="81" t="s">
        <v>6231</v>
      </c>
      <c r="H508" s="3">
        <f t="shared" si="18"/>
        <v>16478.4375</v>
      </c>
      <c r="I508" s="3">
        <f t="shared" si="19"/>
        <v>2636.55</v>
      </c>
      <c r="J508" s="150"/>
    </row>
    <row r="509" spans="1:10">
      <c r="A509" s="174" t="s">
        <v>7099</v>
      </c>
      <c r="B509">
        <v>85</v>
      </c>
      <c r="F509" s="28" t="s">
        <v>4349</v>
      </c>
      <c r="G509" s="28" t="s">
        <v>4720</v>
      </c>
      <c r="H509" s="3">
        <f t="shared" si="18"/>
        <v>334.5</v>
      </c>
      <c r="I509" s="3">
        <f t="shared" si="19"/>
        <v>53.52</v>
      </c>
      <c r="J509" s="150"/>
    </row>
    <row r="510" spans="1:10">
      <c r="A510" s="174" t="s">
        <v>7099</v>
      </c>
      <c r="B510">
        <v>85</v>
      </c>
      <c r="F510" s="70" t="s">
        <v>954</v>
      </c>
      <c r="G510" s="28" t="s">
        <v>2351</v>
      </c>
      <c r="H510" s="3">
        <f t="shared" si="18"/>
        <v>459.5625</v>
      </c>
      <c r="I510" s="3">
        <f t="shared" si="19"/>
        <v>73.53</v>
      </c>
      <c r="J510" s="150"/>
    </row>
    <row r="511" spans="1:10">
      <c r="A511" s="174" t="s">
        <v>7099</v>
      </c>
      <c r="B511">
        <v>85</v>
      </c>
      <c r="F511" s="81" t="s">
        <v>5735</v>
      </c>
      <c r="G511" s="81" t="s">
        <v>5644</v>
      </c>
      <c r="H511" s="3">
        <f t="shared" si="18"/>
        <v>1089</v>
      </c>
      <c r="I511" s="3">
        <f t="shared" si="19"/>
        <v>174.24</v>
      </c>
      <c r="J511" s="150"/>
    </row>
    <row r="512" spans="1:10">
      <c r="A512" s="174" t="s">
        <v>7099</v>
      </c>
      <c r="B512">
        <v>6</v>
      </c>
      <c r="F512" s="81" t="s">
        <v>2302</v>
      </c>
      <c r="G512" s="81" t="s">
        <v>5358</v>
      </c>
      <c r="H512" s="3">
        <f t="shared" si="18"/>
        <v>1035.75</v>
      </c>
      <c r="I512" s="3">
        <f t="shared" si="19"/>
        <v>165.72</v>
      </c>
      <c r="J512" s="150">
        <f>10.36+10.36+10.36+10.36</f>
        <v>41.44</v>
      </c>
    </row>
    <row r="513" spans="1:10">
      <c r="A513" s="174" t="s">
        <v>7099</v>
      </c>
      <c r="B513">
        <v>85</v>
      </c>
      <c r="F513" s="81" t="s">
        <v>794</v>
      </c>
      <c r="G513" s="81" t="s">
        <v>612</v>
      </c>
      <c r="H513" s="3">
        <f t="shared" ref="H513:H576" si="20">+I513/0.16</f>
        <v>638.5625</v>
      </c>
      <c r="I513" s="3">
        <f t="shared" ref="I513:I576" si="21">+SUMIF($F$7:$F$441,F513,$I$7:$I$441)</f>
        <v>102.17</v>
      </c>
      <c r="J513" s="150"/>
    </row>
    <row r="514" spans="1:10">
      <c r="A514" s="174" t="s">
        <v>7099</v>
      </c>
      <c r="B514">
        <v>85</v>
      </c>
      <c r="F514" s="88" t="s">
        <v>1598</v>
      </c>
      <c r="G514" s="81" t="s">
        <v>1599</v>
      </c>
      <c r="H514" s="3">
        <f t="shared" si="20"/>
        <v>646549.8125</v>
      </c>
      <c r="I514" s="3">
        <f t="shared" si="21"/>
        <v>103447.97</v>
      </c>
      <c r="J514" s="150"/>
    </row>
    <row r="515" spans="1:10">
      <c r="A515" s="174" t="s">
        <v>7099</v>
      </c>
      <c r="B515">
        <v>85</v>
      </c>
      <c r="F515" s="81" t="s">
        <v>793</v>
      </c>
      <c r="G515" s="81" t="s">
        <v>22</v>
      </c>
      <c r="H515" s="3">
        <f t="shared" si="20"/>
        <v>11173.625</v>
      </c>
      <c r="I515" s="3">
        <f t="shared" si="21"/>
        <v>1787.78</v>
      </c>
      <c r="J515" s="150"/>
    </row>
    <row r="516" spans="1:10">
      <c r="A516" s="174" t="s">
        <v>7099</v>
      </c>
      <c r="B516">
        <v>85</v>
      </c>
      <c r="F516" s="28" t="s">
        <v>6330</v>
      </c>
      <c r="G516" s="28" t="s">
        <v>6331</v>
      </c>
      <c r="H516" s="3">
        <f t="shared" si="20"/>
        <v>41.8125</v>
      </c>
      <c r="I516" s="3">
        <f t="shared" si="21"/>
        <v>6.69</v>
      </c>
      <c r="J516" s="150"/>
    </row>
    <row r="517" spans="1:10">
      <c r="A517" s="174" t="s">
        <v>7099</v>
      </c>
      <c r="B517">
        <v>85</v>
      </c>
      <c r="F517" s="81" t="s">
        <v>798</v>
      </c>
      <c r="G517" s="81" t="s">
        <v>77</v>
      </c>
      <c r="H517" s="3">
        <f t="shared" si="20"/>
        <v>4639.8125</v>
      </c>
      <c r="I517" s="3">
        <f t="shared" si="21"/>
        <v>742.37</v>
      </c>
      <c r="J517" s="150"/>
    </row>
    <row r="518" spans="1:10">
      <c r="A518" s="174" t="s">
        <v>7099</v>
      </c>
      <c r="B518">
        <v>85</v>
      </c>
      <c r="F518" s="81" t="s">
        <v>2901</v>
      </c>
      <c r="G518" s="81" t="s">
        <v>2902</v>
      </c>
      <c r="H518" s="3">
        <f t="shared" si="20"/>
        <v>81.875</v>
      </c>
      <c r="I518" s="3">
        <f t="shared" si="21"/>
        <v>13.1</v>
      </c>
      <c r="J518" s="150"/>
    </row>
    <row r="519" spans="1:10">
      <c r="A519" s="174" t="s">
        <v>7099</v>
      </c>
      <c r="B519">
        <v>85</v>
      </c>
      <c r="F519" s="81" t="s">
        <v>6287</v>
      </c>
      <c r="G519" s="81" t="s">
        <v>6288</v>
      </c>
      <c r="H519" s="3">
        <f t="shared" si="20"/>
        <v>224.125</v>
      </c>
      <c r="I519" s="3">
        <f t="shared" si="21"/>
        <v>35.86</v>
      </c>
      <c r="J519" s="150"/>
    </row>
    <row r="520" spans="1:10">
      <c r="A520" s="174" t="s">
        <v>7099</v>
      </c>
      <c r="B520">
        <v>85</v>
      </c>
      <c r="F520" s="28" t="s">
        <v>6316</v>
      </c>
      <c r="G520" s="28" t="s">
        <v>6317</v>
      </c>
      <c r="H520" s="3">
        <f t="shared" si="20"/>
        <v>803.3125</v>
      </c>
      <c r="I520" s="3">
        <f t="shared" si="21"/>
        <v>128.53</v>
      </c>
      <c r="J520" s="150"/>
    </row>
    <row r="521" spans="1:10">
      <c r="A521" s="174" t="s">
        <v>7099</v>
      </c>
      <c r="B521">
        <v>85</v>
      </c>
      <c r="F521" s="32" t="s">
        <v>946</v>
      </c>
      <c r="G521" t="s">
        <v>947</v>
      </c>
      <c r="H521" s="3">
        <f t="shared" si="20"/>
        <v>26458.749999999996</v>
      </c>
      <c r="I521" s="3">
        <f t="shared" si="21"/>
        <v>4233.3999999999996</v>
      </c>
      <c r="J521" s="150"/>
    </row>
    <row r="522" spans="1:10">
      <c r="A522" s="174" t="s">
        <v>7099</v>
      </c>
      <c r="B522">
        <v>85</v>
      </c>
      <c r="F522" s="87" t="s">
        <v>6308</v>
      </c>
      <c r="G522" s="81" t="s">
        <v>6309</v>
      </c>
      <c r="H522" s="3">
        <f t="shared" si="20"/>
        <v>86.187499999999986</v>
      </c>
      <c r="I522" s="3">
        <f t="shared" si="21"/>
        <v>13.79</v>
      </c>
      <c r="J522" s="150"/>
    </row>
    <row r="523" spans="1:10">
      <c r="A523" s="174" t="s">
        <v>7099</v>
      </c>
      <c r="B523">
        <v>85</v>
      </c>
      <c r="F523" s="81" t="s">
        <v>5736</v>
      </c>
      <c r="G523" s="81" t="s">
        <v>5569</v>
      </c>
      <c r="H523" s="3">
        <f t="shared" si="20"/>
        <v>12800</v>
      </c>
      <c r="I523" s="3">
        <f t="shared" si="21"/>
        <v>2048</v>
      </c>
      <c r="J523" s="150"/>
    </row>
    <row r="524" spans="1:10">
      <c r="A524" s="174" t="s">
        <v>7099</v>
      </c>
      <c r="B524">
        <v>85</v>
      </c>
      <c r="F524" s="81" t="s">
        <v>797</v>
      </c>
      <c r="G524" s="81" t="s">
        <v>220</v>
      </c>
      <c r="H524" s="3">
        <f t="shared" si="20"/>
        <v>10545</v>
      </c>
      <c r="I524" s="3">
        <f t="shared" si="21"/>
        <v>1687.2</v>
      </c>
      <c r="J524" s="150"/>
    </row>
    <row r="525" spans="1:10">
      <c r="A525" s="174" t="s">
        <v>7099</v>
      </c>
      <c r="B525">
        <v>85</v>
      </c>
      <c r="F525" s="81" t="s">
        <v>2285</v>
      </c>
      <c r="G525" s="81" t="s">
        <v>3820</v>
      </c>
      <c r="H525" s="3">
        <f t="shared" si="20"/>
        <v>492710.375</v>
      </c>
      <c r="I525" s="3">
        <f t="shared" si="21"/>
        <v>78833.66</v>
      </c>
      <c r="J525" s="150"/>
    </row>
    <row r="526" spans="1:10">
      <c r="A526" s="174" t="s">
        <v>7099</v>
      </c>
      <c r="B526">
        <v>85</v>
      </c>
      <c r="F526" s="28" t="s">
        <v>2277</v>
      </c>
      <c r="G526" s="28" t="s">
        <v>2278</v>
      </c>
      <c r="H526" s="3">
        <f t="shared" si="20"/>
        <v>417.99999999999994</v>
      </c>
      <c r="I526" s="3">
        <f t="shared" si="21"/>
        <v>66.88</v>
      </c>
      <c r="J526" s="150"/>
    </row>
    <row r="527" spans="1:10">
      <c r="A527" s="174" t="s">
        <v>7099</v>
      </c>
      <c r="B527">
        <v>85</v>
      </c>
      <c r="F527" s="81" t="s">
        <v>1600</v>
      </c>
      <c r="G527" s="81" t="s">
        <v>1011</v>
      </c>
      <c r="H527" s="3">
        <f t="shared" si="20"/>
        <v>10379.375</v>
      </c>
      <c r="I527" s="3">
        <f t="shared" si="21"/>
        <v>1660.7</v>
      </c>
      <c r="J527" s="150"/>
    </row>
    <row r="528" spans="1:10">
      <c r="A528" s="174" t="s">
        <v>7099</v>
      </c>
      <c r="B528">
        <v>85</v>
      </c>
      <c r="F528" s="81" t="s">
        <v>5742</v>
      </c>
      <c r="G528" s="81" t="s">
        <v>5743</v>
      </c>
      <c r="H528" s="3">
        <f t="shared" si="20"/>
        <v>95</v>
      </c>
      <c r="I528" s="3">
        <f t="shared" si="21"/>
        <v>15.2</v>
      </c>
      <c r="J528" s="150"/>
    </row>
    <row r="529" spans="1:10">
      <c r="A529" s="174" t="s">
        <v>7099</v>
      </c>
      <c r="B529">
        <v>85</v>
      </c>
      <c r="F529" s="81" t="s">
        <v>6293</v>
      </c>
      <c r="G529" s="81" t="s">
        <v>5889</v>
      </c>
      <c r="H529" s="3">
        <f t="shared" si="20"/>
        <v>612.0625</v>
      </c>
      <c r="I529" s="3">
        <f t="shared" si="21"/>
        <v>97.93</v>
      </c>
      <c r="J529" s="150"/>
    </row>
    <row r="530" spans="1:10">
      <c r="A530" s="174" t="s">
        <v>7099</v>
      </c>
      <c r="B530">
        <v>85</v>
      </c>
      <c r="F530" s="81" t="s">
        <v>803</v>
      </c>
      <c r="G530" s="81" t="s">
        <v>74</v>
      </c>
      <c r="H530" s="3">
        <f t="shared" si="20"/>
        <v>5704.75</v>
      </c>
      <c r="I530" s="3">
        <f t="shared" si="21"/>
        <v>912.76</v>
      </c>
      <c r="J530" s="150"/>
    </row>
    <row r="531" spans="1:10">
      <c r="A531" s="174" t="s">
        <v>7099</v>
      </c>
      <c r="B531">
        <v>85</v>
      </c>
      <c r="F531" s="81" t="s">
        <v>6295</v>
      </c>
      <c r="G531" s="81" t="s">
        <v>6296</v>
      </c>
      <c r="H531" s="3">
        <f t="shared" si="20"/>
        <v>43.4375</v>
      </c>
      <c r="I531" s="3">
        <f t="shared" si="21"/>
        <v>6.95</v>
      </c>
      <c r="J531" s="150"/>
    </row>
    <row r="532" spans="1:10">
      <c r="A532" s="174" t="s">
        <v>7099</v>
      </c>
      <c r="B532">
        <v>85</v>
      </c>
      <c r="F532" s="81" t="s">
        <v>801</v>
      </c>
      <c r="G532" s="81" t="s">
        <v>215</v>
      </c>
      <c r="H532" s="3">
        <f t="shared" si="20"/>
        <v>3900</v>
      </c>
      <c r="I532" s="3">
        <f t="shared" si="21"/>
        <v>624</v>
      </c>
      <c r="J532" s="150"/>
    </row>
    <row r="533" spans="1:10">
      <c r="A533" s="174" t="s">
        <v>7099</v>
      </c>
      <c r="B533">
        <v>85</v>
      </c>
      <c r="F533" s="81" t="s">
        <v>805</v>
      </c>
      <c r="G533" s="81" t="s">
        <v>112</v>
      </c>
      <c r="H533" s="3">
        <f t="shared" si="20"/>
        <v>35000</v>
      </c>
      <c r="I533" s="3">
        <f t="shared" si="21"/>
        <v>5600</v>
      </c>
      <c r="J533" s="150"/>
    </row>
    <row r="534" spans="1:10">
      <c r="A534" s="174" t="s">
        <v>7099</v>
      </c>
      <c r="B534">
        <v>85</v>
      </c>
      <c r="F534" s="81" t="s">
        <v>5737</v>
      </c>
      <c r="G534" s="81" t="s">
        <v>6093</v>
      </c>
      <c r="H534" s="3">
        <f t="shared" si="20"/>
        <v>689.625</v>
      </c>
      <c r="I534" s="3">
        <f t="shared" si="21"/>
        <v>110.34</v>
      </c>
      <c r="J534" s="150"/>
    </row>
    <row r="535" spans="1:10">
      <c r="A535" s="174" t="s">
        <v>7099</v>
      </c>
      <c r="B535">
        <v>85</v>
      </c>
      <c r="F535" s="81" t="s">
        <v>2922</v>
      </c>
      <c r="G535" s="81" t="s">
        <v>2923</v>
      </c>
      <c r="H535" s="3">
        <f t="shared" si="20"/>
        <v>15529.499999999998</v>
      </c>
      <c r="I535" s="3">
        <f t="shared" si="21"/>
        <v>2484.7199999999998</v>
      </c>
      <c r="J535" s="150"/>
    </row>
    <row r="536" spans="1:10">
      <c r="A536" s="174" t="s">
        <v>7099</v>
      </c>
      <c r="B536">
        <v>85</v>
      </c>
      <c r="F536" s="11" t="s">
        <v>802</v>
      </c>
      <c r="G536" s="11" t="s">
        <v>226</v>
      </c>
      <c r="H536" s="3">
        <f t="shared" si="20"/>
        <v>148</v>
      </c>
      <c r="I536" s="3">
        <f t="shared" si="21"/>
        <v>23.68</v>
      </c>
      <c r="J536" s="150"/>
    </row>
    <row r="537" spans="1:10">
      <c r="A537" s="174" t="s">
        <v>7099</v>
      </c>
      <c r="B537">
        <v>85</v>
      </c>
      <c r="F537" s="81" t="s">
        <v>806</v>
      </c>
      <c r="G537" s="81" t="s">
        <v>807</v>
      </c>
      <c r="H537" s="3">
        <f t="shared" si="20"/>
        <v>4245.5</v>
      </c>
      <c r="I537" s="3">
        <f t="shared" si="21"/>
        <v>679.28000000000009</v>
      </c>
      <c r="J537" s="150"/>
    </row>
    <row r="538" spans="1:10">
      <c r="A538" s="174" t="s">
        <v>7099</v>
      </c>
      <c r="B538">
        <v>85</v>
      </c>
      <c r="F538" s="87" t="s">
        <v>811</v>
      </c>
      <c r="G538" s="81" t="s">
        <v>6080</v>
      </c>
      <c r="H538" s="3">
        <f t="shared" si="20"/>
        <v>46.4375</v>
      </c>
      <c r="I538" s="3">
        <f t="shared" si="21"/>
        <v>7.43</v>
      </c>
      <c r="J538" s="150"/>
    </row>
    <row r="539" spans="1:10">
      <c r="A539" s="174" t="s">
        <v>7099</v>
      </c>
      <c r="B539">
        <v>85</v>
      </c>
      <c r="F539" s="124" t="s">
        <v>814</v>
      </c>
      <c r="G539" s="81" t="s">
        <v>815</v>
      </c>
      <c r="H539" s="3">
        <f t="shared" si="20"/>
        <v>1119539.9374999998</v>
      </c>
      <c r="I539" s="3">
        <f t="shared" si="21"/>
        <v>179126.38999999998</v>
      </c>
      <c r="J539" s="150"/>
    </row>
    <row r="540" spans="1:10">
      <c r="A540" s="174" t="s">
        <v>7099</v>
      </c>
      <c r="B540">
        <v>6</v>
      </c>
      <c r="F540" s="18" t="s">
        <v>816</v>
      </c>
      <c r="G540" s="19" t="s">
        <v>817</v>
      </c>
      <c r="H540" s="3">
        <f t="shared" si="20"/>
        <v>107142.875</v>
      </c>
      <c r="I540" s="3">
        <f t="shared" si="21"/>
        <v>17142.86</v>
      </c>
      <c r="J540" s="150">
        <v>11428.57</v>
      </c>
    </row>
    <row r="541" spans="1:10">
      <c r="A541" s="174" t="s">
        <v>7099</v>
      </c>
      <c r="B541">
        <v>85</v>
      </c>
      <c r="F541" s="81" t="s">
        <v>2856</v>
      </c>
      <c r="G541" s="81" t="s">
        <v>2827</v>
      </c>
      <c r="H541" s="3">
        <f t="shared" si="20"/>
        <v>43984.5</v>
      </c>
      <c r="I541" s="3">
        <f t="shared" si="21"/>
        <v>7037.52</v>
      </c>
      <c r="J541" s="150"/>
    </row>
    <row r="542" spans="1:10">
      <c r="A542" s="174" t="s">
        <v>7099</v>
      </c>
      <c r="B542">
        <v>85</v>
      </c>
      <c r="F542" s="81" t="s">
        <v>1582</v>
      </c>
      <c r="G542" s="81" t="s">
        <v>1583</v>
      </c>
      <c r="H542" s="3">
        <f t="shared" si="20"/>
        <v>224.25</v>
      </c>
      <c r="I542" s="3">
        <f t="shared" si="21"/>
        <v>35.880000000000003</v>
      </c>
      <c r="J542" s="150"/>
    </row>
    <row r="543" spans="1:10">
      <c r="A543" s="174" t="s">
        <v>7099</v>
      </c>
      <c r="B543">
        <v>85</v>
      </c>
      <c r="F543" s="87" t="s">
        <v>738</v>
      </c>
      <c r="G543" s="81" t="s">
        <v>517</v>
      </c>
      <c r="H543" s="3">
        <f t="shared" si="20"/>
        <v>240.75000000000003</v>
      </c>
      <c r="I543" s="3">
        <f t="shared" si="21"/>
        <v>38.520000000000003</v>
      </c>
      <c r="J543" s="150"/>
    </row>
    <row r="544" spans="1:10">
      <c r="A544" s="174" t="s">
        <v>7099</v>
      </c>
      <c r="B544">
        <v>85</v>
      </c>
      <c r="F544" s="81" t="s">
        <v>6281</v>
      </c>
      <c r="G544" s="81" t="s">
        <v>6282</v>
      </c>
      <c r="H544" s="3">
        <f t="shared" si="20"/>
        <v>77.5625</v>
      </c>
      <c r="I544" s="3">
        <f t="shared" si="21"/>
        <v>12.41</v>
      </c>
      <c r="J544" s="150"/>
    </row>
    <row r="545" spans="1:10">
      <c r="A545" s="174" t="s">
        <v>7099</v>
      </c>
      <c r="B545">
        <v>85</v>
      </c>
      <c r="F545" s="81" t="s">
        <v>2305</v>
      </c>
      <c r="G545" s="81" t="s">
        <v>2157</v>
      </c>
      <c r="H545" s="3">
        <f t="shared" si="20"/>
        <v>1720</v>
      </c>
      <c r="I545" s="3">
        <f t="shared" si="21"/>
        <v>275.2</v>
      </c>
      <c r="J545" s="150"/>
    </row>
    <row r="546" spans="1:10">
      <c r="A546" s="174" t="s">
        <v>7099</v>
      </c>
      <c r="B546">
        <v>85</v>
      </c>
      <c r="F546" s="87" t="s">
        <v>4355</v>
      </c>
      <c r="G546" s="81" t="s">
        <v>5534</v>
      </c>
      <c r="H546" s="3">
        <f t="shared" si="20"/>
        <v>77.5625</v>
      </c>
      <c r="I546" s="3">
        <f t="shared" si="21"/>
        <v>12.41</v>
      </c>
      <c r="J546" s="150"/>
    </row>
    <row r="547" spans="1:10">
      <c r="A547" s="174" t="s">
        <v>7099</v>
      </c>
      <c r="B547">
        <v>85</v>
      </c>
      <c r="F547" s="81" t="s">
        <v>820</v>
      </c>
      <c r="G547" s="81" t="s">
        <v>97</v>
      </c>
      <c r="H547" s="3">
        <f t="shared" si="20"/>
        <v>3507.125</v>
      </c>
      <c r="I547" s="3">
        <f t="shared" si="21"/>
        <v>561.14</v>
      </c>
      <c r="J547" s="150"/>
    </row>
    <row r="548" spans="1:10">
      <c r="A548" s="174" t="s">
        <v>7099</v>
      </c>
      <c r="B548">
        <v>85</v>
      </c>
      <c r="F548" s="87" t="s">
        <v>1615</v>
      </c>
      <c r="G548" s="81" t="s">
        <v>1449</v>
      </c>
      <c r="H548" s="3">
        <f t="shared" si="20"/>
        <v>375.9375</v>
      </c>
      <c r="I548" s="3">
        <f t="shared" si="21"/>
        <v>60.150000000000006</v>
      </c>
      <c r="J548" s="150"/>
    </row>
    <row r="549" spans="1:10">
      <c r="A549" s="174" t="s">
        <v>7099</v>
      </c>
      <c r="B549">
        <v>85</v>
      </c>
      <c r="F549" s="87" t="s">
        <v>818</v>
      </c>
      <c r="G549" s="81" t="s">
        <v>584</v>
      </c>
      <c r="H549" s="3">
        <f t="shared" si="20"/>
        <v>745.875</v>
      </c>
      <c r="I549" s="3">
        <f t="shared" si="21"/>
        <v>119.34</v>
      </c>
      <c r="J549" s="150"/>
    </row>
    <row r="550" spans="1:10">
      <c r="A550" s="174" t="s">
        <v>7099</v>
      </c>
      <c r="B550">
        <v>85</v>
      </c>
      <c r="F550" s="81" t="s">
        <v>839</v>
      </c>
      <c r="G550" s="81" t="s">
        <v>229</v>
      </c>
      <c r="H550" s="3">
        <f t="shared" si="20"/>
        <v>3957.875</v>
      </c>
      <c r="I550" s="3">
        <f t="shared" si="21"/>
        <v>633.26</v>
      </c>
      <c r="J550" s="150"/>
    </row>
    <row r="551" spans="1:10">
      <c r="A551" s="174" t="s">
        <v>7099</v>
      </c>
      <c r="B551">
        <v>85</v>
      </c>
      <c r="F551" s="81" t="s">
        <v>6297</v>
      </c>
      <c r="G551" s="81" t="s">
        <v>6229</v>
      </c>
      <c r="H551" s="3">
        <f t="shared" si="20"/>
        <v>9021</v>
      </c>
      <c r="I551" s="3">
        <f t="shared" si="21"/>
        <v>1443.36</v>
      </c>
      <c r="J551" s="150"/>
    </row>
    <row r="552" spans="1:10">
      <c r="A552" s="174" t="s">
        <v>7099</v>
      </c>
      <c r="B552">
        <v>85</v>
      </c>
      <c r="F552" s="81" t="s">
        <v>838</v>
      </c>
      <c r="G552" s="81" t="s">
        <v>49</v>
      </c>
      <c r="H552" s="3">
        <f t="shared" si="20"/>
        <v>129.3125</v>
      </c>
      <c r="I552" s="3">
        <f t="shared" si="21"/>
        <v>20.69</v>
      </c>
      <c r="J552" s="150"/>
    </row>
    <row r="553" spans="1:10">
      <c r="A553" s="174" t="s">
        <v>7099</v>
      </c>
      <c r="B553">
        <v>6</v>
      </c>
      <c r="F553" s="18" t="s">
        <v>843</v>
      </c>
      <c r="G553" s="19" t="s">
        <v>844</v>
      </c>
      <c r="H553" s="3">
        <f t="shared" si="20"/>
        <v>107142.875</v>
      </c>
      <c r="I553" s="3">
        <f t="shared" si="21"/>
        <v>17142.86</v>
      </c>
      <c r="J553" s="150">
        <v>11428.57</v>
      </c>
    </row>
    <row r="554" spans="1:10">
      <c r="A554" s="174" t="s">
        <v>7099</v>
      </c>
      <c r="B554">
        <v>85</v>
      </c>
      <c r="F554" s="81" t="s">
        <v>6324</v>
      </c>
      <c r="G554" s="81" t="s">
        <v>6325</v>
      </c>
      <c r="H554" s="3">
        <f t="shared" si="20"/>
        <v>155</v>
      </c>
      <c r="I554" s="3">
        <f t="shared" si="21"/>
        <v>24.8</v>
      </c>
      <c r="J554" s="150"/>
    </row>
    <row r="555" spans="1:10">
      <c r="A555" s="174" t="s">
        <v>7099</v>
      </c>
      <c r="B555">
        <v>85</v>
      </c>
      <c r="F555" s="87" t="s">
        <v>847</v>
      </c>
      <c r="G555" s="81" t="s">
        <v>4570</v>
      </c>
      <c r="H555" s="3">
        <f t="shared" si="20"/>
        <v>81.0625</v>
      </c>
      <c r="I555" s="3">
        <f t="shared" si="21"/>
        <v>12.97</v>
      </c>
      <c r="J555" s="150"/>
    </row>
    <row r="556" spans="1:10">
      <c r="A556" s="174" t="s">
        <v>7099</v>
      </c>
      <c r="B556">
        <v>85</v>
      </c>
      <c r="F556" s="81" t="s">
        <v>931</v>
      </c>
      <c r="G556" s="81" t="s">
        <v>4895</v>
      </c>
      <c r="H556" s="3">
        <f t="shared" si="20"/>
        <v>39884.6875</v>
      </c>
      <c r="I556" s="3">
        <f t="shared" si="21"/>
        <v>6381.55</v>
      </c>
      <c r="J556" s="150"/>
    </row>
    <row r="557" spans="1:10">
      <c r="A557" s="174" t="s">
        <v>7099</v>
      </c>
      <c r="B557">
        <v>85</v>
      </c>
      <c r="F557" s="87" t="s">
        <v>856</v>
      </c>
      <c r="G557" s="81" t="s">
        <v>857</v>
      </c>
      <c r="H557" s="3">
        <f t="shared" si="20"/>
        <v>420169.87500000006</v>
      </c>
      <c r="I557" s="3">
        <f t="shared" si="21"/>
        <v>67227.180000000008</v>
      </c>
      <c r="J557" s="150"/>
    </row>
    <row r="558" spans="1:10">
      <c r="A558" s="174" t="s">
        <v>7099</v>
      </c>
      <c r="B558">
        <v>85</v>
      </c>
      <c r="F558" s="81" t="s">
        <v>851</v>
      </c>
      <c r="G558" s="81" t="s">
        <v>578</v>
      </c>
      <c r="H558" s="3">
        <f t="shared" si="20"/>
        <v>3970.1875</v>
      </c>
      <c r="I558" s="3">
        <f t="shared" si="21"/>
        <v>635.23</v>
      </c>
      <c r="J558" s="150"/>
    </row>
    <row r="559" spans="1:10">
      <c r="A559" s="174" t="s">
        <v>7099</v>
      </c>
      <c r="B559">
        <v>85</v>
      </c>
      <c r="F559" s="87" t="s">
        <v>2310</v>
      </c>
      <c r="G559" s="81" t="s">
        <v>6011</v>
      </c>
      <c r="H559" s="3">
        <f t="shared" si="20"/>
        <v>350</v>
      </c>
      <c r="I559" s="3">
        <f t="shared" si="21"/>
        <v>56</v>
      </c>
      <c r="J559" s="150"/>
    </row>
    <row r="560" spans="1:10">
      <c r="A560" s="174" t="s">
        <v>7099</v>
      </c>
      <c r="B560">
        <v>85</v>
      </c>
      <c r="F560" s="28" t="s">
        <v>6318</v>
      </c>
      <c r="G560" s="28" t="s">
        <v>6319</v>
      </c>
      <c r="H560" s="3">
        <f t="shared" si="20"/>
        <v>351.25</v>
      </c>
      <c r="I560" s="3">
        <f t="shared" si="21"/>
        <v>56.2</v>
      </c>
      <c r="J560" s="150"/>
    </row>
    <row r="561" spans="1:10">
      <c r="A561" s="174" t="s">
        <v>7099</v>
      </c>
      <c r="B561">
        <v>85</v>
      </c>
      <c r="F561" s="28" t="s">
        <v>6312</v>
      </c>
      <c r="G561" s="28" t="s">
        <v>6313</v>
      </c>
      <c r="H561" s="3">
        <f t="shared" si="20"/>
        <v>292.6875</v>
      </c>
      <c r="I561" s="3">
        <f t="shared" si="21"/>
        <v>46.83</v>
      </c>
      <c r="J561" s="150"/>
    </row>
    <row r="562" spans="1:10">
      <c r="A562" s="174" t="s">
        <v>7099</v>
      </c>
      <c r="B562">
        <v>85</v>
      </c>
      <c r="F562" s="81" t="s">
        <v>849</v>
      </c>
      <c r="G562" s="81" t="s">
        <v>127</v>
      </c>
      <c r="H562" s="3">
        <f t="shared" si="20"/>
        <v>3950</v>
      </c>
      <c r="I562" s="3">
        <f t="shared" si="21"/>
        <v>632</v>
      </c>
      <c r="J562" s="150"/>
    </row>
    <row r="563" spans="1:10">
      <c r="A563" s="174" t="s">
        <v>7099</v>
      </c>
      <c r="B563">
        <v>85</v>
      </c>
      <c r="F563" s="28" t="s">
        <v>2287</v>
      </c>
      <c r="G563" s="28" t="s">
        <v>2288</v>
      </c>
      <c r="H563" s="3">
        <f t="shared" si="20"/>
        <v>1380.2499999999998</v>
      </c>
      <c r="I563" s="3">
        <f t="shared" si="21"/>
        <v>220.83999999999997</v>
      </c>
      <c r="J563" s="150"/>
    </row>
    <row r="564" spans="1:10">
      <c r="A564" s="174" t="s">
        <v>7099</v>
      </c>
      <c r="B564">
        <v>85</v>
      </c>
      <c r="F564" s="88" t="s">
        <v>1626</v>
      </c>
      <c r="G564" s="81" t="s">
        <v>1627</v>
      </c>
      <c r="H564" s="3">
        <f t="shared" si="20"/>
        <v>181607.4375</v>
      </c>
      <c r="I564" s="3">
        <f t="shared" si="21"/>
        <v>29057.19</v>
      </c>
      <c r="J564" s="150"/>
    </row>
    <row r="565" spans="1:10">
      <c r="A565" s="174" t="s">
        <v>7099</v>
      </c>
      <c r="B565">
        <v>85</v>
      </c>
      <c r="F565" s="81" t="s">
        <v>858</v>
      </c>
      <c r="G565" s="81" t="s">
        <v>121</v>
      </c>
      <c r="H565" s="3">
        <f t="shared" si="20"/>
        <v>1750</v>
      </c>
      <c r="I565" s="3">
        <f t="shared" si="21"/>
        <v>280</v>
      </c>
      <c r="J565" s="150"/>
    </row>
    <row r="566" spans="1:10">
      <c r="A566" s="174" t="s">
        <v>7099</v>
      </c>
      <c r="B566">
        <v>85</v>
      </c>
      <c r="F566" s="81" t="s">
        <v>2860</v>
      </c>
      <c r="G566" s="81" t="s">
        <v>2692</v>
      </c>
      <c r="H566" s="3">
        <f t="shared" si="20"/>
        <v>580</v>
      </c>
      <c r="I566" s="3">
        <f t="shared" si="21"/>
        <v>92.8</v>
      </c>
      <c r="J566" s="150"/>
    </row>
    <row r="567" spans="1:10">
      <c r="A567" s="174" t="s">
        <v>7099</v>
      </c>
      <c r="B567">
        <v>85</v>
      </c>
      <c r="F567" s="81" t="s">
        <v>2862</v>
      </c>
      <c r="G567" s="81" t="s">
        <v>6094</v>
      </c>
      <c r="H567" s="3">
        <f t="shared" si="20"/>
        <v>201.75</v>
      </c>
      <c r="I567" s="3">
        <f t="shared" si="21"/>
        <v>32.28</v>
      </c>
      <c r="J567" s="150"/>
    </row>
    <row r="568" spans="1:10">
      <c r="A568" s="174" t="s">
        <v>7099</v>
      </c>
      <c r="B568">
        <v>85</v>
      </c>
      <c r="F568" s="28" t="s">
        <v>6302</v>
      </c>
      <c r="G568" s="28" t="s">
        <v>6303</v>
      </c>
      <c r="H568" s="3">
        <f t="shared" si="20"/>
        <v>376.3125</v>
      </c>
      <c r="I568" s="3">
        <f t="shared" si="21"/>
        <v>60.21</v>
      </c>
      <c r="J568" s="150"/>
    </row>
    <row r="569" spans="1:10">
      <c r="A569" s="174" t="s">
        <v>7099</v>
      </c>
      <c r="B569">
        <v>85</v>
      </c>
      <c r="F569" s="81" t="s">
        <v>859</v>
      </c>
      <c r="G569" s="81" t="s">
        <v>174</v>
      </c>
      <c r="H569" s="3">
        <f t="shared" si="20"/>
        <v>4534.125</v>
      </c>
      <c r="I569" s="3">
        <f t="shared" si="21"/>
        <v>725.46</v>
      </c>
      <c r="J569" s="150"/>
    </row>
    <row r="570" spans="1:10">
      <c r="A570" s="174" t="s">
        <v>7099</v>
      </c>
      <c r="B570">
        <v>85</v>
      </c>
      <c r="F570" s="28" t="s">
        <v>923</v>
      </c>
      <c r="G570" s="28" t="s">
        <v>1657</v>
      </c>
      <c r="H570" s="3">
        <f t="shared" si="20"/>
        <v>292.6875</v>
      </c>
      <c r="I570" s="3">
        <f t="shared" si="21"/>
        <v>46.83</v>
      </c>
      <c r="J570" s="150"/>
    </row>
    <row r="571" spans="1:10">
      <c r="A571" s="174" t="s">
        <v>7099</v>
      </c>
      <c r="B571">
        <v>85</v>
      </c>
      <c r="F571" s="81" t="s">
        <v>5771</v>
      </c>
      <c r="G571" s="81" t="s">
        <v>5700</v>
      </c>
      <c r="H571" s="3">
        <f t="shared" si="20"/>
        <v>25186.874999999996</v>
      </c>
      <c r="I571" s="3">
        <f t="shared" si="21"/>
        <v>4029.8999999999996</v>
      </c>
      <c r="J571" s="150"/>
    </row>
    <row r="572" spans="1:10">
      <c r="A572" s="174" t="s">
        <v>7099</v>
      </c>
      <c r="B572">
        <v>85</v>
      </c>
      <c r="F572" s="81" t="s">
        <v>6299</v>
      </c>
      <c r="G572" s="81" t="s">
        <v>5862</v>
      </c>
      <c r="H572" s="3">
        <f t="shared" si="20"/>
        <v>224993.125</v>
      </c>
      <c r="I572" s="3">
        <f t="shared" si="21"/>
        <v>35998.9</v>
      </c>
      <c r="J572" s="150"/>
    </row>
    <row r="573" spans="1:10">
      <c r="A573" s="174" t="s">
        <v>7099</v>
      </c>
      <c r="B573">
        <v>85</v>
      </c>
      <c r="F573" s="81" t="s">
        <v>1702</v>
      </c>
      <c r="G573" s="81" t="s">
        <v>1703</v>
      </c>
      <c r="H573" s="3">
        <f t="shared" si="20"/>
        <v>96.5</v>
      </c>
      <c r="I573" s="3">
        <f t="shared" si="21"/>
        <v>15.44</v>
      </c>
      <c r="J573" s="150"/>
    </row>
    <row r="574" spans="1:10">
      <c r="A574" s="174" t="s">
        <v>7099</v>
      </c>
      <c r="B574">
        <v>85</v>
      </c>
      <c r="F574" s="81" t="s">
        <v>6298</v>
      </c>
      <c r="G574" s="81" t="s">
        <v>6163</v>
      </c>
      <c r="H574" s="3">
        <f t="shared" si="20"/>
        <v>1416</v>
      </c>
      <c r="I574" s="3">
        <f t="shared" si="21"/>
        <v>226.56</v>
      </c>
      <c r="J574" s="150"/>
    </row>
    <row r="575" spans="1:10">
      <c r="A575" s="174" t="s">
        <v>7099</v>
      </c>
      <c r="B575">
        <v>85</v>
      </c>
      <c r="F575" s="81" t="s">
        <v>921</v>
      </c>
      <c r="G575" s="81" t="s">
        <v>922</v>
      </c>
      <c r="H575" s="3">
        <f t="shared" si="20"/>
        <v>43414.374999999993</v>
      </c>
      <c r="I575" s="3">
        <f t="shared" si="21"/>
        <v>6946.2999999999993</v>
      </c>
      <c r="J575" s="150"/>
    </row>
    <row r="576" spans="1:10">
      <c r="A576" s="174" t="s">
        <v>7099</v>
      </c>
      <c r="B576">
        <v>85</v>
      </c>
      <c r="F576" s="81" t="s">
        <v>868</v>
      </c>
      <c r="G576" s="81" t="s">
        <v>94</v>
      </c>
      <c r="H576" s="3">
        <f t="shared" si="20"/>
        <v>49450</v>
      </c>
      <c r="I576" s="3">
        <f t="shared" si="21"/>
        <v>7912</v>
      </c>
      <c r="J576" s="150"/>
    </row>
    <row r="577" spans="1:10">
      <c r="A577" s="174" t="s">
        <v>7099</v>
      </c>
      <c r="B577">
        <v>85</v>
      </c>
      <c r="F577" s="87" t="s">
        <v>6291</v>
      </c>
      <c r="G577" s="81" t="s">
        <v>6292</v>
      </c>
      <c r="H577" s="3">
        <f t="shared" ref="H577:H614" si="22">+I577/0.16</f>
        <v>93.999999999999986</v>
      </c>
      <c r="I577" s="3">
        <f t="shared" ref="I577:I614" si="23">+SUMIF($F$7:$F$441,F577,$I$7:$I$441)</f>
        <v>15.04</v>
      </c>
      <c r="J577" s="150"/>
    </row>
    <row r="578" spans="1:10">
      <c r="A578" s="174" t="s">
        <v>7099</v>
      </c>
      <c r="B578">
        <v>85</v>
      </c>
      <c r="F578" s="87" t="s">
        <v>742</v>
      </c>
      <c r="G578" s="81" t="s">
        <v>602</v>
      </c>
      <c r="H578" s="3">
        <f t="shared" si="22"/>
        <v>84.5</v>
      </c>
      <c r="I578" s="3">
        <f t="shared" si="23"/>
        <v>13.52</v>
      </c>
      <c r="J578" s="150"/>
    </row>
    <row r="579" spans="1:10">
      <c r="A579" s="174" t="s">
        <v>7099</v>
      </c>
      <c r="B579">
        <v>85</v>
      </c>
      <c r="F579" s="81" t="s">
        <v>5203</v>
      </c>
      <c r="G579" s="81" t="s">
        <v>5204</v>
      </c>
      <c r="H579" s="3">
        <f t="shared" si="22"/>
        <v>86.187499999999986</v>
      </c>
      <c r="I579" s="3">
        <f t="shared" si="23"/>
        <v>13.79</v>
      </c>
      <c r="J579" s="150"/>
    </row>
    <row r="580" spans="1:10">
      <c r="A580" s="174" t="s">
        <v>7099</v>
      </c>
      <c r="B580">
        <v>85</v>
      </c>
      <c r="F580" s="81" t="s">
        <v>3384</v>
      </c>
      <c r="G580" s="81" t="s">
        <v>6326</v>
      </c>
      <c r="H580" s="3">
        <f t="shared" si="22"/>
        <v>99.125</v>
      </c>
      <c r="I580" s="3">
        <f t="shared" si="23"/>
        <v>15.86</v>
      </c>
      <c r="J580" s="150"/>
    </row>
    <row r="581" spans="1:10">
      <c r="A581" s="174" t="s">
        <v>7099</v>
      </c>
      <c r="B581">
        <v>85</v>
      </c>
      <c r="F581" s="81" t="s">
        <v>2910</v>
      </c>
      <c r="G581" s="81" t="s">
        <v>2911</v>
      </c>
      <c r="H581" s="3">
        <f t="shared" si="22"/>
        <v>607.6875</v>
      </c>
      <c r="I581" s="3">
        <f t="shared" si="23"/>
        <v>97.23</v>
      </c>
      <c r="J581" s="150"/>
    </row>
    <row r="582" spans="1:10">
      <c r="A582" s="174" t="s">
        <v>7099</v>
      </c>
      <c r="B582">
        <v>85</v>
      </c>
      <c r="F582" s="87" t="s">
        <v>865</v>
      </c>
      <c r="G582" s="81" t="s">
        <v>5995</v>
      </c>
      <c r="H582" s="3">
        <f t="shared" si="22"/>
        <v>9520</v>
      </c>
      <c r="I582" s="3">
        <f t="shared" si="23"/>
        <v>1523.2</v>
      </c>
      <c r="J582" s="150"/>
    </row>
    <row r="583" spans="1:10">
      <c r="A583" s="174" t="s">
        <v>7099</v>
      </c>
      <c r="B583">
        <v>85</v>
      </c>
      <c r="F583" s="28" t="s">
        <v>943</v>
      </c>
      <c r="G583" s="28" t="s">
        <v>71</v>
      </c>
      <c r="H583" s="3">
        <f t="shared" si="22"/>
        <v>794.375</v>
      </c>
      <c r="I583" s="3">
        <f t="shared" si="23"/>
        <v>127.1</v>
      </c>
      <c r="J583" s="150"/>
    </row>
    <row r="584" spans="1:10">
      <c r="A584" s="174" t="s">
        <v>7099</v>
      </c>
      <c r="B584">
        <v>85</v>
      </c>
      <c r="F584" s="81" t="s">
        <v>2333</v>
      </c>
      <c r="G584" s="81" t="s">
        <v>2334</v>
      </c>
      <c r="H584" s="3">
        <f t="shared" si="22"/>
        <v>220.6875</v>
      </c>
      <c r="I584" s="3">
        <f t="shared" si="23"/>
        <v>35.31</v>
      </c>
      <c r="J584" s="150"/>
    </row>
    <row r="585" spans="1:10">
      <c r="A585" s="174" t="s">
        <v>7099</v>
      </c>
      <c r="B585">
        <v>85</v>
      </c>
      <c r="F585" s="28" t="s">
        <v>3353</v>
      </c>
      <c r="G585" s="28" t="s">
        <v>3354</v>
      </c>
      <c r="H585" s="3">
        <f t="shared" si="22"/>
        <v>83.625</v>
      </c>
      <c r="I585" s="3">
        <f t="shared" si="23"/>
        <v>13.38</v>
      </c>
      <c r="J585" s="150"/>
    </row>
    <row r="586" spans="1:10">
      <c r="A586" s="174" t="s">
        <v>7099</v>
      </c>
      <c r="B586">
        <v>85</v>
      </c>
      <c r="F586" s="69" t="s">
        <v>6310</v>
      </c>
      <c r="G586" s="28" t="s">
        <v>6311</v>
      </c>
      <c r="H586" s="3">
        <f t="shared" si="22"/>
        <v>334.5</v>
      </c>
      <c r="I586" s="3">
        <f t="shared" si="23"/>
        <v>53.52</v>
      </c>
      <c r="J586" s="150"/>
    </row>
    <row r="587" spans="1:10">
      <c r="A587" s="174" t="s">
        <v>7099</v>
      </c>
      <c r="B587">
        <v>85</v>
      </c>
      <c r="F587" s="28" t="s">
        <v>877</v>
      </c>
      <c r="G587" s="28" t="s">
        <v>223</v>
      </c>
      <c r="H587" s="3">
        <f t="shared" si="22"/>
        <v>45485.1875</v>
      </c>
      <c r="I587" s="3">
        <f t="shared" si="23"/>
        <v>7277.63</v>
      </c>
      <c r="J587" s="162"/>
    </row>
    <row r="588" spans="1:10">
      <c r="A588" s="174" t="s">
        <v>7099</v>
      </c>
      <c r="B588">
        <v>85</v>
      </c>
      <c r="F588" s="87" t="s">
        <v>915</v>
      </c>
      <c r="G588" s="90" t="s">
        <v>916</v>
      </c>
      <c r="H588" s="3">
        <f t="shared" si="22"/>
        <v>284.99999999999994</v>
      </c>
      <c r="I588" s="3">
        <f t="shared" si="23"/>
        <v>45.599999999999994</v>
      </c>
      <c r="J588" s="150"/>
    </row>
    <row r="589" spans="1:10">
      <c r="A589" s="174" t="s">
        <v>7099</v>
      </c>
      <c r="B589">
        <v>85</v>
      </c>
      <c r="F589" s="28" t="s">
        <v>913</v>
      </c>
      <c r="G589" s="28" t="s">
        <v>914</v>
      </c>
      <c r="H589" s="3">
        <f t="shared" si="22"/>
        <v>1625.375</v>
      </c>
      <c r="I589" s="3">
        <f t="shared" si="23"/>
        <v>260.06</v>
      </c>
      <c r="J589" s="149"/>
    </row>
    <row r="590" spans="1:10">
      <c r="A590" s="174" t="s">
        <v>7099</v>
      </c>
      <c r="B590">
        <v>85</v>
      </c>
      <c r="F590" s="125" t="s">
        <v>873</v>
      </c>
      <c r="G590" s="126" t="s">
        <v>874</v>
      </c>
      <c r="H590" s="3">
        <f t="shared" si="22"/>
        <v>410351.5625</v>
      </c>
      <c r="I590" s="3">
        <f t="shared" si="23"/>
        <v>65656.25</v>
      </c>
      <c r="J590" s="150"/>
    </row>
    <row r="591" spans="1:10">
      <c r="A591" s="174" t="s">
        <v>7099</v>
      </c>
      <c r="B591">
        <v>85</v>
      </c>
      <c r="F591" s="87" t="s">
        <v>740</v>
      </c>
      <c r="G591" s="81" t="s">
        <v>1965</v>
      </c>
      <c r="H591" s="3">
        <f t="shared" si="22"/>
        <v>88</v>
      </c>
      <c r="I591" s="3">
        <f t="shared" si="23"/>
        <v>14.08</v>
      </c>
      <c r="J591" s="150"/>
    </row>
    <row r="592" spans="1:10">
      <c r="A592" s="174" t="s">
        <v>7099</v>
      </c>
      <c r="B592">
        <v>85</v>
      </c>
      <c r="F592" s="81" t="s">
        <v>911</v>
      </c>
      <c r="G592" s="81" t="s">
        <v>912</v>
      </c>
      <c r="H592" s="3">
        <f t="shared" si="22"/>
        <v>402.0625</v>
      </c>
      <c r="I592" s="3">
        <f t="shared" si="23"/>
        <v>64.33</v>
      </c>
      <c r="J592" s="150"/>
    </row>
    <row r="593" spans="1:10">
      <c r="A593" s="174" t="s">
        <v>7099</v>
      </c>
      <c r="B593">
        <v>85</v>
      </c>
      <c r="F593" s="81" t="s">
        <v>876</v>
      </c>
      <c r="G593" s="81" t="s">
        <v>306</v>
      </c>
      <c r="H593" s="3">
        <f t="shared" si="22"/>
        <v>32753.6875</v>
      </c>
      <c r="I593" s="3">
        <f t="shared" si="23"/>
        <v>5240.59</v>
      </c>
      <c r="J593" s="150"/>
    </row>
    <row r="594" spans="1:10">
      <c r="A594" s="174" t="s">
        <v>7099</v>
      </c>
      <c r="B594">
        <v>85</v>
      </c>
      <c r="F594" s="87" t="s">
        <v>6301</v>
      </c>
      <c r="G594" s="81" t="s">
        <v>6083</v>
      </c>
      <c r="H594" s="3">
        <f t="shared" si="22"/>
        <v>84.25</v>
      </c>
      <c r="I594" s="3">
        <f t="shared" si="23"/>
        <v>13.48</v>
      </c>
      <c r="J594" s="150"/>
    </row>
    <row r="595" spans="1:10">
      <c r="A595" s="174" t="s">
        <v>7099</v>
      </c>
      <c r="B595">
        <v>85</v>
      </c>
      <c r="F595" s="81" t="s">
        <v>903</v>
      </c>
      <c r="G595" s="81" t="s">
        <v>904</v>
      </c>
      <c r="H595" s="3">
        <f t="shared" si="22"/>
        <v>208.99999999999997</v>
      </c>
      <c r="I595" s="3">
        <f t="shared" si="23"/>
        <v>33.44</v>
      </c>
      <c r="J595" s="150"/>
    </row>
    <row r="596" spans="1:10">
      <c r="A596" s="174" t="s">
        <v>7099</v>
      </c>
      <c r="B596">
        <v>85</v>
      </c>
      <c r="F596" s="87" t="s">
        <v>5196</v>
      </c>
      <c r="G596" s="81" t="s">
        <v>4985</v>
      </c>
      <c r="H596" s="3">
        <f t="shared" si="22"/>
        <v>125.37499999999999</v>
      </c>
      <c r="I596" s="3">
        <f t="shared" si="23"/>
        <v>20.059999999999999</v>
      </c>
      <c r="J596" s="150"/>
    </row>
    <row r="597" spans="1:10">
      <c r="A597" s="174" t="s">
        <v>7099</v>
      </c>
      <c r="B597">
        <v>85</v>
      </c>
      <c r="F597" s="81" t="s">
        <v>1676</v>
      </c>
      <c r="G597" s="81" t="s">
        <v>1677</v>
      </c>
      <c r="H597" s="3">
        <f t="shared" si="22"/>
        <v>418.125</v>
      </c>
      <c r="I597" s="3">
        <f t="shared" si="23"/>
        <v>66.900000000000006</v>
      </c>
      <c r="J597" s="150"/>
    </row>
    <row r="598" spans="1:10">
      <c r="A598" s="174" t="s">
        <v>7099</v>
      </c>
      <c r="B598">
        <v>85</v>
      </c>
      <c r="F598" s="28" t="s">
        <v>2343</v>
      </c>
      <c r="G598" s="28" t="s">
        <v>2344</v>
      </c>
      <c r="H598" s="3">
        <f t="shared" si="22"/>
        <v>669.5</v>
      </c>
      <c r="I598" s="3">
        <f t="shared" si="23"/>
        <v>107.12</v>
      </c>
      <c r="J598" s="150"/>
    </row>
    <row r="599" spans="1:10">
      <c r="A599" s="174" t="s">
        <v>7099</v>
      </c>
      <c r="B599">
        <v>85</v>
      </c>
      <c r="F599" s="81" t="s">
        <v>3376</v>
      </c>
      <c r="G599" s="81" t="s">
        <v>3056</v>
      </c>
      <c r="H599" s="3">
        <f t="shared" si="22"/>
        <v>237670.75</v>
      </c>
      <c r="I599" s="3">
        <f t="shared" si="23"/>
        <v>38027.32</v>
      </c>
      <c r="J599" s="150"/>
    </row>
    <row r="600" spans="1:10">
      <c r="A600" s="174" t="s">
        <v>7099</v>
      </c>
      <c r="B600">
        <v>85</v>
      </c>
      <c r="F600" s="81" t="s">
        <v>880</v>
      </c>
      <c r="G600" s="81" t="s">
        <v>6290</v>
      </c>
      <c r="H600" s="3">
        <f t="shared" si="22"/>
        <v>33.625</v>
      </c>
      <c r="I600" s="3">
        <f t="shared" si="23"/>
        <v>5.38</v>
      </c>
      <c r="J600" s="160"/>
    </row>
    <row r="601" spans="1:10">
      <c r="A601" s="174" t="s">
        <v>7099</v>
      </c>
      <c r="B601">
        <v>85</v>
      </c>
      <c r="F601" s="67" t="s">
        <v>829</v>
      </c>
      <c r="G601" s="68" t="s">
        <v>6</v>
      </c>
      <c r="H601" s="3">
        <f t="shared" si="22"/>
        <v>873013.00000000012</v>
      </c>
      <c r="I601" s="3">
        <f t="shared" si="23"/>
        <v>139682.08000000002</v>
      </c>
      <c r="J601" s="150"/>
    </row>
    <row r="602" spans="1:10">
      <c r="A602" s="174" t="s">
        <v>7099</v>
      </c>
      <c r="B602">
        <v>85</v>
      </c>
      <c r="F602" s="81" t="s">
        <v>1632</v>
      </c>
      <c r="G602" s="81" t="s">
        <v>968</v>
      </c>
      <c r="H602" s="3">
        <f t="shared" si="22"/>
        <v>20251.749999999996</v>
      </c>
      <c r="I602" s="3">
        <f t="shared" si="23"/>
        <v>3240.2799999999997</v>
      </c>
      <c r="J602" s="150"/>
    </row>
    <row r="603" spans="1:10">
      <c r="A603" s="174" t="s">
        <v>7099</v>
      </c>
      <c r="B603">
        <v>85</v>
      </c>
      <c r="F603" s="81" t="s">
        <v>1633</v>
      </c>
      <c r="G603" s="81" t="s">
        <v>1634</v>
      </c>
      <c r="H603" s="3">
        <f t="shared" si="22"/>
        <v>0</v>
      </c>
      <c r="I603" s="3">
        <f t="shared" si="23"/>
        <v>0</v>
      </c>
      <c r="J603" s="150"/>
    </row>
    <row r="604" spans="1:10">
      <c r="A604" s="174" t="s">
        <v>7099</v>
      </c>
      <c r="B604">
        <v>85</v>
      </c>
      <c r="F604" s="30" t="s">
        <v>886</v>
      </c>
      <c r="G604" s="31" t="s">
        <v>887</v>
      </c>
      <c r="H604" s="3">
        <f t="shared" si="22"/>
        <v>10104185.187499993</v>
      </c>
      <c r="I604" s="3">
        <f t="shared" si="23"/>
        <v>1616669.6299999987</v>
      </c>
      <c r="J604" s="150"/>
    </row>
    <row r="605" spans="1:10">
      <c r="A605" s="174" t="s">
        <v>7099</v>
      </c>
      <c r="B605">
        <v>85</v>
      </c>
      <c r="F605" s="81" t="s">
        <v>6283</v>
      </c>
      <c r="G605" s="81" t="s">
        <v>5907</v>
      </c>
      <c r="H605" s="3">
        <f t="shared" si="22"/>
        <v>58.625000000000007</v>
      </c>
      <c r="I605" s="3">
        <f t="shared" si="23"/>
        <v>9.3800000000000008</v>
      </c>
      <c r="J605" s="163"/>
    </row>
    <row r="606" spans="1:10">
      <c r="A606" s="174" t="s">
        <v>7099</v>
      </c>
      <c r="B606">
        <v>85</v>
      </c>
      <c r="F606" s="127" t="s">
        <v>1635</v>
      </c>
      <c r="G606" s="128" t="s">
        <v>1636</v>
      </c>
      <c r="H606" s="3">
        <f t="shared" si="22"/>
        <v>311102.9375</v>
      </c>
      <c r="I606" s="3">
        <f t="shared" si="23"/>
        <v>49776.47</v>
      </c>
      <c r="J606" s="150"/>
    </row>
    <row r="607" spans="1:10">
      <c r="A607" s="174" t="s">
        <v>7099</v>
      </c>
      <c r="B607">
        <v>85</v>
      </c>
      <c r="F607" s="81" t="s">
        <v>879</v>
      </c>
      <c r="G607" s="81" t="s">
        <v>52</v>
      </c>
      <c r="H607" s="3">
        <f t="shared" si="22"/>
        <v>1897.4374999999998</v>
      </c>
      <c r="I607" s="3">
        <f t="shared" si="23"/>
        <v>303.58999999999997</v>
      </c>
      <c r="J607" s="150"/>
    </row>
    <row r="608" spans="1:10">
      <c r="A608" s="174" t="s">
        <v>7099</v>
      </c>
      <c r="B608">
        <v>85</v>
      </c>
      <c r="F608" s="81" t="s">
        <v>3751</v>
      </c>
      <c r="G608" s="81" t="s">
        <v>4343</v>
      </c>
      <c r="H608" s="3">
        <f t="shared" si="22"/>
        <v>322.31249999999994</v>
      </c>
      <c r="I608" s="3">
        <f t="shared" si="23"/>
        <v>51.569999999999993</v>
      </c>
      <c r="J608" s="150"/>
    </row>
    <row r="609" spans="1:11">
      <c r="A609" s="174" t="s">
        <v>7099</v>
      </c>
      <c r="B609">
        <v>85</v>
      </c>
      <c r="F609" s="87" t="s">
        <v>882</v>
      </c>
      <c r="G609" s="81" t="s">
        <v>590</v>
      </c>
      <c r="H609" s="3">
        <f t="shared" si="22"/>
        <v>328</v>
      </c>
      <c r="I609" s="3">
        <f t="shared" si="23"/>
        <v>52.48</v>
      </c>
      <c r="J609" s="150"/>
    </row>
    <row r="610" spans="1:11">
      <c r="A610" s="174" t="s">
        <v>7099</v>
      </c>
      <c r="B610">
        <v>85</v>
      </c>
      <c r="F610" s="155" t="s">
        <v>892</v>
      </c>
      <c r="G610" s="81" t="s">
        <v>893</v>
      </c>
      <c r="H610" s="3">
        <f t="shared" si="22"/>
        <v>512795.5</v>
      </c>
      <c r="I610" s="3">
        <f t="shared" si="23"/>
        <v>82047.28</v>
      </c>
      <c r="J610" s="150"/>
    </row>
    <row r="611" spans="1:11">
      <c r="A611" s="174" t="s">
        <v>7099</v>
      </c>
      <c r="B611">
        <v>85</v>
      </c>
      <c r="F611" s="84" t="s">
        <v>890</v>
      </c>
      <c r="G611" s="81" t="s">
        <v>5865</v>
      </c>
      <c r="H611" s="3">
        <f t="shared" si="22"/>
        <v>485029.81249999994</v>
      </c>
      <c r="I611" s="3">
        <f t="shared" si="23"/>
        <v>77604.76999999999</v>
      </c>
      <c r="J611" s="150"/>
    </row>
    <row r="612" spans="1:11">
      <c r="A612" s="174" t="s">
        <v>7099</v>
      </c>
      <c r="B612">
        <v>85</v>
      </c>
      <c r="F612" s="87" t="s">
        <v>1617</v>
      </c>
      <c r="G612" s="81" t="s">
        <v>6004</v>
      </c>
      <c r="H612" s="3">
        <f t="shared" si="22"/>
        <v>689.625</v>
      </c>
      <c r="I612" s="3">
        <f t="shared" si="23"/>
        <v>110.34</v>
      </c>
      <c r="J612" s="150"/>
    </row>
    <row r="613" spans="1:11">
      <c r="A613" s="174" t="s">
        <v>7099</v>
      </c>
      <c r="B613">
        <v>85</v>
      </c>
      <c r="F613" s="130" t="s">
        <v>1709</v>
      </c>
      <c r="G613" s="90" t="s">
        <v>1710</v>
      </c>
      <c r="H613" s="3">
        <f t="shared" si="22"/>
        <v>815227.75</v>
      </c>
      <c r="I613" s="3">
        <f t="shared" si="23"/>
        <v>130436.44</v>
      </c>
      <c r="J613" s="162"/>
    </row>
    <row r="614" spans="1:11">
      <c r="A614" s="174" t="s">
        <v>7099</v>
      </c>
      <c r="B614">
        <v>85</v>
      </c>
      <c r="F614" t="s">
        <v>1728</v>
      </c>
      <c r="G614" t="s">
        <v>1287</v>
      </c>
      <c r="H614" s="3">
        <f t="shared" si="22"/>
        <v>594.6875</v>
      </c>
      <c r="I614" s="3">
        <f t="shared" si="23"/>
        <v>95.15</v>
      </c>
      <c r="J614" s="150"/>
    </row>
    <row r="617" spans="1:11">
      <c r="H617" s="3">
        <f>SUM(H448:H615)</f>
        <v>24803098.062499993</v>
      </c>
      <c r="I617" s="3">
        <f>SUM(I448:I615)</f>
        <v>3968495.6899999981</v>
      </c>
      <c r="J617" s="14">
        <f>SUM(J448:J614)</f>
        <v>22898.58</v>
      </c>
    </row>
    <row r="618" spans="1:11">
      <c r="H618" s="3">
        <f>+H443</f>
        <v>24803098.0625</v>
      </c>
      <c r="I618" s="3">
        <f>+I443</f>
        <v>3968495.6900000009</v>
      </c>
      <c r="J618" s="3">
        <f>23365.96+41.44</f>
        <v>23407.399999999998</v>
      </c>
    </row>
    <row r="619" spans="1:11">
      <c r="H619" s="3">
        <f>+H618-H617</f>
        <v>0</v>
      </c>
      <c r="I619" s="3">
        <f>+I618-I617</f>
        <v>0</v>
      </c>
      <c r="J619" s="14">
        <f>+J618-J617</f>
        <v>508.81999999999607</v>
      </c>
      <c r="K619" t="s">
        <v>7078</v>
      </c>
    </row>
  </sheetData>
  <sortState ref="A7:N358">
    <sortCondition ref="E7:E358"/>
  </sortState>
  <conditionalFormatting sqref="F615:G616">
    <cfRule type="duplicateValues" dxfId="3" priority="4"/>
  </conditionalFormatting>
  <conditionalFormatting sqref="F448:G541 F543:G610 F612:G614 G611">
    <cfRule type="duplicateValues" dxfId="2" priority="2"/>
  </conditionalFormatting>
  <conditionalFormatting sqref="J448:J614">
    <cfRule type="duplicateValues" dxfId="1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L728"/>
  <sheetViews>
    <sheetView tabSelected="1" zoomScale="80" zoomScaleNormal="80" workbookViewId="0">
      <pane ySplit="6" topLeftCell="A690" activePane="bottomLeft" state="frozen"/>
      <selection pane="bottomLeft" activeCell="A608" sqref="A608"/>
    </sheetView>
  </sheetViews>
  <sheetFormatPr baseColWidth="10" defaultRowHeight="15"/>
  <cols>
    <col min="1" max="1" width="11" customWidth="1"/>
    <col min="2" max="2" width="12.140625" customWidth="1"/>
    <col min="3" max="3" width="13.140625" bestFit="1" customWidth="1"/>
    <col min="4" max="4" width="2" bestFit="1" customWidth="1"/>
    <col min="5" max="5" width="40.140625" bestFit="1" customWidth="1"/>
    <col min="6" max="6" width="16.5703125" bestFit="1" customWidth="1"/>
    <col min="7" max="7" width="55" customWidth="1"/>
    <col min="8" max="8" width="21.7109375" style="3" customWidth="1"/>
    <col min="9" max="9" width="14.140625" style="3" bestFit="1" customWidth="1"/>
    <col min="10" max="10" width="14.140625" bestFit="1" customWidth="1"/>
  </cols>
  <sheetData>
    <row r="1" spans="1:9">
      <c r="A1" t="s">
        <v>729</v>
      </c>
    </row>
    <row r="2" spans="1:9">
      <c r="A2" t="s">
        <v>6961</v>
      </c>
      <c r="B2">
        <v>2013</v>
      </c>
    </row>
    <row r="3" spans="1:9">
      <c r="A3" t="s">
        <v>731</v>
      </c>
    </row>
    <row r="6" spans="1:9">
      <c r="A6" s="6" t="s">
        <v>721</v>
      </c>
      <c r="B6" s="6" t="s">
        <v>722</v>
      </c>
      <c r="C6" s="119" t="s">
        <v>1568</v>
      </c>
      <c r="D6" s="6" t="s">
        <v>728</v>
      </c>
      <c r="E6" s="6" t="s">
        <v>723</v>
      </c>
      <c r="F6" s="5" t="s">
        <v>724</v>
      </c>
      <c r="G6" s="4" t="s">
        <v>725</v>
      </c>
      <c r="H6" s="7" t="s">
        <v>732</v>
      </c>
      <c r="I6" s="7" t="s">
        <v>726</v>
      </c>
    </row>
    <row r="7" spans="1:9">
      <c r="A7" t="s">
        <v>714</v>
      </c>
      <c r="B7" s="1">
        <v>41639</v>
      </c>
      <c r="C7" t="s">
        <v>6921</v>
      </c>
      <c r="D7">
        <v>1</v>
      </c>
      <c r="E7" t="s">
        <v>124</v>
      </c>
      <c r="F7" s="81" t="s">
        <v>733</v>
      </c>
      <c r="G7" s="81" t="s">
        <v>124</v>
      </c>
      <c r="H7" s="3">
        <f t="shared" ref="H7:H42" si="0">+I7/0.16</f>
        <v>6614.6874999999991</v>
      </c>
      <c r="I7" s="3">
        <v>1058.3499999999999</v>
      </c>
    </row>
    <row r="8" spans="1:9">
      <c r="A8" t="s">
        <v>6794</v>
      </c>
      <c r="B8" s="1">
        <v>41639</v>
      </c>
      <c r="C8" t="s">
        <v>6795</v>
      </c>
      <c r="D8">
        <v>1</v>
      </c>
      <c r="E8" t="s">
        <v>6796</v>
      </c>
      <c r="F8">
        <v>1</v>
      </c>
      <c r="G8">
        <v>1</v>
      </c>
      <c r="H8" s="3">
        <f t="shared" si="0"/>
        <v>-242671109.375</v>
      </c>
      <c r="I8" s="3">
        <v>-38827377.5</v>
      </c>
    </row>
    <row r="9" spans="1:9">
      <c r="A9" t="s">
        <v>3081</v>
      </c>
      <c r="B9" s="1">
        <v>41635</v>
      </c>
      <c r="C9" t="s">
        <v>6463</v>
      </c>
      <c r="D9">
        <v>1</v>
      </c>
      <c r="E9" t="s">
        <v>6464</v>
      </c>
      <c r="F9" s="84" t="s">
        <v>734</v>
      </c>
      <c r="G9" s="81" t="s">
        <v>735</v>
      </c>
      <c r="H9" s="3">
        <f t="shared" si="0"/>
        <v>181607.4375</v>
      </c>
      <c r="I9" s="3">
        <v>29057.19</v>
      </c>
    </row>
    <row r="10" spans="1:9">
      <c r="A10" t="s">
        <v>6432</v>
      </c>
      <c r="B10" s="1">
        <v>41631</v>
      </c>
      <c r="C10" t="s">
        <v>6433</v>
      </c>
      <c r="D10">
        <v>1</v>
      </c>
      <c r="E10" t="s">
        <v>6434</v>
      </c>
      <c r="F10" s="84" t="s">
        <v>734</v>
      </c>
      <c r="G10" s="81" t="s">
        <v>735</v>
      </c>
      <c r="H10" s="3">
        <f t="shared" si="0"/>
        <v>187966.5</v>
      </c>
      <c r="I10" s="3">
        <v>30074.639999999999</v>
      </c>
    </row>
    <row r="11" spans="1:9">
      <c r="A11" t="s">
        <v>251</v>
      </c>
      <c r="B11" s="1">
        <v>41624</v>
      </c>
      <c r="C11" t="s">
        <v>6395</v>
      </c>
      <c r="D11">
        <v>1</v>
      </c>
      <c r="E11" t="s">
        <v>6396</v>
      </c>
      <c r="F11" s="84" t="s">
        <v>734</v>
      </c>
      <c r="G11" s="81" t="s">
        <v>735</v>
      </c>
      <c r="H11" s="3">
        <f t="shared" si="0"/>
        <v>277621.375</v>
      </c>
      <c r="I11" s="3">
        <v>44419.42</v>
      </c>
    </row>
    <row r="12" spans="1:9">
      <c r="A12" t="s">
        <v>1970</v>
      </c>
      <c r="B12" s="1">
        <v>41635</v>
      </c>
      <c r="C12" t="s">
        <v>6458</v>
      </c>
      <c r="D12">
        <v>1</v>
      </c>
      <c r="E12" t="s">
        <v>6459</v>
      </c>
      <c r="F12" s="84" t="s">
        <v>734</v>
      </c>
      <c r="G12" s="81" t="s">
        <v>735</v>
      </c>
      <c r="H12" s="3">
        <f t="shared" si="0"/>
        <v>176664.125</v>
      </c>
      <c r="I12" s="3">
        <v>28266.26</v>
      </c>
    </row>
    <row r="13" spans="1:9">
      <c r="A13" t="s">
        <v>6465</v>
      </c>
      <c r="B13" s="1">
        <v>41635</v>
      </c>
      <c r="C13" t="s">
        <v>6466</v>
      </c>
      <c r="D13">
        <v>1</v>
      </c>
      <c r="E13" t="s">
        <v>735</v>
      </c>
      <c r="F13" s="84" t="s">
        <v>734</v>
      </c>
      <c r="G13" s="81" t="s">
        <v>735</v>
      </c>
      <c r="H13" s="3">
        <f t="shared" si="0"/>
        <v>181607.4375</v>
      </c>
      <c r="I13" s="3">
        <v>29057.19</v>
      </c>
    </row>
    <row r="14" spans="1:9">
      <c r="A14" t="s">
        <v>6495</v>
      </c>
      <c r="B14" s="1">
        <v>41639</v>
      </c>
      <c r="C14" t="s">
        <v>6496</v>
      </c>
      <c r="D14">
        <v>1</v>
      </c>
      <c r="E14" t="s">
        <v>6497</v>
      </c>
      <c r="F14" s="81" t="s">
        <v>736</v>
      </c>
      <c r="G14" s="81" t="s">
        <v>6497</v>
      </c>
      <c r="H14" s="3">
        <f t="shared" si="0"/>
        <v>168289.25</v>
      </c>
      <c r="I14" s="3">
        <v>26926.28</v>
      </c>
    </row>
    <row r="15" spans="1:9">
      <c r="A15" t="s">
        <v>6345</v>
      </c>
      <c r="B15" s="1">
        <v>41611</v>
      </c>
      <c r="C15" t="s">
        <v>6346</v>
      </c>
      <c r="D15">
        <v>1</v>
      </c>
      <c r="E15" t="s">
        <v>6347</v>
      </c>
      <c r="F15" s="81" t="s">
        <v>736</v>
      </c>
      <c r="G15" s="81" t="s">
        <v>3053</v>
      </c>
      <c r="H15" s="3">
        <f t="shared" si="0"/>
        <v>297961.625</v>
      </c>
      <c r="I15" s="3">
        <v>47673.86</v>
      </c>
    </row>
    <row r="16" spans="1:9">
      <c r="A16" t="s">
        <v>2207</v>
      </c>
      <c r="B16" s="1">
        <v>41631</v>
      </c>
      <c r="C16" t="s">
        <v>6887</v>
      </c>
      <c r="D16">
        <v>1</v>
      </c>
      <c r="E16" t="s">
        <v>5612</v>
      </c>
      <c r="F16" s="81" t="s">
        <v>5719</v>
      </c>
      <c r="G16" s="81" t="s">
        <v>5612</v>
      </c>
      <c r="H16" s="3">
        <f t="shared" si="0"/>
        <v>25450</v>
      </c>
      <c r="I16" s="3">
        <v>4072</v>
      </c>
    </row>
    <row r="17" spans="1:9">
      <c r="A17" t="s">
        <v>2495</v>
      </c>
      <c r="B17" s="1">
        <v>41635</v>
      </c>
      <c r="C17">
        <v>9445</v>
      </c>
      <c r="D17">
        <v>1</v>
      </c>
      <c r="E17" t="s">
        <v>5484</v>
      </c>
      <c r="F17" s="81" t="s">
        <v>1587</v>
      </c>
      <c r="G17" s="81" t="s">
        <v>5484</v>
      </c>
      <c r="H17" s="3">
        <f t="shared" si="0"/>
        <v>400</v>
      </c>
      <c r="I17" s="3">
        <v>64</v>
      </c>
    </row>
    <row r="18" spans="1:9">
      <c r="A18" t="s">
        <v>201</v>
      </c>
      <c r="B18" s="1">
        <v>41626</v>
      </c>
      <c r="C18" t="s">
        <v>6854</v>
      </c>
      <c r="D18">
        <v>1</v>
      </c>
      <c r="E18" t="s">
        <v>6855</v>
      </c>
      <c r="F18" s="84" t="s">
        <v>954</v>
      </c>
      <c r="G18" s="81" t="s">
        <v>2276</v>
      </c>
      <c r="H18" s="3">
        <f t="shared" si="0"/>
        <v>172.4375</v>
      </c>
      <c r="I18" s="3">
        <v>27.59</v>
      </c>
    </row>
    <row r="19" spans="1:9">
      <c r="A19" t="s">
        <v>3506</v>
      </c>
      <c r="B19" s="1">
        <v>41635</v>
      </c>
      <c r="C19">
        <v>9449</v>
      </c>
      <c r="D19">
        <v>1</v>
      </c>
      <c r="E19" t="s">
        <v>3606</v>
      </c>
      <c r="F19" s="81" t="s">
        <v>3347</v>
      </c>
      <c r="G19" s="81" t="s">
        <v>3606</v>
      </c>
      <c r="H19" s="3">
        <f t="shared" si="0"/>
        <v>99.1875</v>
      </c>
      <c r="I19" s="3">
        <v>15.87</v>
      </c>
    </row>
    <row r="20" spans="1:9">
      <c r="A20" t="s">
        <v>3221</v>
      </c>
      <c r="B20" s="1">
        <v>41614</v>
      </c>
      <c r="C20" t="s">
        <v>6803</v>
      </c>
      <c r="D20">
        <v>1</v>
      </c>
      <c r="E20" t="s">
        <v>6227</v>
      </c>
      <c r="F20" s="124" t="s">
        <v>5722</v>
      </c>
      <c r="G20" s="81" t="s">
        <v>6227</v>
      </c>
      <c r="H20" s="3">
        <f t="shared" si="0"/>
        <v>11400</v>
      </c>
      <c r="I20" s="3">
        <v>1824</v>
      </c>
    </row>
    <row r="21" spans="1:9">
      <c r="A21" t="s">
        <v>2217</v>
      </c>
      <c r="B21" s="1">
        <v>41634</v>
      </c>
      <c r="C21" t="s">
        <v>6895</v>
      </c>
      <c r="D21">
        <v>1</v>
      </c>
      <c r="E21" t="s">
        <v>6227</v>
      </c>
      <c r="F21" s="84" t="s">
        <v>5722</v>
      </c>
      <c r="G21" s="81" t="s">
        <v>6227</v>
      </c>
      <c r="H21" s="3">
        <f t="shared" si="0"/>
        <v>2900</v>
      </c>
      <c r="I21" s="3">
        <v>464</v>
      </c>
    </row>
    <row r="22" spans="1:9">
      <c r="A22" t="s">
        <v>6621</v>
      </c>
      <c r="B22" s="1">
        <v>41639</v>
      </c>
      <c r="C22" t="s">
        <v>6622</v>
      </c>
      <c r="D22">
        <v>1</v>
      </c>
      <c r="E22" t="s">
        <v>469</v>
      </c>
      <c r="F22" s="81" t="s">
        <v>739</v>
      </c>
      <c r="G22" s="81" t="s">
        <v>469</v>
      </c>
      <c r="H22" s="3">
        <f t="shared" si="0"/>
        <v>215.49999999999997</v>
      </c>
      <c r="I22" s="3">
        <v>34.479999999999997</v>
      </c>
    </row>
    <row r="23" spans="1:9">
      <c r="A23" t="s">
        <v>6623</v>
      </c>
      <c r="B23" s="1">
        <v>41639</v>
      </c>
      <c r="C23" t="s">
        <v>6624</v>
      </c>
      <c r="D23">
        <v>1</v>
      </c>
      <c r="E23" t="s">
        <v>469</v>
      </c>
      <c r="F23" s="81" t="s">
        <v>739</v>
      </c>
      <c r="G23" s="81" t="s">
        <v>469</v>
      </c>
      <c r="H23" s="3">
        <f t="shared" si="0"/>
        <v>215.49999999999997</v>
      </c>
      <c r="I23" s="3">
        <v>34.479999999999997</v>
      </c>
    </row>
    <row r="24" spans="1:9">
      <c r="A24" t="s">
        <v>6631</v>
      </c>
      <c r="B24" s="1">
        <v>41639</v>
      </c>
      <c r="C24" t="s">
        <v>6632</v>
      </c>
      <c r="D24">
        <v>1</v>
      </c>
      <c r="E24" t="s">
        <v>469</v>
      </c>
      <c r="F24" s="81" t="s">
        <v>739</v>
      </c>
      <c r="G24" s="81" t="s">
        <v>469</v>
      </c>
      <c r="H24" s="3">
        <f t="shared" si="0"/>
        <v>215.49999999999997</v>
      </c>
      <c r="I24" s="3">
        <v>34.479999999999997</v>
      </c>
    </row>
    <row r="25" spans="1:9">
      <c r="A25" t="s">
        <v>6640</v>
      </c>
      <c r="B25" s="1">
        <v>41639</v>
      </c>
      <c r="C25" t="s">
        <v>6641</v>
      </c>
      <c r="D25">
        <v>1</v>
      </c>
      <c r="E25" t="s">
        <v>469</v>
      </c>
      <c r="F25" s="81" t="s">
        <v>739</v>
      </c>
      <c r="G25" s="81" t="s">
        <v>469</v>
      </c>
      <c r="H25" s="3">
        <f t="shared" si="0"/>
        <v>215.49999999999997</v>
      </c>
      <c r="I25" s="3">
        <v>34.479999999999997</v>
      </c>
    </row>
    <row r="26" spans="1:9">
      <c r="A26" t="s">
        <v>6646</v>
      </c>
      <c r="B26" s="1">
        <v>41639</v>
      </c>
      <c r="C26" t="s">
        <v>6647</v>
      </c>
      <c r="D26">
        <v>1</v>
      </c>
      <c r="E26" t="s">
        <v>469</v>
      </c>
      <c r="F26" s="81" t="s">
        <v>739</v>
      </c>
      <c r="G26" s="81" t="s">
        <v>469</v>
      </c>
      <c r="H26" s="3">
        <f t="shared" si="0"/>
        <v>215.49999999999997</v>
      </c>
      <c r="I26" s="3">
        <v>34.479999999999997</v>
      </c>
    </row>
    <row r="27" spans="1:9">
      <c r="A27" t="s">
        <v>6655</v>
      </c>
      <c r="B27" s="1">
        <v>41639</v>
      </c>
      <c r="C27">
        <v>9487</v>
      </c>
      <c r="D27">
        <v>1</v>
      </c>
      <c r="E27" t="s">
        <v>602</v>
      </c>
      <c r="F27" s="81" t="s">
        <v>742</v>
      </c>
      <c r="G27" s="81" t="s">
        <v>602</v>
      </c>
      <c r="H27" s="3">
        <f t="shared" si="0"/>
        <v>68.125</v>
      </c>
      <c r="I27" s="3">
        <v>10.9</v>
      </c>
    </row>
    <row r="28" spans="1:9">
      <c r="A28" t="s">
        <v>6664</v>
      </c>
      <c r="B28" s="1">
        <v>41639</v>
      </c>
      <c r="C28">
        <v>9496</v>
      </c>
      <c r="D28">
        <v>1</v>
      </c>
      <c r="E28" t="s">
        <v>602</v>
      </c>
      <c r="F28" s="81" t="s">
        <v>742</v>
      </c>
      <c r="G28" s="81" t="s">
        <v>602</v>
      </c>
      <c r="H28" s="3">
        <f t="shared" si="0"/>
        <v>56.499999999999993</v>
      </c>
      <c r="I28" s="3">
        <v>9.0399999999999991</v>
      </c>
    </row>
    <row r="29" spans="1:9">
      <c r="A29" t="s">
        <v>6672</v>
      </c>
      <c r="B29" s="1">
        <v>41639</v>
      </c>
      <c r="C29">
        <v>9506</v>
      </c>
      <c r="D29">
        <v>1</v>
      </c>
      <c r="E29" t="s">
        <v>602</v>
      </c>
      <c r="F29" s="81" t="s">
        <v>742</v>
      </c>
      <c r="G29" s="81" t="s">
        <v>602</v>
      </c>
      <c r="H29" s="3">
        <f t="shared" si="0"/>
        <v>55.874999999999993</v>
      </c>
      <c r="I29" s="3">
        <v>8.94</v>
      </c>
    </row>
    <row r="30" spans="1:9">
      <c r="A30" t="s">
        <v>6685</v>
      </c>
      <c r="B30" s="1">
        <v>41639</v>
      </c>
      <c r="C30">
        <v>9520</v>
      </c>
      <c r="D30">
        <v>1</v>
      </c>
      <c r="E30" t="s">
        <v>602</v>
      </c>
      <c r="F30" s="81" t="s">
        <v>742</v>
      </c>
      <c r="G30" s="81" t="s">
        <v>602</v>
      </c>
      <c r="H30" s="3">
        <f t="shared" si="0"/>
        <v>144.8125</v>
      </c>
      <c r="I30" s="3">
        <v>23.17</v>
      </c>
    </row>
    <row r="31" spans="1:9">
      <c r="A31" t="s">
        <v>2211</v>
      </c>
      <c r="B31" s="1">
        <v>41634</v>
      </c>
      <c r="C31" t="s">
        <v>6889</v>
      </c>
      <c r="D31">
        <v>1</v>
      </c>
      <c r="E31" t="s">
        <v>1285</v>
      </c>
      <c r="F31" s="84" t="s">
        <v>1571</v>
      </c>
      <c r="G31" s="81" t="s">
        <v>1285</v>
      </c>
      <c r="H31" s="3">
        <f t="shared" si="0"/>
        <v>6034.5</v>
      </c>
      <c r="I31" s="3">
        <v>965.52</v>
      </c>
    </row>
    <row r="32" spans="1:9">
      <c r="A32" t="s">
        <v>6343</v>
      </c>
      <c r="B32" s="1">
        <v>41611</v>
      </c>
      <c r="C32" t="s">
        <v>6344</v>
      </c>
      <c r="D32">
        <v>1</v>
      </c>
      <c r="E32" t="s">
        <v>4524</v>
      </c>
      <c r="F32" s="91" t="s">
        <v>4702</v>
      </c>
      <c r="G32" s="81" t="s">
        <v>4524</v>
      </c>
      <c r="H32" s="3">
        <f t="shared" si="0"/>
        <v>217444.0625</v>
      </c>
      <c r="I32" s="3">
        <v>34791.050000000003</v>
      </c>
    </row>
    <row r="33" spans="1:11">
      <c r="A33" t="s">
        <v>1505</v>
      </c>
      <c r="B33" s="1">
        <v>41636</v>
      </c>
      <c r="C33" t="s">
        <v>6476</v>
      </c>
      <c r="D33">
        <v>1</v>
      </c>
      <c r="E33" t="s">
        <v>6477</v>
      </c>
      <c r="F33" s="87" t="s">
        <v>4703</v>
      </c>
      <c r="G33" s="81" t="s">
        <v>4520</v>
      </c>
      <c r="H33" s="3">
        <f t="shared" si="0"/>
        <v>277621.375</v>
      </c>
      <c r="I33" s="3">
        <v>44419.42</v>
      </c>
    </row>
    <row r="34" spans="1:11">
      <c r="A34" t="s">
        <v>6379</v>
      </c>
      <c r="B34" s="1">
        <v>41619</v>
      </c>
      <c r="C34" t="s">
        <v>6380</v>
      </c>
      <c r="D34">
        <v>1</v>
      </c>
      <c r="E34" t="s">
        <v>5407</v>
      </c>
      <c r="F34" s="81" t="s">
        <v>4703</v>
      </c>
      <c r="G34" s="81" t="s">
        <v>5407</v>
      </c>
      <c r="H34" s="3">
        <f t="shared" si="0"/>
        <v>309447.5</v>
      </c>
      <c r="I34" s="3">
        <v>49511.6</v>
      </c>
    </row>
    <row r="35" spans="1:11">
      <c r="A35" t="s">
        <v>6654</v>
      </c>
      <c r="B35" s="1">
        <v>41639</v>
      </c>
      <c r="C35">
        <v>9486</v>
      </c>
      <c r="D35">
        <v>1</v>
      </c>
      <c r="E35" t="s">
        <v>5489</v>
      </c>
      <c r="F35" s="81" t="s">
        <v>6962</v>
      </c>
      <c r="G35" s="81" t="s">
        <v>6829</v>
      </c>
      <c r="H35" s="3">
        <f t="shared" si="0"/>
        <v>193.75</v>
      </c>
      <c r="I35" s="3">
        <v>31</v>
      </c>
    </row>
    <row r="36" spans="1:11">
      <c r="A36" t="s">
        <v>6687</v>
      </c>
      <c r="B36" s="1">
        <v>41639</v>
      </c>
      <c r="C36">
        <v>9522</v>
      </c>
      <c r="D36">
        <v>1</v>
      </c>
      <c r="E36" t="s">
        <v>5489</v>
      </c>
      <c r="F36" s="81" t="s">
        <v>6962</v>
      </c>
      <c r="G36" s="81" t="s">
        <v>6829</v>
      </c>
      <c r="H36" s="3">
        <f t="shared" si="0"/>
        <v>129.1875</v>
      </c>
      <c r="I36" s="3">
        <v>20.67</v>
      </c>
    </row>
    <row r="37" spans="1:11">
      <c r="A37" t="s">
        <v>6633</v>
      </c>
      <c r="B37" s="1">
        <v>41639</v>
      </c>
      <c r="C37" t="s">
        <v>6634</v>
      </c>
      <c r="D37">
        <v>1</v>
      </c>
      <c r="E37" t="s">
        <v>481</v>
      </c>
      <c r="F37" s="81" t="s">
        <v>6962</v>
      </c>
      <c r="G37" s="81" t="s">
        <v>6829</v>
      </c>
      <c r="H37" s="3">
        <f t="shared" si="0"/>
        <v>25.8125</v>
      </c>
      <c r="I37" s="3">
        <v>4.13</v>
      </c>
    </row>
    <row r="38" spans="1:11">
      <c r="A38" t="s">
        <v>152</v>
      </c>
      <c r="B38" s="1">
        <v>41621</v>
      </c>
      <c r="C38" t="s">
        <v>6828</v>
      </c>
      <c r="D38">
        <v>1</v>
      </c>
      <c r="E38" t="s">
        <v>6829</v>
      </c>
      <c r="F38" s="81" t="s">
        <v>6962</v>
      </c>
      <c r="G38" s="81" t="s">
        <v>6829</v>
      </c>
      <c r="H38" s="3">
        <f t="shared" si="0"/>
        <v>4816.8125</v>
      </c>
      <c r="I38" s="3">
        <v>770.69</v>
      </c>
    </row>
    <row r="39" spans="1:11">
      <c r="A39" t="s">
        <v>2807</v>
      </c>
      <c r="B39" s="1">
        <v>41636</v>
      </c>
      <c r="C39" t="s">
        <v>6872</v>
      </c>
      <c r="D39">
        <v>1</v>
      </c>
      <c r="E39" t="s">
        <v>6904</v>
      </c>
      <c r="F39" t="s">
        <v>946</v>
      </c>
      <c r="G39" t="s">
        <v>6904</v>
      </c>
      <c r="H39" s="3">
        <f t="shared" si="0"/>
        <v>-4000</v>
      </c>
      <c r="I39" s="3">
        <v>-640</v>
      </c>
    </row>
    <row r="40" spans="1:11">
      <c r="A40" t="s">
        <v>6648</v>
      </c>
      <c r="B40" s="1">
        <v>41639</v>
      </c>
      <c r="C40">
        <v>9479</v>
      </c>
      <c r="D40">
        <v>1</v>
      </c>
      <c r="E40" t="s">
        <v>4899</v>
      </c>
      <c r="F40" s="81" t="s">
        <v>5162</v>
      </c>
      <c r="G40" s="81" t="s">
        <v>4899</v>
      </c>
      <c r="H40" s="3">
        <f t="shared" si="0"/>
        <v>525</v>
      </c>
      <c r="I40" s="3">
        <v>84</v>
      </c>
    </row>
    <row r="41" spans="1:11">
      <c r="A41" t="s">
        <v>6669</v>
      </c>
      <c r="B41" s="1">
        <v>41639</v>
      </c>
      <c r="C41">
        <v>9504</v>
      </c>
      <c r="D41">
        <v>1</v>
      </c>
      <c r="E41" t="s">
        <v>6670</v>
      </c>
      <c r="F41" s="81" t="s">
        <v>6963</v>
      </c>
      <c r="G41" s="81" t="s">
        <v>6670</v>
      </c>
      <c r="H41" s="3">
        <f t="shared" si="0"/>
        <v>125</v>
      </c>
      <c r="I41" s="3">
        <v>20</v>
      </c>
    </row>
    <row r="42" spans="1:11">
      <c r="A42" t="s">
        <v>69</v>
      </c>
      <c r="B42" s="1">
        <v>41617</v>
      </c>
      <c r="C42" t="s">
        <v>6808</v>
      </c>
      <c r="D42">
        <v>1</v>
      </c>
      <c r="E42" t="s">
        <v>6809</v>
      </c>
      <c r="F42" s="81" t="s">
        <v>6964</v>
      </c>
      <c r="G42" s="81" t="s">
        <v>6809</v>
      </c>
      <c r="H42" s="3">
        <f t="shared" si="0"/>
        <v>4770.3125</v>
      </c>
      <c r="I42" s="3">
        <v>763.25</v>
      </c>
    </row>
    <row r="43" spans="1:11">
      <c r="A43" t="s">
        <v>2975</v>
      </c>
      <c r="B43" s="1">
        <v>41620</v>
      </c>
      <c r="C43" t="s">
        <v>5547</v>
      </c>
      <c r="D43">
        <v>1</v>
      </c>
      <c r="E43" t="s">
        <v>6388</v>
      </c>
      <c r="F43" s="81" t="s">
        <v>5728</v>
      </c>
      <c r="G43" s="81" t="s">
        <v>6965</v>
      </c>
      <c r="H43" s="82">
        <f>I43/0.16</f>
        <v>116.375</v>
      </c>
      <c r="I43" s="82">
        <v>18.62</v>
      </c>
      <c r="J43" s="3"/>
      <c r="K43" s="3"/>
    </row>
    <row r="44" spans="1:11">
      <c r="A44" t="s">
        <v>2975</v>
      </c>
      <c r="B44" s="1">
        <v>41620</v>
      </c>
      <c r="C44" t="s">
        <v>5547</v>
      </c>
      <c r="D44">
        <v>1</v>
      </c>
      <c r="E44" t="s">
        <v>6388</v>
      </c>
      <c r="F44" s="81" t="s">
        <v>2922</v>
      </c>
      <c r="G44" s="81" t="s">
        <v>2923</v>
      </c>
      <c r="H44" s="82">
        <f>I44/0.16</f>
        <v>1663.8750000000002</v>
      </c>
      <c r="I44" s="82">
        <v>266.22000000000003</v>
      </c>
    </row>
    <row r="45" spans="1:11">
      <c r="A45" t="s">
        <v>2975</v>
      </c>
      <c r="B45" s="1">
        <v>41620</v>
      </c>
      <c r="C45" t="s">
        <v>5547</v>
      </c>
      <c r="D45">
        <v>1</v>
      </c>
      <c r="E45" t="s">
        <v>6388</v>
      </c>
      <c r="F45" s="81" t="s">
        <v>6966</v>
      </c>
      <c r="G45" s="81" t="s">
        <v>6967</v>
      </c>
      <c r="H45" s="82">
        <f>I45/0.16</f>
        <v>85.3125</v>
      </c>
      <c r="I45" s="82">
        <v>13.65</v>
      </c>
    </row>
    <row r="46" spans="1:11">
      <c r="A46" t="s">
        <v>2975</v>
      </c>
      <c r="B46" s="1">
        <v>41620</v>
      </c>
      <c r="C46" t="s">
        <v>5547</v>
      </c>
      <c r="D46">
        <v>1</v>
      </c>
      <c r="E46" t="s">
        <v>6388</v>
      </c>
      <c r="F46" s="81" t="s">
        <v>2924</v>
      </c>
      <c r="G46" s="81" t="s">
        <v>2925</v>
      </c>
      <c r="H46" s="82">
        <f>I46/0.16</f>
        <v>89.6875</v>
      </c>
      <c r="I46" s="82">
        <v>14.35</v>
      </c>
      <c r="J46" s="14">
        <f>1955.25-H43-H44-H45-H46</f>
        <v>-2.2737367544323206E-13</v>
      </c>
      <c r="K46" s="14">
        <f>312.84-I43-I44-I45-I46</f>
        <v>-5.6843418860808015E-14</v>
      </c>
    </row>
    <row r="47" spans="1:11">
      <c r="A47" t="s">
        <v>6690</v>
      </c>
      <c r="B47" s="1">
        <v>41639</v>
      </c>
      <c r="C47">
        <v>9525</v>
      </c>
      <c r="D47">
        <v>1</v>
      </c>
      <c r="E47" t="s">
        <v>6691</v>
      </c>
      <c r="F47" s="81" t="s">
        <v>788</v>
      </c>
      <c r="G47" s="81" t="s">
        <v>6691</v>
      </c>
      <c r="H47" s="3">
        <f t="shared" ref="H47:H75" si="1">+I47/0.16</f>
        <v>81.875</v>
      </c>
      <c r="I47" s="3">
        <v>13.1</v>
      </c>
    </row>
    <row r="48" spans="1:11">
      <c r="A48" t="s">
        <v>3512</v>
      </c>
      <c r="B48" s="1">
        <v>41635</v>
      </c>
      <c r="C48">
        <v>9451</v>
      </c>
      <c r="D48">
        <v>1</v>
      </c>
      <c r="E48" t="s">
        <v>4194</v>
      </c>
      <c r="F48" t="s">
        <v>946</v>
      </c>
      <c r="G48" t="s">
        <v>947</v>
      </c>
      <c r="H48" s="3">
        <f t="shared" si="1"/>
        <v>953.0625</v>
      </c>
      <c r="I48" s="3">
        <v>152.49</v>
      </c>
    </row>
    <row r="49" spans="1:9">
      <c r="A49" t="s">
        <v>6676</v>
      </c>
      <c r="B49" s="1">
        <v>41639</v>
      </c>
      <c r="C49">
        <v>9511</v>
      </c>
      <c r="D49">
        <v>1</v>
      </c>
      <c r="E49" t="s">
        <v>4194</v>
      </c>
      <c r="F49" t="s">
        <v>946</v>
      </c>
      <c r="G49" t="s">
        <v>947</v>
      </c>
      <c r="H49" s="3">
        <f t="shared" si="1"/>
        <v>608.0625</v>
      </c>
      <c r="I49" s="3">
        <v>97.29</v>
      </c>
    </row>
    <row r="50" spans="1:9">
      <c r="A50" t="s">
        <v>6489</v>
      </c>
      <c r="B50" s="1">
        <v>41639</v>
      </c>
      <c r="C50" t="s">
        <v>6490</v>
      </c>
      <c r="D50">
        <v>1</v>
      </c>
      <c r="E50" t="s">
        <v>6491</v>
      </c>
      <c r="F50" s="87" t="s">
        <v>755</v>
      </c>
      <c r="G50" s="81" t="s">
        <v>756</v>
      </c>
      <c r="H50" s="3">
        <f t="shared" si="1"/>
        <v>195878.125</v>
      </c>
      <c r="I50" s="3">
        <v>31340.5</v>
      </c>
    </row>
    <row r="51" spans="1:9">
      <c r="A51" t="s">
        <v>6383</v>
      </c>
      <c r="B51" s="1">
        <v>41620</v>
      </c>
      <c r="C51" t="s">
        <v>6384</v>
      </c>
      <c r="D51">
        <v>1</v>
      </c>
      <c r="E51" t="s">
        <v>388</v>
      </c>
      <c r="F51" s="87" t="s">
        <v>755</v>
      </c>
      <c r="G51" s="81" t="s">
        <v>756</v>
      </c>
      <c r="H51" s="3">
        <f t="shared" si="1"/>
        <v>224993.125</v>
      </c>
      <c r="I51" s="3">
        <v>35998.9</v>
      </c>
    </row>
    <row r="52" spans="1:9">
      <c r="A52" t="s">
        <v>141</v>
      </c>
      <c r="B52" s="1">
        <v>41619</v>
      </c>
      <c r="C52" t="s">
        <v>6381</v>
      </c>
      <c r="D52">
        <v>1</v>
      </c>
      <c r="E52" t="s">
        <v>6382</v>
      </c>
      <c r="F52" s="87" t="s">
        <v>755</v>
      </c>
      <c r="G52" s="81" t="s">
        <v>756</v>
      </c>
      <c r="H52" s="3">
        <f t="shared" si="1"/>
        <v>259056.9375</v>
      </c>
      <c r="I52" s="3">
        <v>41449.11</v>
      </c>
    </row>
    <row r="53" spans="1:9">
      <c r="A53" t="s">
        <v>6651</v>
      </c>
      <c r="B53" s="1">
        <v>41639</v>
      </c>
      <c r="C53">
        <v>9483</v>
      </c>
      <c r="D53">
        <v>1</v>
      </c>
      <c r="E53" t="s">
        <v>6652</v>
      </c>
      <c r="F53" s="81" t="s">
        <v>757</v>
      </c>
      <c r="G53" s="81" t="s">
        <v>6652</v>
      </c>
      <c r="H53" s="3">
        <f t="shared" si="1"/>
        <v>56.937499999999993</v>
      </c>
      <c r="I53" s="3">
        <v>9.11</v>
      </c>
    </row>
    <row r="54" spans="1:9">
      <c r="A54" t="s">
        <v>3493</v>
      </c>
      <c r="B54" s="1">
        <v>41627</v>
      </c>
      <c r="C54" t="s">
        <v>6419</v>
      </c>
      <c r="D54">
        <v>1</v>
      </c>
      <c r="E54" t="s">
        <v>6420</v>
      </c>
      <c r="F54" s="84" t="s">
        <v>761</v>
      </c>
      <c r="G54" s="81" t="s">
        <v>762</v>
      </c>
      <c r="H54" s="3">
        <f t="shared" si="1"/>
        <v>224993.125</v>
      </c>
      <c r="I54" s="3">
        <v>35998.9</v>
      </c>
    </row>
    <row r="55" spans="1:9">
      <c r="A55" t="s">
        <v>4623</v>
      </c>
      <c r="B55" s="1">
        <v>41614</v>
      </c>
      <c r="C55" t="s">
        <v>6804</v>
      </c>
      <c r="D55">
        <v>1</v>
      </c>
      <c r="E55" t="s">
        <v>5661</v>
      </c>
      <c r="F55" s="81" t="s">
        <v>6284</v>
      </c>
      <c r="G55" s="81" t="s">
        <v>5661</v>
      </c>
      <c r="H55" s="3">
        <f t="shared" si="1"/>
        <v>43103.4375</v>
      </c>
      <c r="I55" s="3">
        <v>6896.55</v>
      </c>
    </row>
    <row r="56" spans="1:9">
      <c r="A56" t="s">
        <v>125</v>
      </c>
      <c r="B56" s="1">
        <v>41619</v>
      </c>
      <c r="C56" t="s">
        <v>6821</v>
      </c>
      <c r="D56">
        <v>1</v>
      </c>
      <c r="E56" t="s">
        <v>5661</v>
      </c>
      <c r="F56" s="81" t="s">
        <v>6284</v>
      </c>
      <c r="G56" s="81" t="s">
        <v>5661</v>
      </c>
      <c r="H56" s="3">
        <f t="shared" si="1"/>
        <v>9200</v>
      </c>
      <c r="I56" s="3">
        <v>1472</v>
      </c>
    </row>
    <row r="57" spans="1:9">
      <c r="A57" t="s">
        <v>150</v>
      </c>
      <c r="B57" s="1">
        <v>41621</v>
      </c>
      <c r="C57" t="s">
        <v>6827</v>
      </c>
      <c r="D57">
        <v>1</v>
      </c>
      <c r="E57" t="s">
        <v>5661</v>
      </c>
      <c r="F57" s="81" t="s">
        <v>6284</v>
      </c>
      <c r="G57" s="81" t="s">
        <v>5661</v>
      </c>
      <c r="H57" s="3">
        <f t="shared" si="1"/>
        <v>60000</v>
      </c>
      <c r="I57" s="3">
        <v>9600</v>
      </c>
    </row>
    <row r="58" spans="1:9">
      <c r="A58" t="s">
        <v>156</v>
      </c>
      <c r="B58" s="1">
        <v>41621</v>
      </c>
      <c r="C58" t="s">
        <v>6831</v>
      </c>
      <c r="D58">
        <v>1</v>
      </c>
      <c r="E58" t="s">
        <v>5661</v>
      </c>
      <c r="F58" s="81" t="s">
        <v>6284</v>
      </c>
      <c r="G58" s="81" t="s">
        <v>5661</v>
      </c>
      <c r="H58" s="3">
        <f t="shared" si="1"/>
        <v>51724.125</v>
      </c>
      <c r="I58" s="3">
        <v>8275.86</v>
      </c>
    </row>
    <row r="59" spans="1:9">
      <c r="A59" t="s">
        <v>1120</v>
      </c>
      <c r="B59" s="1">
        <v>41624</v>
      </c>
      <c r="C59" t="s">
        <v>6838</v>
      </c>
      <c r="D59">
        <v>1</v>
      </c>
      <c r="E59" t="s">
        <v>5661</v>
      </c>
      <c r="F59" s="81" t="s">
        <v>6284</v>
      </c>
      <c r="G59" s="81" t="s">
        <v>5661</v>
      </c>
      <c r="H59" s="3">
        <f t="shared" si="1"/>
        <v>8620.6875</v>
      </c>
      <c r="I59" s="3">
        <v>1379.31</v>
      </c>
    </row>
    <row r="60" spans="1:9">
      <c r="A60" t="s">
        <v>2766</v>
      </c>
      <c r="B60" s="1">
        <v>41631</v>
      </c>
      <c r="C60" t="s">
        <v>6865</v>
      </c>
      <c r="D60">
        <v>1</v>
      </c>
      <c r="E60" t="s">
        <v>5661</v>
      </c>
      <c r="F60" s="81" t="s">
        <v>6284</v>
      </c>
      <c r="G60" s="81" t="s">
        <v>5661</v>
      </c>
      <c r="H60" s="3">
        <f t="shared" si="1"/>
        <v>4600</v>
      </c>
      <c r="I60" s="3">
        <v>736</v>
      </c>
    </row>
    <row r="61" spans="1:9">
      <c r="A61" t="s">
        <v>2768</v>
      </c>
      <c r="B61" s="1">
        <v>41631</v>
      </c>
      <c r="C61" t="s">
        <v>6866</v>
      </c>
      <c r="D61">
        <v>1</v>
      </c>
      <c r="E61" t="s">
        <v>5661</v>
      </c>
      <c r="F61" s="81" t="s">
        <v>6284</v>
      </c>
      <c r="G61" s="81" t="s">
        <v>5661</v>
      </c>
      <c r="H61" s="3">
        <f t="shared" si="1"/>
        <v>51724.125</v>
      </c>
      <c r="I61" s="3">
        <v>8275.86</v>
      </c>
    </row>
    <row r="62" spans="1:9">
      <c r="A62" t="s">
        <v>697</v>
      </c>
      <c r="B62" s="1">
        <v>41638</v>
      </c>
      <c r="C62" t="s">
        <v>6913</v>
      </c>
      <c r="D62">
        <v>1</v>
      </c>
      <c r="E62" t="s">
        <v>5661</v>
      </c>
      <c r="F62" s="81" t="s">
        <v>6284</v>
      </c>
      <c r="G62" s="81" t="s">
        <v>5661</v>
      </c>
      <c r="H62" s="3">
        <f t="shared" si="1"/>
        <v>51724.125</v>
      </c>
      <c r="I62" s="3">
        <v>8275.86</v>
      </c>
    </row>
    <row r="63" spans="1:9">
      <c r="A63" t="s">
        <v>3264</v>
      </c>
      <c r="B63" s="1">
        <v>41631</v>
      </c>
      <c r="C63" t="s">
        <v>6882</v>
      </c>
      <c r="D63">
        <v>1</v>
      </c>
      <c r="E63" t="s">
        <v>1059</v>
      </c>
      <c r="F63" s="81" t="s">
        <v>1576</v>
      </c>
      <c r="G63" s="81" t="s">
        <v>1059</v>
      </c>
      <c r="H63" s="3">
        <f t="shared" si="1"/>
        <v>827.62499999999989</v>
      </c>
      <c r="I63" s="3">
        <v>132.41999999999999</v>
      </c>
    </row>
    <row r="64" spans="1:9">
      <c r="A64" t="s">
        <v>172</v>
      </c>
      <c r="B64" s="1">
        <v>41624</v>
      </c>
      <c r="C64" t="s">
        <v>6836</v>
      </c>
      <c r="D64">
        <v>1</v>
      </c>
      <c r="E64" t="s">
        <v>4310</v>
      </c>
      <c r="F64" s="81" t="s">
        <v>4339</v>
      </c>
      <c r="G64" s="81" t="s">
        <v>4310</v>
      </c>
      <c r="H64" s="3">
        <f t="shared" si="1"/>
        <v>15925</v>
      </c>
      <c r="I64" s="3">
        <v>2548</v>
      </c>
    </row>
    <row r="65" spans="1:11">
      <c r="A65" t="s">
        <v>1333</v>
      </c>
      <c r="B65" s="1">
        <v>41636</v>
      </c>
      <c r="C65" t="s">
        <v>6902</v>
      </c>
      <c r="D65">
        <v>1</v>
      </c>
      <c r="E65" t="s">
        <v>4310</v>
      </c>
      <c r="F65" s="87" t="s">
        <v>4339</v>
      </c>
      <c r="G65" s="81" t="s">
        <v>4310</v>
      </c>
      <c r="H65" s="3">
        <f t="shared" si="1"/>
        <v>15925</v>
      </c>
      <c r="I65" s="3">
        <v>2548</v>
      </c>
    </row>
    <row r="66" spans="1:11">
      <c r="A66" t="s">
        <v>128</v>
      </c>
      <c r="B66" s="1">
        <v>41619</v>
      </c>
      <c r="C66" t="s">
        <v>6822</v>
      </c>
      <c r="D66">
        <v>1</v>
      </c>
      <c r="E66" t="s">
        <v>100</v>
      </c>
      <c r="F66" s="81" t="s">
        <v>6968</v>
      </c>
      <c r="G66" s="81" t="s">
        <v>100</v>
      </c>
      <c r="H66" s="3">
        <f t="shared" si="1"/>
        <v>23019.8125</v>
      </c>
      <c r="I66" s="3">
        <v>3683.17</v>
      </c>
    </row>
    <row r="67" spans="1:11">
      <c r="A67" t="s">
        <v>1255</v>
      </c>
      <c r="B67" s="1">
        <v>41634</v>
      </c>
      <c r="C67" t="s">
        <v>6890</v>
      </c>
      <c r="D67">
        <v>1</v>
      </c>
      <c r="E67" t="s">
        <v>6891</v>
      </c>
      <c r="F67" s="87" t="s">
        <v>4715</v>
      </c>
      <c r="G67" s="81" t="s">
        <v>828</v>
      </c>
      <c r="H67" s="3">
        <f t="shared" si="1"/>
        <v>10424.6875</v>
      </c>
      <c r="I67" s="3">
        <v>1667.95</v>
      </c>
    </row>
    <row r="68" spans="1:11">
      <c r="A68" t="s">
        <v>5694</v>
      </c>
      <c r="B68" s="1">
        <v>41639</v>
      </c>
      <c r="C68" t="s">
        <v>6940</v>
      </c>
      <c r="D68">
        <v>1</v>
      </c>
      <c r="E68" t="s">
        <v>6941</v>
      </c>
      <c r="F68" s="88" t="s">
        <v>1578</v>
      </c>
      <c r="G68" s="89" t="s">
        <v>1579</v>
      </c>
      <c r="H68" s="3">
        <f t="shared" si="1"/>
        <v>1202</v>
      </c>
      <c r="I68" s="3">
        <v>192.32</v>
      </c>
      <c r="J68" s="14"/>
    </row>
    <row r="69" spans="1:11">
      <c r="A69" t="s">
        <v>6256</v>
      </c>
      <c r="B69" s="1">
        <v>41639</v>
      </c>
      <c r="C69" t="s">
        <v>433</v>
      </c>
      <c r="D69">
        <v>1</v>
      </c>
      <c r="E69" t="s">
        <v>6948</v>
      </c>
      <c r="F69" s="87" t="s">
        <v>821</v>
      </c>
      <c r="G69" s="87" t="s">
        <v>2272</v>
      </c>
      <c r="H69" s="3">
        <f t="shared" si="1"/>
        <v>265</v>
      </c>
      <c r="I69" s="3">
        <v>42.4</v>
      </c>
    </row>
    <row r="70" spans="1:11">
      <c r="A70" t="s">
        <v>5679</v>
      </c>
      <c r="B70" s="1">
        <v>41639</v>
      </c>
      <c r="C70" t="s">
        <v>433</v>
      </c>
      <c r="D70">
        <v>1</v>
      </c>
      <c r="E70" t="s">
        <v>6938</v>
      </c>
      <c r="F70" s="87" t="s">
        <v>4715</v>
      </c>
      <c r="G70" s="81" t="s">
        <v>828</v>
      </c>
      <c r="H70" s="3">
        <f t="shared" si="1"/>
        <v>2673.375</v>
      </c>
      <c r="I70" s="3">
        <v>427.74</v>
      </c>
    </row>
    <row r="71" spans="1:11">
      <c r="A71" t="s">
        <v>5685</v>
      </c>
      <c r="B71" s="1">
        <v>41639</v>
      </c>
      <c r="C71" t="s">
        <v>5035</v>
      </c>
      <c r="D71">
        <v>1</v>
      </c>
      <c r="E71" t="s">
        <v>6939</v>
      </c>
      <c r="F71" s="123" t="s">
        <v>950</v>
      </c>
      <c r="G71" s="90" t="s">
        <v>951</v>
      </c>
      <c r="H71" s="3">
        <f t="shared" si="1"/>
        <v>10043.5625</v>
      </c>
      <c r="I71" s="3">
        <v>1606.97</v>
      </c>
    </row>
    <row r="72" spans="1:11">
      <c r="A72" t="s">
        <v>6943</v>
      </c>
      <c r="B72" s="1">
        <v>41639</v>
      </c>
      <c r="C72" t="s">
        <v>433</v>
      </c>
      <c r="D72">
        <v>1</v>
      </c>
      <c r="E72" t="s">
        <v>6944</v>
      </c>
      <c r="F72" s="87" t="s">
        <v>825</v>
      </c>
      <c r="G72" s="90" t="s">
        <v>826</v>
      </c>
      <c r="H72" s="3">
        <f t="shared" si="1"/>
        <v>326</v>
      </c>
      <c r="I72" s="3">
        <v>52.16</v>
      </c>
    </row>
    <row r="73" spans="1:11">
      <c r="A73" t="s">
        <v>6945</v>
      </c>
      <c r="B73" s="1">
        <v>41639</v>
      </c>
      <c r="C73" t="s">
        <v>433</v>
      </c>
      <c r="D73">
        <v>1</v>
      </c>
      <c r="E73" t="s">
        <v>6946</v>
      </c>
      <c r="F73" s="87" t="s">
        <v>823</v>
      </c>
      <c r="G73" s="90" t="s">
        <v>824</v>
      </c>
      <c r="H73" s="3">
        <f t="shared" si="1"/>
        <v>297</v>
      </c>
      <c r="I73" s="3">
        <v>47.52</v>
      </c>
    </row>
    <row r="74" spans="1:11">
      <c r="A74" t="s">
        <v>6253</v>
      </c>
      <c r="B74" s="1">
        <v>41639</v>
      </c>
      <c r="C74" t="s">
        <v>433</v>
      </c>
      <c r="D74">
        <v>1</v>
      </c>
      <c r="E74" t="s">
        <v>6947</v>
      </c>
      <c r="F74" s="41" t="s">
        <v>915</v>
      </c>
      <c r="G74" s="43" t="s">
        <v>916</v>
      </c>
      <c r="H74" s="3">
        <f t="shared" si="1"/>
        <v>190</v>
      </c>
      <c r="I74" s="3">
        <v>30.4</v>
      </c>
    </row>
    <row r="75" spans="1:11">
      <c r="A75" t="s">
        <v>6397</v>
      </c>
      <c r="B75" s="1">
        <v>41625</v>
      </c>
      <c r="C75" t="s">
        <v>5547</v>
      </c>
      <c r="D75">
        <v>1</v>
      </c>
      <c r="E75" t="s">
        <v>6398</v>
      </c>
      <c r="F75" s="84" t="s">
        <v>2922</v>
      </c>
      <c r="G75" s="81" t="s">
        <v>2923</v>
      </c>
      <c r="H75" s="3">
        <f t="shared" si="1"/>
        <v>1109.25</v>
      </c>
      <c r="I75" s="3">
        <v>177.48</v>
      </c>
    </row>
    <row r="76" spans="1:11">
      <c r="A76" t="s">
        <v>6546</v>
      </c>
      <c r="B76" s="1">
        <v>41639</v>
      </c>
      <c r="C76" t="s">
        <v>6547</v>
      </c>
      <c r="D76">
        <v>1</v>
      </c>
      <c r="E76" t="s">
        <v>6548</v>
      </c>
      <c r="F76" s="81" t="s">
        <v>1649</v>
      </c>
      <c r="G76" s="81" t="s">
        <v>1650</v>
      </c>
      <c r="H76" s="82">
        <f>I76/0.16</f>
        <v>76.75</v>
      </c>
      <c r="I76" s="82">
        <v>12.28</v>
      </c>
      <c r="J76" s="3"/>
      <c r="K76" s="3"/>
    </row>
    <row r="77" spans="1:11">
      <c r="A77" t="s">
        <v>6546</v>
      </c>
      <c r="B77" s="1">
        <v>41639</v>
      </c>
      <c r="C77" t="s">
        <v>6547</v>
      </c>
      <c r="D77">
        <v>1</v>
      </c>
      <c r="E77" t="s">
        <v>6548</v>
      </c>
      <c r="F77" s="28" t="s">
        <v>1676</v>
      </c>
      <c r="G77" s="28" t="s">
        <v>1677</v>
      </c>
      <c r="H77" s="47">
        <f>I77/0.16</f>
        <v>334.5</v>
      </c>
      <c r="I77" s="47">
        <v>53.52</v>
      </c>
    </row>
    <row r="78" spans="1:11">
      <c r="A78" t="s">
        <v>6546</v>
      </c>
      <c r="B78" s="1">
        <v>41639</v>
      </c>
      <c r="C78" t="s">
        <v>6547</v>
      </c>
      <c r="D78">
        <v>1</v>
      </c>
      <c r="E78" t="s">
        <v>6548</v>
      </c>
      <c r="F78" t="s">
        <v>946</v>
      </c>
      <c r="G78" s="33" t="s">
        <v>947</v>
      </c>
      <c r="H78" s="46">
        <f t="shared" ref="H78" si="2">I78/0.16</f>
        <v>388</v>
      </c>
      <c r="I78" s="46">
        <v>62.08</v>
      </c>
      <c r="J78" s="14">
        <f>799.25-H76-H77-H78</f>
        <v>0</v>
      </c>
      <c r="K78" s="14">
        <f>127.88-I76-I77-I78</f>
        <v>0</v>
      </c>
    </row>
    <row r="79" spans="1:11">
      <c r="A79" t="s">
        <v>1067</v>
      </c>
      <c r="B79" s="1">
        <v>41617</v>
      </c>
      <c r="C79" t="s">
        <v>6818</v>
      </c>
      <c r="D79">
        <v>1</v>
      </c>
      <c r="E79" t="s">
        <v>999</v>
      </c>
      <c r="F79" s="81" t="s">
        <v>1585</v>
      </c>
      <c r="G79" s="81" t="s">
        <v>999</v>
      </c>
      <c r="H79" s="3">
        <f t="shared" ref="H79:H142" si="3">+I79/0.16</f>
        <v>10753.375</v>
      </c>
      <c r="I79" s="3">
        <v>1720.54</v>
      </c>
    </row>
    <row r="80" spans="1:11">
      <c r="A80" t="s">
        <v>6610</v>
      </c>
      <c r="B80" s="1">
        <v>41639</v>
      </c>
      <c r="C80">
        <v>9473</v>
      </c>
      <c r="D80">
        <v>1</v>
      </c>
      <c r="E80" t="s">
        <v>549</v>
      </c>
      <c r="F80" s="81" t="s">
        <v>767</v>
      </c>
      <c r="G80" s="81" t="s">
        <v>768</v>
      </c>
      <c r="H80" s="3">
        <f t="shared" si="3"/>
        <v>1079.25</v>
      </c>
      <c r="I80" s="3">
        <v>172.68</v>
      </c>
    </row>
    <row r="81" spans="1:11">
      <c r="A81" t="s">
        <v>2787</v>
      </c>
      <c r="B81" s="1">
        <v>41631</v>
      </c>
      <c r="C81" t="s">
        <v>6881</v>
      </c>
      <c r="D81">
        <v>1</v>
      </c>
      <c r="E81" t="s">
        <v>1142</v>
      </c>
      <c r="F81" s="81" t="s">
        <v>770</v>
      </c>
      <c r="G81" s="81" t="s">
        <v>1142</v>
      </c>
      <c r="H81" s="3">
        <f t="shared" si="3"/>
        <v>14153.999999999998</v>
      </c>
      <c r="I81" s="3">
        <v>2264.64</v>
      </c>
    </row>
    <row r="82" spans="1:11">
      <c r="A82" t="s">
        <v>236</v>
      </c>
      <c r="B82" s="1">
        <v>41639</v>
      </c>
      <c r="C82" t="s">
        <v>6922</v>
      </c>
      <c r="D82">
        <v>1</v>
      </c>
      <c r="E82" t="s">
        <v>1142</v>
      </c>
      <c r="F82" s="81" t="s">
        <v>770</v>
      </c>
      <c r="G82" s="81" t="s">
        <v>1142</v>
      </c>
      <c r="H82" s="3">
        <f t="shared" si="3"/>
        <v>4435</v>
      </c>
      <c r="I82" s="3">
        <v>709.6</v>
      </c>
    </row>
    <row r="83" spans="1:11">
      <c r="A83" t="s">
        <v>5552</v>
      </c>
      <c r="B83" s="1">
        <v>41610</v>
      </c>
      <c r="C83" t="s">
        <v>6798</v>
      </c>
      <c r="D83">
        <v>1</v>
      </c>
      <c r="E83" t="s">
        <v>29</v>
      </c>
      <c r="F83" s="84" t="s">
        <v>772</v>
      </c>
      <c r="G83" s="81" t="s">
        <v>29</v>
      </c>
      <c r="H83" s="3">
        <f t="shared" si="3"/>
        <v>13278.999999999998</v>
      </c>
      <c r="I83" s="3">
        <v>2124.64</v>
      </c>
      <c r="J83" s="46"/>
      <c r="K83" s="46"/>
    </row>
    <row r="84" spans="1:11">
      <c r="A84" t="s">
        <v>2129</v>
      </c>
      <c r="B84" s="1">
        <v>41610</v>
      </c>
      <c r="C84" t="s">
        <v>6799</v>
      </c>
      <c r="D84">
        <v>1</v>
      </c>
      <c r="E84" t="s">
        <v>29</v>
      </c>
      <c r="F84" s="84" t="s">
        <v>772</v>
      </c>
      <c r="G84" s="81" t="s">
        <v>29</v>
      </c>
      <c r="H84" s="3">
        <f t="shared" si="3"/>
        <v>3789</v>
      </c>
      <c r="I84" s="3">
        <v>606.24</v>
      </c>
      <c r="J84" s="46"/>
      <c r="K84" s="46"/>
    </row>
    <row r="85" spans="1:11">
      <c r="A85" t="s">
        <v>966</v>
      </c>
      <c r="B85" s="1">
        <v>41610</v>
      </c>
      <c r="C85" t="s">
        <v>6800</v>
      </c>
      <c r="D85">
        <v>1</v>
      </c>
      <c r="E85" t="s">
        <v>29</v>
      </c>
      <c r="F85" s="84" t="s">
        <v>772</v>
      </c>
      <c r="G85" s="81" t="s">
        <v>29</v>
      </c>
      <c r="H85" s="3">
        <f t="shared" si="3"/>
        <v>1019.9999999999999</v>
      </c>
      <c r="I85" s="3">
        <v>163.19999999999999</v>
      </c>
      <c r="J85" s="46"/>
      <c r="K85" s="46"/>
    </row>
    <row r="86" spans="1:11">
      <c r="A86" t="s">
        <v>969</v>
      </c>
      <c r="B86" s="1">
        <v>41610</v>
      </c>
      <c r="C86" t="s">
        <v>6801</v>
      </c>
      <c r="D86">
        <v>1</v>
      </c>
      <c r="E86" t="s">
        <v>29</v>
      </c>
      <c r="F86" s="84" t="s">
        <v>772</v>
      </c>
      <c r="G86" s="81" t="s">
        <v>29</v>
      </c>
      <c r="H86" s="3">
        <f t="shared" si="3"/>
        <v>1019.9999999999999</v>
      </c>
      <c r="I86" s="3">
        <v>163.19999999999999</v>
      </c>
      <c r="J86" s="46"/>
      <c r="K86" s="46"/>
    </row>
    <row r="87" spans="1:11">
      <c r="A87" t="s">
        <v>3223</v>
      </c>
      <c r="B87" s="1">
        <v>41614</v>
      </c>
      <c r="C87" t="s">
        <v>6806</v>
      </c>
      <c r="D87">
        <v>1</v>
      </c>
      <c r="E87" t="s">
        <v>29</v>
      </c>
      <c r="F87" s="84" t="s">
        <v>772</v>
      </c>
      <c r="G87" s="81" t="s">
        <v>29</v>
      </c>
      <c r="H87" s="3">
        <f t="shared" si="3"/>
        <v>126066.5625</v>
      </c>
      <c r="I87" s="3">
        <v>20170.650000000001</v>
      </c>
      <c r="J87" s="46"/>
      <c r="K87" s="46"/>
    </row>
    <row r="88" spans="1:11">
      <c r="A88" t="s">
        <v>131</v>
      </c>
      <c r="B88" s="1">
        <v>41619</v>
      </c>
      <c r="C88" t="s">
        <v>6823</v>
      </c>
      <c r="D88">
        <v>1</v>
      </c>
      <c r="E88" t="s">
        <v>29</v>
      </c>
      <c r="F88" s="84" t="s">
        <v>772</v>
      </c>
      <c r="G88" s="81" t="s">
        <v>29</v>
      </c>
      <c r="H88" s="3">
        <f t="shared" si="3"/>
        <v>15925</v>
      </c>
      <c r="I88" s="3">
        <v>2548</v>
      </c>
      <c r="J88" s="46"/>
      <c r="K88" s="46"/>
    </row>
    <row r="89" spans="1:11">
      <c r="A89" t="s">
        <v>2738</v>
      </c>
      <c r="B89" s="1">
        <v>41621</v>
      </c>
      <c r="C89" t="s">
        <v>6832</v>
      </c>
      <c r="D89">
        <v>1</v>
      </c>
      <c r="E89" t="s">
        <v>29</v>
      </c>
      <c r="F89" s="84" t="s">
        <v>772</v>
      </c>
      <c r="G89" s="81" t="s">
        <v>29</v>
      </c>
      <c r="H89" s="3">
        <f t="shared" si="3"/>
        <v>4101.4375</v>
      </c>
      <c r="I89" s="3">
        <v>656.23</v>
      </c>
      <c r="J89" s="46"/>
      <c r="K89" s="46"/>
    </row>
    <row r="90" spans="1:11">
      <c r="A90" t="s">
        <v>1108</v>
      </c>
      <c r="B90" s="1">
        <v>41621</v>
      </c>
      <c r="C90" t="s">
        <v>6834</v>
      </c>
      <c r="D90">
        <v>1</v>
      </c>
      <c r="E90" t="s">
        <v>29</v>
      </c>
      <c r="F90" s="84" t="s">
        <v>772</v>
      </c>
      <c r="G90" s="81" t="s">
        <v>29</v>
      </c>
      <c r="H90" s="3">
        <f t="shared" si="3"/>
        <v>115000</v>
      </c>
      <c r="I90" s="3">
        <v>18400</v>
      </c>
      <c r="J90" s="46"/>
      <c r="K90" s="46"/>
    </row>
    <row r="91" spans="1:11">
      <c r="A91" t="s">
        <v>159</v>
      </c>
      <c r="B91" s="1">
        <v>41622</v>
      </c>
      <c r="C91" t="s">
        <v>6835</v>
      </c>
      <c r="D91">
        <v>1</v>
      </c>
      <c r="E91" t="s">
        <v>29</v>
      </c>
      <c r="F91" s="84" t="s">
        <v>772</v>
      </c>
      <c r="G91" s="81" t="s">
        <v>29</v>
      </c>
      <c r="H91" s="3">
        <f t="shared" si="3"/>
        <v>1185.375</v>
      </c>
      <c r="I91" s="3">
        <v>189.66</v>
      </c>
      <c r="J91" s="46"/>
      <c r="K91" s="46"/>
    </row>
    <row r="92" spans="1:11">
      <c r="A92" t="s">
        <v>1122</v>
      </c>
      <c r="B92" s="1">
        <v>41624</v>
      </c>
      <c r="C92" t="s">
        <v>6839</v>
      </c>
      <c r="D92">
        <v>1</v>
      </c>
      <c r="E92" t="s">
        <v>29</v>
      </c>
      <c r="F92" s="84" t="s">
        <v>772</v>
      </c>
      <c r="G92" s="81" t="s">
        <v>29</v>
      </c>
      <c r="H92" s="3">
        <f t="shared" si="3"/>
        <v>103424.25</v>
      </c>
      <c r="I92" s="3">
        <v>16547.88</v>
      </c>
      <c r="J92" s="46"/>
      <c r="K92" s="46"/>
    </row>
    <row r="93" spans="1:11">
      <c r="A93" t="s">
        <v>1124</v>
      </c>
      <c r="B93" s="1">
        <v>41624</v>
      </c>
      <c r="C93" t="s">
        <v>6840</v>
      </c>
      <c r="D93">
        <v>1</v>
      </c>
      <c r="E93" t="s">
        <v>29</v>
      </c>
      <c r="F93" s="84" t="s">
        <v>772</v>
      </c>
      <c r="G93" s="81" t="s">
        <v>29</v>
      </c>
      <c r="H93" s="3">
        <f t="shared" si="3"/>
        <v>2515.25</v>
      </c>
      <c r="I93" s="3">
        <v>402.44</v>
      </c>
      <c r="J93" s="46"/>
      <c r="K93" s="46"/>
    </row>
    <row r="94" spans="1:11">
      <c r="A94" t="s">
        <v>1126</v>
      </c>
      <c r="B94" s="1">
        <v>41624</v>
      </c>
      <c r="C94" t="s">
        <v>6841</v>
      </c>
      <c r="D94">
        <v>1</v>
      </c>
      <c r="E94" t="s">
        <v>29</v>
      </c>
      <c r="F94" s="84" t="s">
        <v>772</v>
      </c>
      <c r="G94" s="81" t="s">
        <v>29</v>
      </c>
      <c r="H94" s="3">
        <f t="shared" si="3"/>
        <v>410696</v>
      </c>
      <c r="I94" s="3">
        <v>65711.360000000001</v>
      </c>
      <c r="J94" s="46"/>
      <c r="K94" s="46"/>
    </row>
    <row r="95" spans="1:11">
      <c r="A95" t="s">
        <v>175</v>
      </c>
      <c r="B95" s="1">
        <v>41625</v>
      </c>
      <c r="C95" t="s">
        <v>6845</v>
      </c>
      <c r="D95">
        <v>1</v>
      </c>
      <c r="E95" t="s">
        <v>29</v>
      </c>
      <c r="F95" s="84" t="s">
        <v>772</v>
      </c>
      <c r="G95" s="81" t="s">
        <v>29</v>
      </c>
      <c r="H95" s="3">
        <f t="shared" si="3"/>
        <v>263.5</v>
      </c>
      <c r="I95" s="3">
        <v>42.16</v>
      </c>
      <c r="J95" s="46"/>
      <c r="K95" s="46"/>
    </row>
    <row r="96" spans="1:11">
      <c r="A96" t="s">
        <v>1136</v>
      </c>
      <c r="B96" s="1">
        <v>41625</v>
      </c>
      <c r="C96" t="s">
        <v>6849</v>
      </c>
      <c r="D96">
        <v>1</v>
      </c>
      <c r="E96" t="s">
        <v>29</v>
      </c>
      <c r="F96" s="84" t="s">
        <v>772</v>
      </c>
      <c r="G96" s="81" t="s">
        <v>29</v>
      </c>
      <c r="H96" s="3">
        <f t="shared" si="3"/>
        <v>612.4375</v>
      </c>
      <c r="I96" s="3">
        <v>97.99</v>
      </c>
      <c r="J96" s="46"/>
      <c r="K96" s="46"/>
    </row>
    <row r="97" spans="1:11">
      <c r="A97" t="s">
        <v>1138</v>
      </c>
      <c r="B97" s="1">
        <v>41625</v>
      </c>
      <c r="C97" t="s">
        <v>6850</v>
      </c>
      <c r="D97">
        <v>1</v>
      </c>
      <c r="E97" t="s">
        <v>29</v>
      </c>
      <c r="F97" s="84" t="s">
        <v>772</v>
      </c>
      <c r="G97" s="81" t="s">
        <v>29</v>
      </c>
      <c r="H97" s="3">
        <f t="shared" si="3"/>
        <v>30702.499999999996</v>
      </c>
      <c r="I97" s="3">
        <v>4912.3999999999996</v>
      </c>
      <c r="J97" s="46"/>
      <c r="K97" s="46"/>
    </row>
    <row r="98" spans="1:11">
      <c r="A98" t="s">
        <v>1153</v>
      </c>
      <c r="B98" s="1">
        <v>41626</v>
      </c>
      <c r="C98" t="s">
        <v>6852</v>
      </c>
      <c r="D98">
        <v>1</v>
      </c>
      <c r="E98" t="s">
        <v>29</v>
      </c>
      <c r="F98" s="84" t="s">
        <v>772</v>
      </c>
      <c r="G98" s="81" t="s">
        <v>29</v>
      </c>
      <c r="H98" s="3">
        <f t="shared" si="3"/>
        <v>21928.375</v>
      </c>
      <c r="I98" s="3">
        <v>3508.54</v>
      </c>
      <c r="J98" s="46"/>
      <c r="K98" s="46"/>
    </row>
    <row r="99" spans="1:11">
      <c r="A99" t="s">
        <v>221</v>
      </c>
      <c r="B99" s="1">
        <v>41627</v>
      </c>
      <c r="C99" t="s">
        <v>6860</v>
      </c>
      <c r="D99">
        <v>1</v>
      </c>
      <c r="E99" t="s">
        <v>29</v>
      </c>
      <c r="F99" s="84" t="s">
        <v>772</v>
      </c>
      <c r="G99" s="81" t="s">
        <v>29</v>
      </c>
      <c r="H99" s="3">
        <f t="shared" si="3"/>
        <v>238313.1875</v>
      </c>
      <c r="I99" s="3">
        <v>38130.11</v>
      </c>
      <c r="J99" s="46"/>
      <c r="K99" s="46"/>
    </row>
    <row r="100" spans="1:11">
      <c r="A100" t="s">
        <v>227</v>
      </c>
      <c r="B100" s="1">
        <v>41627</v>
      </c>
      <c r="C100" t="s">
        <v>6861</v>
      </c>
      <c r="D100">
        <v>1</v>
      </c>
      <c r="E100" t="s">
        <v>29</v>
      </c>
      <c r="F100" s="84" t="s">
        <v>772</v>
      </c>
      <c r="G100" s="81" t="s">
        <v>29</v>
      </c>
      <c r="H100" s="3">
        <f t="shared" si="3"/>
        <v>146692.75</v>
      </c>
      <c r="I100" s="3">
        <v>23470.84</v>
      </c>
      <c r="J100" s="46"/>
      <c r="K100" s="46"/>
    </row>
    <row r="101" spans="1:11">
      <c r="A101" t="s">
        <v>255</v>
      </c>
      <c r="B101" s="1">
        <v>41628</v>
      </c>
      <c r="C101" t="s">
        <v>6862</v>
      </c>
      <c r="D101">
        <v>1</v>
      </c>
      <c r="E101" t="s">
        <v>29</v>
      </c>
      <c r="F101" s="84" t="s">
        <v>772</v>
      </c>
      <c r="G101" s="81" t="s">
        <v>29</v>
      </c>
      <c r="H101" s="3">
        <f t="shared" si="3"/>
        <v>107748.4375</v>
      </c>
      <c r="I101" s="3">
        <v>17239.75</v>
      </c>
      <c r="J101" s="46"/>
      <c r="K101" s="46"/>
    </row>
    <row r="102" spans="1:11">
      <c r="A102" t="s">
        <v>297</v>
      </c>
      <c r="B102" s="1">
        <v>41634</v>
      </c>
      <c r="C102" t="s">
        <v>6892</v>
      </c>
      <c r="D102">
        <v>1</v>
      </c>
      <c r="E102" t="s">
        <v>29</v>
      </c>
      <c r="F102" s="84" t="s">
        <v>772</v>
      </c>
      <c r="G102" s="81" t="s">
        <v>29</v>
      </c>
      <c r="H102" s="3">
        <f t="shared" si="3"/>
        <v>2220.5</v>
      </c>
      <c r="I102" s="3">
        <v>355.28</v>
      </c>
      <c r="J102" s="46"/>
      <c r="K102" s="46"/>
    </row>
    <row r="103" spans="1:11">
      <c r="A103" t="s">
        <v>2804</v>
      </c>
      <c r="B103" s="1">
        <v>41635</v>
      </c>
      <c r="C103" t="s">
        <v>6899</v>
      </c>
      <c r="D103">
        <v>1</v>
      </c>
      <c r="E103" t="s">
        <v>29</v>
      </c>
      <c r="F103" s="84" t="s">
        <v>772</v>
      </c>
      <c r="G103" s="81" t="s">
        <v>29</v>
      </c>
      <c r="H103" s="3">
        <f t="shared" si="3"/>
        <v>159564.8125</v>
      </c>
      <c r="I103" s="3">
        <v>25530.37</v>
      </c>
      <c r="J103" s="46"/>
      <c r="K103" s="46"/>
    </row>
    <row r="104" spans="1:11">
      <c r="A104" t="s">
        <v>1329</v>
      </c>
      <c r="B104" s="1">
        <v>41635</v>
      </c>
      <c r="C104" t="s">
        <v>6900</v>
      </c>
      <c r="D104">
        <v>1</v>
      </c>
      <c r="E104" t="s">
        <v>29</v>
      </c>
      <c r="F104" s="84" t="s">
        <v>772</v>
      </c>
      <c r="G104" s="81" t="s">
        <v>29</v>
      </c>
      <c r="H104" s="3">
        <f t="shared" si="3"/>
        <v>1501.625</v>
      </c>
      <c r="I104" s="3">
        <v>240.26</v>
      </c>
      <c r="J104" s="46"/>
      <c r="K104" s="46"/>
    </row>
    <row r="105" spans="1:11">
      <c r="A105" t="s">
        <v>4290</v>
      </c>
      <c r="B105" s="1">
        <v>41635</v>
      </c>
      <c r="C105" t="s">
        <v>6901</v>
      </c>
      <c r="D105">
        <v>1</v>
      </c>
      <c r="E105" t="s">
        <v>29</v>
      </c>
      <c r="F105" s="84" t="s">
        <v>772</v>
      </c>
      <c r="G105" s="81" t="s">
        <v>29</v>
      </c>
      <c r="H105" s="3">
        <f t="shared" si="3"/>
        <v>78033.5625</v>
      </c>
      <c r="I105" s="3">
        <v>12485.37</v>
      </c>
      <c r="J105" s="46"/>
      <c r="K105" s="46"/>
    </row>
    <row r="106" spans="1:11">
      <c r="A106" t="s">
        <v>2835</v>
      </c>
      <c r="B106" s="1">
        <v>41639</v>
      </c>
      <c r="C106" t="s">
        <v>6920</v>
      </c>
      <c r="D106">
        <v>1</v>
      </c>
      <c r="E106" t="s">
        <v>29</v>
      </c>
      <c r="F106" s="84" t="s">
        <v>772</v>
      </c>
      <c r="G106" s="81" t="s">
        <v>29</v>
      </c>
      <c r="H106" s="3">
        <f t="shared" si="3"/>
        <v>1448.5625</v>
      </c>
      <c r="I106" s="3">
        <v>231.77</v>
      </c>
      <c r="J106" s="46"/>
      <c r="K106" s="46"/>
    </row>
    <row r="107" spans="1:11">
      <c r="A107" t="s">
        <v>3336</v>
      </c>
      <c r="B107" s="1">
        <v>41639</v>
      </c>
      <c r="C107" t="s">
        <v>6933</v>
      </c>
      <c r="D107">
        <v>1</v>
      </c>
      <c r="E107" t="s">
        <v>29</v>
      </c>
      <c r="F107" s="84" t="s">
        <v>772</v>
      </c>
      <c r="G107" s="81" t="s">
        <v>29</v>
      </c>
      <c r="H107" s="3">
        <f t="shared" si="3"/>
        <v>31642.6875</v>
      </c>
      <c r="I107" s="3">
        <v>5062.83</v>
      </c>
      <c r="J107" s="46"/>
      <c r="K107" s="46"/>
    </row>
    <row r="108" spans="1:11">
      <c r="A108" t="s">
        <v>6679</v>
      </c>
      <c r="B108" s="1">
        <v>41639</v>
      </c>
      <c r="C108">
        <v>9515</v>
      </c>
      <c r="D108">
        <v>1</v>
      </c>
      <c r="E108" t="s">
        <v>6680</v>
      </c>
      <c r="F108" s="81" t="s">
        <v>773</v>
      </c>
      <c r="G108" s="81" t="s">
        <v>6680</v>
      </c>
      <c r="H108" s="3">
        <f t="shared" si="3"/>
        <v>53.4375</v>
      </c>
      <c r="I108" s="3">
        <v>8.5500000000000007</v>
      </c>
    </row>
    <row r="109" spans="1:11">
      <c r="A109" t="s">
        <v>6625</v>
      </c>
      <c r="B109" s="1">
        <v>41639</v>
      </c>
      <c r="C109" t="s">
        <v>6626</v>
      </c>
      <c r="D109">
        <v>1</v>
      </c>
      <c r="E109" t="s">
        <v>514</v>
      </c>
      <c r="F109" s="81" t="s">
        <v>773</v>
      </c>
      <c r="G109" s="81" t="s">
        <v>514</v>
      </c>
      <c r="H109" s="3">
        <f t="shared" si="3"/>
        <v>835.375</v>
      </c>
      <c r="I109" s="3">
        <v>133.66</v>
      </c>
    </row>
    <row r="110" spans="1:11">
      <c r="A110" t="s">
        <v>6681</v>
      </c>
      <c r="B110" s="1">
        <v>41639</v>
      </c>
      <c r="C110">
        <v>9516</v>
      </c>
      <c r="D110">
        <v>1</v>
      </c>
      <c r="E110" t="s">
        <v>514</v>
      </c>
      <c r="F110" s="81" t="s">
        <v>773</v>
      </c>
      <c r="G110" s="81" t="s">
        <v>514</v>
      </c>
      <c r="H110" s="3">
        <f t="shared" si="3"/>
        <v>388.9375</v>
      </c>
      <c r="I110" s="3">
        <v>62.23</v>
      </c>
    </row>
    <row r="111" spans="1:11">
      <c r="A111" t="s">
        <v>1131</v>
      </c>
      <c r="B111" s="1">
        <v>41625</v>
      </c>
      <c r="C111" t="s">
        <v>6843</v>
      </c>
      <c r="D111">
        <v>1</v>
      </c>
      <c r="E111" t="s">
        <v>6844</v>
      </c>
      <c r="F111" s="81" t="s">
        <v>6969</v>
      </c>
      <c r="G111" s="81" t="s">
        <v>6844</v>
      </c>
      <c r="H111" s="3">
        <f t="shared" si="3"/>
        <v>70905.1875</v>
      </c>
      <c r="I111" s="3">
        <v>11344.83</v>
      </c>
    </row>
    <row r="112" spans="1:11">
      <c r="A112" t="s">
        <v>536</v>
      </c>
      <c r="B112" s="1">
        <v>41638</v>
      </c>
      <c r="C112" t="s">
        <v>6482</v>
      </c>
      <c r="D112">
        <v>1</v>
      </c>
      <c r="E112" t="s">
        <v>6483</v>
      </c>
      <c r="F112" s="81" t="s">
        <v>6970</v>
      </c>
      <c r="G112" s="81" t="s">
        <v>6483</v>
      </c>
      <c r="H112" s="3">
        <f t="shared" si="3"/>
        <v>224993.125</v>
      </c>
      <c r="I112" s="3">
        <v>35998.9</v>
      </c>
    </row>
    <row r="113" spans="1:9">
      <c r="A113" t="s">
        <v>550</v>
      </c>
      <c r="B113" s="1">
        <v>41638</v>
      </c>
      <c r="C113" t="s">
        <v>6484</v>
      </c>
      <c r="D113">
        <v>1</v>
      </c>
      <c r="E113" t="s">
        <v>2504</v>
      </c>
      <c r="F113" s="81" t="s">
        <v>775</v>
      </c>
      <c r="G113" s="81" t="s">
        <v>2504</v>
      </c>
      <c r="H113" s="3">
        <f t="shared" si="3"/>
        <v>169608.1875</v>
      </c>
      <c r="I113" s="3">
        <v>27137.31</v>
      </c>
    </row>
    <row r="114" spans="1:9">
      <c r="A114" t="s">
        <v>4092</v>
      </c>
      <c r="B114" s="1">
        <v>41639</v>
      </c>
      <c r="C114" t="s">
        <v>6505</v>
      </c>
      <c r="D114">
        <v>1</v>
      </c>
      <c r="E114" t="s">
        <v>3863</v>
      </c>
      <c r="F114" s="81" t="s">
        <v>775</v>
      </c>
      <c r="G114" s="81" t="s">
        <v>2504</v>
      </c>
      <c r="H114" s="3">
        <f t="shared" si="3"/>
        <v>259916.0625</v>
      </c>
      <c r="I114" s="3">
        <v>41586.57</v>
      </c>
    </row>
    <row r="115" spans="1:9">
      <c r="A115" t="s">
        <v>1014</v>
      </c>
      <c r="B115" s="1">
        <v>41614</v>
      </c>
      <c r="C115" t="s">
        <v>6805</v>
      </c>
      <c r="D115">
        <v>1</v>
      </c>
      <c r="E115" t="s">
        <v>296</v>
      </c>
      <c r="F115" s="81" t="s">
        <v>777</v>
      </c>
      <c r="G115" s="81" t="s">
        <v>296</v>
      </c>
      <c r="H115" s="3">
        <f t="shared" si="3"/>
        <v>6217</v>
      </c>
      <c r="I115" s="3">
        <v>994.72</v>
      </c>
    </row>
    <row r="116" spans="1:9">
      <c r="A116" t="s">
        <v>1155</v>
      </c>
      <c r="B116" s="1">
        <v>41626</v>
      </c>
      <c r="C116" t="s">
        <v>6853</v>
      </c>
      <c r="D116">
        <v>1</v>
      </c>
      <c r="E116" t="s">
        <v>296</v>
      </c>
      <c r="F116" s="84" t="s">
        <v>777</v>
      </c>
      <c r="G116" s="81" t="s">
        <v>296</v>
      </c>
      <c r="H116" s="3">
        <f t="shared" si="3"/>
        <v>4485</v>
      </c>
      <c r="I116" s="3">
        <v>717.6</v>
      </c>
    </row>
    <row r="117" spans="1:9">
      <c r="A117" t="s">
        <v>6405</v>
      </c>
      <c r="B117" s="1">
        <v>41626</v>
      </c>
      <c r="C117" t="s">
        <v>6406</v>
      </c>
      <c r="D117">
        <v>1</v>
      </c>
      <c r="E117" t="s">
        <v>6407</v>
      </c>
      <c r="F117" s="87" t="s">
        <v>5163</v>
      </c>
      <c r="G117" s="81" t="s">
        <v>4847</v>
      </c>
      <c r="H117" s="3">
        <f t="shared" si="3"/>
        <v>259056.9375</v>
      </c>
      <c r="I117" s="3">
        <v>41449.11</v>
      </c>
    </row>
    <row r="118" spans="1:9">
      <c r="A118" t="s">
        <v>6440</v>
      </c>
      <c r="B118" s="1">
        <v>41634</v>
      </c>
      <c r="C118" t="s">
        <v>6441</v>
      </c>
      <c r="D118">
        <v>1</v>
      </c>
      <c r="E118" t="s">
        <v>6442</v>
      </c>
      <c r="F118" s="84" t="s">
        <v>6971</v>
      </c>
      <c r="G118" s="81" t="s">
        <v>6442</v>
      </c>
      <c r="H118" s="3">
        <f t="shared" si="3"/>
        <v>309447.5</v>
      </c>
      <c r="I118" s="3">
        <v>49511.6</v>
      </c>
    </row>
    <row r="119" spans="1:9">
      <c r="A119" t="s">
        <v>30</v>
      </c>
      <c r="B119" s="1">
        <v>41613</v>
      </c>
      <c r="C119" t="s">
        <v>6802</v>
      </c>
      <c r="D119">
        <v>1</v>
      </c>
      <c r="E119" t="s">
        <v>373</v>
      </c>
      <c r="F119" s="81" t="s">
        <v>780</v>
      </c>
      <c r="G119" s="81" t="s">
        <v>373</v>
      </c>
      <c r="H119" s="3">
        <f t="shared" si="3"/>
        <v>47800</v>
      </c>
      <c r="I119" s="3">
        <v>7648</v>
      </c>
    </row>
    <row r="120" spans="1:9">
      <c r="A120" t="s">
        <v>98</v>
      </c>
      <c r="B120" s="1">
        <v>41617</v>
      </c>
      <c r="C120" t="s">
        <v>6817</v>
      </c>
      <c r="D120">
        <v>1</v>
      </c>
      <c r="E120" t="s">
        <v>373</v>
      </c>
      <c r="F120" s="81" t="s">
        <v>780</v>
      </c>
      <c r="G120" s="81" t="s">
        <v>373</v>
      </c>
      <c r="H120" s="3">
        <f t="shared" si="3"/>
        <v>4930</v>
      </c>
      <c r="I120" s="3">
        <v>788.8</v>
      </c>
    </row>
    <row r="121" spans="1:9">
      <c r="A121" t="s">
        <v>1237</v>
      </c>
      <c r="B121" s="1">
        <v>41631</v>
      </c>
      <c r="C121" t="s">
        <v>6879</v>
      </c>
      <c r="D121">
        <v>1</v>
      </c>
      <c r="E121" t="s">
        <v>373</v>
      </c>
      <c r="F121" s="81" t="s">
        <v>780</v>
      </c>
      <c r="G121" s="81" t="s">
        <v>373</v>
      </c>
      <c r="H121" s="3">
        <f t="shared" si="3"/>
        <v>4500</v>
      </c>
      <c r="I121" s="3">
        <v>720</v>
      </c>
    </row>
    <row r="122" spans="1:9">
      <c r="A122" t="s">
        <v>1561</v>
      </c>
      <c r="B122" s="1">
        <v>41638</v>
      </c>
      <c r="C122" t="s">
        <v>6906</v>
      </c>
      <c r="D122">
        <v>1</v>
      </c>
      <c r="E122" t="s">
        <v>373</v>
      </c>
      <c r="F122" s="81" t="s">
        <v>780</v>
      </c>
      <c r="G122" s="81" t="s">
        <v>373</v>
      </c>
      <c r="H122" s="3">
        <f t="shared" si="3"/>
        <v>34745</v>
      </c>
      <c r="I122" s="3">
        <v>5559.2</v>
      </c>
    </row>
    <row r="123" spans="1:9">
      <c r="A123" t="s">
        <v>719</v>
      </c>
      <c r="B123" s="1">
        <v>41639</v>
      </c>
      <c r="C123" t="s">
        <v>6930</v>
      </c>
      <c r="D123">
        <v>1</v>
      </c>
      <c r="E123" t="s">
        <v>373</v>
      </c>
      <c r="F123" s="81" t="s">
        <v>780</v>
      </c>
      <c r="G123" s="81" t="s">
        <v>373</v>
      </c>
      <c r="H123" s="3">
        <f t="shared" si="3"/>
        <v>4500</v>
      </c>
      <c r="I123" s="3">
        <v>720</v>
      </c>
    </row>
    <row r="124" spans="1:9">
      <c r="A124" t="s">
        <v>2192</v>
      </c>
      <c r="B124" s="1">
        <v>41631</v>
      </c>
      <c r="C124" t="s">
        <v>6870</v>
      </c>
      <c r="D124">
        <v>1</v>
      </c>
      <c r="E124" t="s">
        <v>80</v>
      </c>
      <c r="F124" s="81" t="s">
        <v>781</v>
      </c>
      <c r="G124" s="81" t="s">
        <v>80</v>
      </c>
      <c r="H124" s="3">
        <f t="shared" si="3"/>
        <v>2200.5</v>
      </c>
      <c r="I124" s="3">
        <v>352.08</v>
      </c>
    </row>
    <row r="125" spans="1:9">
      <c r="A125" t="s">
        <v>354</v>
      </c>
      <c r="B125" s="1">
        <v>41639</v>
      </c>
      <c r="C125" t="s">
        <v>6924</v>
      </c>
      <c r="D125">
        <v>1</v>
      </c>
      <c r="E125" t="s">
        <v>80</v>
      </c>
      <c r="F125" s="81" t="s">
        <v>781</v>
      </c>
      <c r="G125" s="81" t="s">
        <v>80</v>
      </c>
      <c r="H125" s="3">
        <f t="shared" si="3"/>
        <v>459.99999999999994</v>
      </c>
      <c r="I125" s="3">
        <v>73.599999999999994</v>
      </c>
    </row>
    <row r="126" spans="1:9">
      <c r="A126" t="s">
        <v>4659</v>
      </c>
      <c r="B126" s="1">
        <v>41631</v>
      </c>
      <c r="C126" t="s">
        <v>6864</v>
      </c>
      <c r="D126">
        <v>1</v>
      </c>
      <c r="E126" t="s">
        <v>5614</v>
      </c>
      <c r="F126" s="81" t="s">
        <v>6972</v>
      </c>
      <c r="G126" s="81" t="s">
        <v>5614</v>
      </c>
      <c r="H126" s="3">
        <f t="shared" si="3"/>
        <v>34890</v>
      </c>
      <c r="I126" s="3">
        <v>5582.4</v>
      </c>
    </row>
    <row r="127" spans="1:9">
      <c r="A127" t="s">
        <v>6671</v>
      </c>
      <c r="B127" s="1">
        <v>41639</v>
      </c>
      <c r="C127">
        <v>9505</v>
      </c>
      <c r="D127">
        <v>1</v>
      </c>
      <c r="E127" t="s">
        <v>618</v>
      </c>
      <c r="F127" s="81" t="s">
        <v>784</v>
      </c>
      <c r="G127" s="81" t="s">
        <v>618</v>
      </c>
      <c r="H127" s="3">
        <f t="shared" si="3"/>
        <v>172.4375</v>
      </c>
      <c r="I127" s="3">
        <v>27.59</v>
      </c>
    </row>
    <row r="128" spans="1:9">
      <c r="A128" t="s">
        <v>6451</v>
      </c>
      <c r="B128" s="1">
        <v>41635</v>
      </c>
      <c r="C128">
        <v>9444</v>
      </c>
      <c r="D128">
        <v>1</v>
      </c>
      <c r="E128" t="s">
        <v>1446</v>
      </c>
      <c r="F128" s="81" t="s">
        <v>1593</v>
      </c>
      <c r="G128" s="81" t="s">
        <v>1446</v>
      </c>
      <c r="H128" s="3">
        <f t="shared" si="3"/>
        <v>157.25</v>
      </c>
      <c r="I128" s="3">
        <v>25.16</v>
      </c>
    </row>
    <row r="129" spans="1:9">
      <c r="A129" t="s">
        <v>2779</v>
      </c>
      <c r="B129" s="1">
        <v>41631</v>
      </c>
      <c r="C129" t="s">
        <v>6874</v>
      </c>
      <c r="D129">
        <v>1</v>
      </c>
      <c r="E129" t="s">
        <v>6875</v>
      </c>
      <c r="F129" s="81" t="s">
        <v>791</v>
      </c>
      <c r="G129" s="81" t="s">
        <v>6875</v>
      </c>
      <c r="H129" s="3">
        <f t="shared" si="3"/>
        <v>1657.2500000000002</v>
      </c>
      <c r="I129" s="3">
        <v>265.16000000000003</v>
      </c>
    </row>
    <row r="130" spans="1:9">
      <c r="A130" t="s">
        <v>6949</v>
      </c>
      <c r="B130" s="1">
        <v>41615</v>
      </c>
      <c r="C130" t="s">
        <v>6950</v>
      </c>
      <c r="D130">
        <v>1</v>
      </c>
      <c r="E130" t="s">
        <v>6951</v>
      </c>
      <c r="F130" s="23" t="s">
        <v>829</v>
      </c>
      <c r="G130" s="24" t="s">
        <v>6</v>
      </c>
      <c r="H130" s="3">
        <f t="shared" si="3"/>
        <v>312.0625</v>
      </c>
      <c r="I130" s="3">
        <v>49.93</v>
      </c>
    </row>
    <row r="131" spans="1:9">
      <c r="A131" t="s">
        <v>6949</v>
      </c>
      <c r="B131" s="1">
        <v>41615</v>
      </c>
      <c r="C131" t="s">
        <v>6950</v>
      </c>
      <c r="D131">
        <v>1</v>
      </c>
      <c r="E131" t="s">
        <v>6951</v>
      </c>
      <c r="F131" s="23" t="s">
        <v>829</v>
      </c>
      <c r="G131" s="24" t="s">
        <v>6</v>
      </c>
      <c r="H131" s="3">
        <f t="shared" si="3"/>
        <v>675.4375</v>
      </c>
      <c r="I131" s="3">
        <v>108.07</v>
      </c>
    </row>
    <row r="132" spans="1:9">
      <c r="A132" t="s">
        <v>6949</v>
      </c>
      <c r="B132" s="1">
        <v>41615</v>
      </c>
      <c r="C132" t="s">
        <v>6950</v>
      </c>
      <c r="D132">
        <v>1</v>
      </c>
      <c r="E132" t="s">
        <v>6951</v>
      </c>
      <c r="F132" s="23" t="s">
        <v>829</v>
      </c>
      <c r="G132" s="24" t="s">
        <v>6</v>
      </c>
      <c r="H132" s="3">
        <f t="shared" si="3"/>
        <v>1069.4375</v>
      </c>
      <c r="I132" s="3">
        <v>171.11</v>
      </c>
    </row>
    <row r="133" spans="1:9">
      <c r="A133" t="s">
        <v>6958</v>
      </c>
      <c r="B133" s="1">
        <v>41639</v>
      </c>
      <c r="C133" t="s">
        <v>6959</v>
      </c>
      <c r="D133">
        <v>1</v>
      </c>
      <c r="E133" t="s">
        <v>6960</v>
      </c>
      <c r="F133" s="23" t="s">
        <v>829</v>
      </c>
      <c r="G133" s="24" t="s">
        <v>6</v>
      </c>
      <c r="H133" s="3">
        <f t="shared" si="3"/>
        <v>511.37499999999994</v>
      </c>
      <c r="I133" s="3">
        <v>81.819999999999993</v>
      </c>
    </row>
    <row r="134" spans="1:9">
      <c r="A134" t="s">
        <v>6955</v>
      </c>
      <c r="B134" s="1">
        <v>41639</v>
      </c>
      <c r="C134" t="s">
        <v>6956</v>
      </c>
      <c r="D134">
        <v>1</v>
      </c>
      <c r="E134" t="s">
        <v>6957</v>
      </c>
      <c r="F134" s="23" t="s">
        <v>829</v>
      </c>
      <c r="G134" s="24" t="s">
        <v>6</v>
      </c>
      <c r="H134" s="3">
        <f t="shared" si="3"/>
        <v>769.625</v>
      </c>
      <c r="I134" s="3">
        <v>123.14</v>
      </c>
    </row>
    <row r="135" spans="1:9">
      <c r="A135" t="s">
        <v>6416</v>
      </c>
      <c r="B135" s="1">
        <v>41627</v>
      </c>
      <c r="C135" t="s">
        <v>6417</v>
      </c>
      <c r="D135">
        <v>1</v>
      </c>
      <c r="E135" t="s">
        <v>6418</v>
      </c>
      <c r="F135" s="88" t="s">
        <v>1598</v>
      </c>
      <c r="G135" s="81" t="s">
        <v>1599</v>
      </c>
      <c r="H135" s="3">
        <f t="shared" si="3"/>
        <v>181607.375</v>
      </c>
      <c r="I135" s="3">
        <v>29057.18</v>
      </c>
    </row>
    <row r="136" spans="1:9">
      <c r="A136" t="s">
        <v>194</v>
      </c>
      <c r="B136" s="1">
        <v>41624</v>
      </c>
      <c r="C136" t="s">
        <v>6390</v>
      </c>
      <c r="D136">
        <v>1</v>
      </c>
      <c r="E136" t="s">
        <v>3890</v>
      </c>
      <c r="F136" s="88" t="s">
        <v>1598</v>
      </c>
      <c r="G136" s="81" t="s">
        <v>1599</v>
      </c>
      <c r="H136" s="3">
        <f t="shared" si="3"/>
        <v>259056.9375</v>
      </c>
      <c r="I136" s="3">
        <v>41449.11</v>
      </c>
    </row>
    <row r="137" spans="1:9">
      <c r="A137" t="s">
        <v>2194</v>
      </c>
      <c r="B137" s="1">
        <v>41631</v>
      </c>
      <c r="C137" t="s">
        <v>6871</v>
      </c>
      <c r="D137">
        <v>1</v>
      </c>
      <c r="E137" t="s">
        <v>22</v>
      </c>
      <c r="F137" s="81" t="s">
        <v>793</v>
      </c>
      <c r="G137" s="81" t="s">
        <v>22</v>
      </c>
      <c r="H137" s="3">
        <f t="shared" si="3"/>
        <v>24481</v>
      </c>
      <c r="I137" s="3">
        <v>3916.96</v>
      </c>
    </row>
    <row r="138" spans="1:9">
      <c r="A138" t="s">
        <v>5668</v>
      </c>
      <c r="B138" s="1">
        <v>41639</v>
      </c>
      <c r="C138" t="s">
        <v>6932</v>
      </c>
      <c r="D138">
        <v>1</v>
      </c>
      <c r="E138" t="s">
        <v>22</v>
      </c>
      <c r="F138" s="81" t="s">
        <v>793</v>
      </c>
      <c r="G138" s="81" t="s">
        <v>22</v>
      </c>
      <c r="H138" s="3">
        <f t="shared" si="3"/>
        <v>16116.6875</v>
      </c>
      <c r="I138" s="3">
        <v>2578.67</v>
      </c>
    </row>
    <row r="139" spans="1:9">
      <c r="A139" t="s">
        <v>3991</v>
      </c>
      <c r="B139" s="1">
        <v>41635</v>
      </c>
      <c r="C139">
        <v>9456</v>
      </c>
      <c r="D139">
        <v>1</v>
      </c>
      <c r="E139" t="s">
        <v>6457</v>
      </c>
      <c r="F139" s="81" t="s">
        <v>5166</v>
      </c>
      <c r="G139" s="81" t="s">
        <v>6457</v>
      </c>
      <c r="H139" s="3">
        <f t="shared" si="3"/>
        <v>632.375</v>
      </c>
      <c r="I139" s="3">
        <v>101.18</v>
      </c>
    </row>
    <row r="140" spans="1:9">
      <c r="A140" t="s">
        <v>6682</v>
      </c>
      <c r="B140" s="1">
        <v>41639</v>
      </c>
      <c r="C140">
        <v>9517</v>
      </c>
      <c r="D140">
        <v>1</v>
      </c>
      <c r="E140" t="s">
        <v>4897</v>
      </c>
      <c r="F140" s="81" t="s">
        <v>5166</v>
      </c>
      <c r="G140" s="81" t="s">
        <v>4897</v>
      </c>
      <c r="H140" s="3">
        <f t="shared" si="3"/>
        <v>102.75</v>
      </c>
      <c r="I140" s="3">
        <v>16.440000000000001</v>
      </c>
    </row>
    <row r="141" spans="1:9">
      <c r="A141" t="s">
        <v>6684</v>
      </c>
      <c r="B141" s="1">
        <v>41639</v>
      </c>
      <c r="C141">
        <v>9519</v>
      </c>
      <c r="D141">
        <v>1</v>
      </c>
      <c r="E141" t="s">
        <v>4897</v>
      </c>
      <c r="F141" s="81" t="s">
        <v>5166</v>
      </c>
      <c r="G141" s="81" t="s">
        <v>4897</v>
      </c>
      <c r="H141" s="3">
        <f t="shared" si="3"/>
        <v>438.31249999999994</v>
      </c>
      <c r="I141" s="3">
        <v>70.13</v>
      </c>
    </row>
    <row r="142" spans="1:9">
      <c r="A142" t="s">
        <v>6665</v>
      </c>
      <c r="B142" s="1">
        <v>41639</v>
      </c>
      <c r="C142">
        <v>9497</v>
      </c>
      <c r="D142">
        <v>1</v>
      </c>
      <c r="E142" t="s">
        <v>612</v>
      </c>
      <c r="F142" s="81" t="s">
        <v>794</v>
      </c>
      <c r="G142" s="81" t="s">
        <v>612</v>
      </c>
      <c r="H142" s="3">
        <f t="shared" si="3"/>
        <v>340</v>
      </c>
      <c r="I142" s="3">
        <v>54.4</v>
      </c>
    </row>
    <row r="143" spans="1:9">
      <c r="A143" t="s">
        <v>6666</v>
      </c>
      <c r="B143" s="1">
        <v>41639</v>
      </c>
      <c r="C143">
        <v>9498</v>
      </c>
      <c r="D143">
        <v>1</v>
      </c>
      <c r="E143" t="s">
        <v>612</v>
      </c>
      <c r="F143" s="81" t="s">
        <v>794</v>
      </c>
      <c r="G143" s="81" t="s">
        <v>612</v>
      </c>
      <c r="H143" s="3">
        <f t="shared" ref="H143:H214" si="4">+I143/0.16</f>
        <v>144</v>
      </c>
      <c r="I143" s="3">
        <v>23.04</v>
      </c>
    </row>
    <row r="144" spans="1:9">
      <c r="A144" t="s">
        <v>6683</v>
      </c>
      <c r="B144" s="1">
        <v>41639</v>
      </c>
      <c r="C144">
        <v>9518</v>
      </c>
      <c r="D144">
        <v>1</v>
      </c>
      <c r="E144" t="s">
        <v>612</v>
      </c>
      <c r="F144" s="81" t="s">
        <v>794</v>
      </c>
      <c r="G144" s="81" t="s">
        <v>612</v>
      </c>
      <c r="H144" s="3">
        <f t="shared" si="4"/>
        <v>106.375</v>
      </c>
      <c r="I144" s="3">
        <v>17.02</v>
      </c>
    </row>
    <row r="145" spans="1:12">
      <c r="A145" t="s">
        <v>205</v>
      </c>
      <c r="B145" s="1">
        <v>41626</v>
      </c>
      <c r="C145" t="s">
        <v>6858</v>
      </c>
      <c r="D145">
        <v>1</v>
      </c>
      <c r="E145" t="s">
        <v>1011</v>
      </c>
      <c r="F145" s="32" t="s">
        <v>1600</v>
      </c>
      <c r="G145" t="s">
        <v>1011</v>
      </c>
      <c r="H145" s="3">
        <f t="shared" si="4"/>
        <v>10379.375</v>
      </c>
      <c r="I145" s="3">
        <v>1660.7</v>
      </c>
    </row>
    <row r="146" spans="1:12">
      <c r="A146" t="s">
        <v>961</v>
      </c>
      <c r="B146" s="1">
        <v>41610</v>
      </c>
      <c r="C146" t="s">
        <v>6797</v>
      </c>
      <c r="D146">
        <v>1</v>
      </c>
      <c r="E146" t="s">
        <v>965</v>
      </c>
      <c r="F146" s="41" t="s">
        <v>6973</v>
      </c>
      <c r="G146" s="33" t="s">
        <v>6974</v>
      </c>
      <c r="H146" s="46">
        <f t="shared" ref="H146:H147" si="5">I146/0.16</f>
        <v>2394</v>
      </c>
      <c r="I146" s="46">
        <v>383.04</v>
      </c>
      <c r="J146" s="3"/>
      <c r="K146" s="3"/>
    </row>
    <row r="147" spans="1:12">
      <c r="A147" t="s">
        <v>961</v>
      </c>
      <c r="B147" s="1">
        <v>41610</v>
      </c>
      <c r="C147" t="s">
        <v>6797</v>
      </c>
      <c r="D147">
        <v>1</v>
      </c>
      <c r="E147" t="s">
        <v>965</v>
      </c>
      <c r="F147" s="41" t="s">
        <v>5776</v>
      </c>
      <c r="G147" s="33" t="s">
        <v>6975</v>
      </c>
      <c r="H147" s="46">
        <f t="shared" si="5"/>
        <v>264.625</v>
      </c>
      <c r="I147" s="46">
        <f>42.35-0.01</f>
        <v>42.34</v>
      </c>
      <c r="J147" s="14">
        <f>2658.63-H146-H147</f>
        <v>5.0000000001091394E-3</v>
      </c>
      <c r="K147" s="14">
        <f>425.38-I146-I147</f>
        <v>0</v>
      </c>
      <c r="L147" t="s">
        <v>900</v>
      </c>
    </row>
    <row r="148" spans="1:12">
      <c r="A148" t="s">
        <v>2204</v>
      </c>
      <c r="B148" s="1">
        <v>41631</v>
      </c>
      <c r="C148" t="s">
        <v>6885</v>
      </c>
      <c r="D148">
        <v>1</v>
      </c>
      <c r="E148" t="s">
        <v>5569</v>
      </c>
      <c r="F148" t="s">
        <v>5736</v>
      </c>
      <c r="G148" t="s">
        <v>5569</v>
      </c>
      <c r="H148" s="3">
        <f t="shared" si="4"/>
        <v>10700</v>
      </c>
      <c r="I148" s="3">
        <v>1712</v>
      </c>
    </row>
    <row r="149" spans="1:12">
      <c r="A149" t="s">
        <v>6408</v>
      </c>
      <c r="B149" s="1">
        <v>41626</v>
      </c>
      <c r="C149" t="s">
        <v>6409</v>
      </c>
      <c r="D149">
        <v>1</v>
      </c>
      <c r="E149" t="s">
        <v>3041</v>
      </c>
      <c r="F149" s="33" t="s">
        <v>2285</v>
      </c>
      <c r="G149" s="33" t="s">
        <v>3820</v>
      </c>
      <c r="H149" s="3">
        <f t="shared" si="4"/>
        <v>217444.0625</v>
      </c>
      <c r="I149" s="3">
        <v>34791.050000000003</v>
      </c>
    </row>
    <row r="150" spans="1:12">
      <c r="A150" t="s">
        <v>95</v>
      </c>
      <c r="B150" s="1">
        <v>41617</v>
      </c>
      <c r="C150" t="s">
        <v>6815</v>
      </c>
      <c r="D150">
        <v>1</v>
      </c>
      <c r="E150" t="s">
        <v>77</v>
      </c>
      <c r="F150" s="81" t="s">
        <v>798</v>
      </c>
      <c r="G150" s="81" t="s">
        <v>77</v>
      </c>
      <c r="H150" s="3">
        <f t="shared" si="4"/>
        <v>3546.8125</v>
      </c>
      <c r="I150" s="3">
        <v>567.49</v>
      </c>
    </row>
    <row r="151" spans="1:12">
      <c r="A151" t="s">
        <v>1168</v>
      </c>
      <c r="B151" s="1">
        <v>41638</v>
      </c>
      <c r="C151" t="s">
        <v>6910</v>
      </c>
      <c r="D151">
        <v>1</v>
      </c>
      <c r="E151" t="s">
        <v>77</v>
      </c>
      <c r="F151" s="81" t="s">
        <v>798</v>
      </c>
      <c r="G151" s="81" t="s">
        <v>77</v>
      </c>
      <c r="H151" s="3">
        <f t="shared" si="4"/>
        <v>835.99999999999989</v>
      </c>
      <c r="I151" s="3">
        <v>133.76</v>
      </c>
    </row>
    <row r="152" spans="1:12">
      <c r="A152" t="s">
        <v>309</v>
      </c>
      <c r="B152" s="1">
        <v>41639</v>
      </c>
      <c r="C152" t="s">
        <v>6925</v>
      </c>
      <c r="D152">
        <v>1</v>
      </c>
      <c r="E152" t="s">
        <v>77</v>
      </c>
      <c r="F152" s="81" t="s">
        <v>798</v>
      </c>
      <c r="G152" s="81" t="s">
        <v>77</v>
      </c>
      <c r="H152" s="3">
        <f t="shared" si="4"/>
        <v>2738.3125</v>
      </c>
      <c r="I152" s="3">
        <v>438.13</v>
      </c>
    </row>
    <row r="153" spans="1:12">
      <c r="A153" t="s">
        <v>6659</v>
      </c>
      <c r="B153" s="1">
        <v>41639</v>
      </c>
      <c r="C153">
        <v>9490</v>
      </c>
      <c r="D153">
        <v>1</v>
      </c>
      <c r="E153" t="s">
        <v>6660</v>
      </c>
      <c r="F153" s="81" t="s">
        <v>2853</v>
      </c>
      <c r="G153" s="81" t="s">
        <v>6660</v>
      </c>
      <c r="H153" s="3">
        <f t="shared" si="4"/>
        <v>24.5</v>
      </c>
      <c r="I153" s="3">
        <v>3.92</v>
      </c>
    </row>
    <row r="154" spans="1:12">
      <c r="A154" t="s">
        <v>1217</v>
      </c>
      <c r="B154" s="1">
        <v>41631</v>
      </c>
      <c r="C154" t="s">
        <v>6869</v>
      </c>
      <c r="D154">
        <v>1</v>
      </c>
      <c r="E154" t="s">
        <v>215</v>
      </c>
      <c r="F154" s="81" t="s">
        <v>801</v>
      </c>
      <c r="G154" s="81" t="s">
        <v>215</v>
      </c>
      <c r="H154" s="3">
        <f t="shared" si="4"/>
        <v>1550</v>
      </c>
      <c r="I154" s="3">
        <v>248</v>
      </c>
    </row>
    <row r="155" spans="1:12">
      <c r="A155" t="s">
        <v>3508</v>
      </c>
      <c r="B155" s="1">
        <v>41635</v>
      </c>
      <c r="C155">
        <v>9450</v>
      </c>
      <c r="D155">
        <v>1</v>
      </c>
      <c r="E155" t="s">
        <v>6093</v>
      </c>
      <c r="F155" s="81" t="s">
        <v>5737</v>
      </c>
      <c r="G155" s="81" t="s">
        <v>6093</v>
      </c>
      <c r="H155" s="3">
        <f t="shared" si="4"/>
        <v>344.8125</v>
      </c>
      <c r="I155" s="3">
        <v>55.17</v>
      </c>
    </row>
    <row r="156" spans="1:12">
      <c r="A156" t="s">
        <v>6649</v>
      </c>
      <c r="B156" s="1">
        <v>41639</v>
      </c>
      <c r="C156">
        <v>9480</v>
      </c>
      <c r="D156">
        <v>1</v>
      </c>
      <c r="E156" t="s">
        <v>6093</v>
      </c>
      <c r="F156" s="81" t="s">
        <v>5737</v>
      </c>
      <c r="G156" s="81" t="s">
        <v>6093</v>
      </c>
      <c r="H156" s="3">
        <f t="shared" si="4"/>
        <v>344.8125</v>
      </c>
      <c r="I156" s="3">
        <v>55.17</v>
      </c>
    </row>
    <row r="157" spans="1:12">
      <c r="A157" t="s">
        <v>6677</v>
      </c>
      <c r="B157" s="1">
        <v>41639</v>
      </c>
      <c r="C157">
        <v>9513</v>
      </c>
      <c r="D157">
        <v>1</v>
      </c>
      <c r="E157" t="s">
        <v>6093</v>
      </c>
      <c r="F157" s="81" t="s">
        <v>5737</v>
      </c>
      <c r="G157" s="81" t="s">
        <v>6093</v>
      </c>
      <c r="H157" s="3">
        <f t="shared" si="4"/>
        <v>344.8125</v>
      </c>
      <c r="I157" s="3">
        <v>55.17</v>
      </c>
    </row>
    <row r="158" spans="1:12">
      <c r="A158" t="s">
        <v>6692</v>
      </c>
      <c r="B158" s="1">
        <v>41639</v>
      </c>
      <c r="C158">
        <v>9526</v>
      </c>
      <c r="D158">
        <v>1</v>
      </c>
      <c r="E158" t="s">
        <v>6693</v>
      </c>
      <c r="F158" s="81" t="s">
        <v>5737</v>
      </c>
      <c r="G158" s="81" t="s">
        <v>6693</v>
      </c>
      <c r="H158" s="3">
        <f t="shared" si="4"/>
        <v>344.8125</v>
      </c>
      <c r="I158" s="3">
        <v>55.17</v>
      </c>
    </row>
    <row r="159" spans="1:12">
      <c r="A159" t="s">
        <v>1564</v>
      </c>
      <c r="B159" s="1">
        <v>41638</v>
      </c>
      <c r="C159" t="s">
        <v>6909</v>
      </c>
      <c r="D159">
        <v>1</v>
      </c>
      <c r="E159" t="s">
        <v>226</v>
      </c>
      <c r="F159" s="11" t="s">
        <v>802</v>
      </c>
      <c r="G159" s="11" t="s">
        <v>3370</v>
      </c>
      <c r="H159" s="3">
        <f t="shared" si="4"/>
        <v>187</v>
      </c>
      <c r="I159" s="3">
        <v>29.92</v>
      </c>
      <c r="J159" s="14" t="e">
        <f>+H159-#REF!</f>
        <v>#REF!</v>
      </c>
      <c r="K159" s="14" t="e">
        <f>+I159-#REF!</f>
        <v>#REF!</v>
      </c>
      <c r="L159" t="s">
        <v>900</v>
      </c>
    </row>
    <row r="160" spans="1:12">
      <c r="A160" t="s">
        <v>90</v>
      </c>
      <c r="B160" s="1">
        <v>41617</v>
      </c>
      <c r="C160" t="s">
        <v>6814</v>
      </c>
      <c r="D160">
        <v>2</v>
      </c>
      <c r="E160" t="s">
        <v>74</v>
      </c>
      <c r="F160" s="81" t="s">
        <v>803</v>
      </c>
      <c r="G160" s="81" t="s">
        <v>74</v>
      </c>
      <c r="H160" s="3">
        <f t="shared" si="4"/>
        <v>1901.5625</v>
      </c>
      <c r="I160" s="3">
        <v>304.25</v>
      </c>
    </row>
    <row r="161" spans="1:11">
      <c r="A161" t="s">
        <v>3701</v>
      </c>
      <c r="B161" s="1">
        <v>41631</v>
      </c>
      <c r="C161" t="s">
        <v>6867</v>
      </c>
      <c r="D161">
        <v>2</v>
      </c>
      <c r="E161" t="s">
        <v>74</v>
      </c>
      <c r="F161" s="81" t="s">
        <v>803</v>
      </c>
      <c r="G161" s="81" t="s">
        <v>74</v>
      </c>
      <c r="H161" s="3">
        <f t="shared" si="4"/>
        <v>297.6875</v>
      </c>
      <c r="I161" s="3">
        <v>47.63</v>
      </c>
    </row>
    <row r="162" spans="1:11">
      <c r="A162" t="s">
        <v>268</v>
      </c>
      <c r="B162" s="1">
        <v>41639</v>
      </c>
      <c r="C162" t="s">
        <v>6923</v>
      </c>
      <c r="D162">
        <v>2</v>
      </c>
      <c r="E162" t="s">
        <v>74</v>
      </c>
      <c r="F162" s="81" t="s">
        <v>803</v>
      </c>
      <c r="G162" s="81" t="s">
        <v>74</v>
      </c>
      <c r="H162" s="3">
        <f t="shared" si="4"/>
        <v>12802.437499999998</v>
      </c>
      <c r="I162" s="3">
        <v>2048.39</v>
      </c>
    </row>
    <row r="163" spans="1:11">
      <c r="A163" t="s">
        <v>6788</v>
      </c>
      <c r="B163" s="1">
        <v>41639</v>
      </c>
      <c r="C163" t="s">
        <v>6789</v>
      </c>
      <c r="D163">
        <v>1</v>
      </c>
      <c r="E163" t="s">
        <v>6790</v>
      </c>
      <c r="F163" t="s">
        <v>829</v>
      </c>
      <c r="G163" t="s">
        <v>6</v>
      </c>
      <c r="H163" s="3">
        <f t="shared" si="4"/>
        <v>32891.1875</v>
      </c>
      <c r="I163" s="3">
        <v>5262.59</v>
      </c>
      <c r="J163" s="133"/>
    </row>
    <row r="164" spans="1:11">
      <c r="A164" t="s">
        <v>6791</v>
      </c>
      <c r="B164" s="1">
        <v>41639</v>
      </c>
      <c r="C164" t="s">
        <v>6792</v>
      </c>
      <c r="D164">
        <v>1</v>
      </c>
      <c r="E164" t="s">
        <v>6793</v>
      </c>
      <c r="F164" t="s">
        <v>829</v>
      </c>
      <c r="G164" t="s">
        <v>6</v>
      </c>
      <c r="H164" s="3">
        <f t="shared" si="4"/>
        <v>20561.625</v>
      </c>
      <c r="I164" s="3">
        <v>3289.86</v>
      </c>
      <c r="J164" s="133"/>
    </row>
    <row r="165" spans="1:11">
      <c r="A165" t="s">
        <v>6755</v>
      </c>
      <c r="B165" s="1">
        <v>41639</v>
      </c>
      <c r="C165" t="s">
        <v>6756</v>
      </c>
      <c r="D165">
        <v>1</v>
      </c>
      <c r="E165" t="s">
        <v>6757</v>
      </c>
      <c r="F165" t="s">
        <v>946</v>
      </c>
      <c r="G165" t="s">
        <v>947</v>
      </c>
      <c r="H165" s="3">
        <f t="shared" si="4"/>
        <v>56.0625</v>
      </c>
      <c r="I165" s="3">
        <v>8.9700000000000006</v>
      </c>
    </row>
    <row r="166" spans="1:11">
      <c r="A166" t="s">
        <v>6585</v>
      </c>
      <c r="B166" s="1">
        <v>41639</v>
      </c>
      <c r="C166" t="s">
        <v>6586</v>
      </c>
      <c r="D166">
        <v>1</v>
      </c>
      <c r="E166" t="s">
        <v>6587</v>
      </c>
      <c r="F166" t="s">
        <v>946</v>
      </c>
      <c r="G166" t="s">
        <v>947</v>
      </c>
      <c r="H166" s="3">
        <f>+I166/0.16</f>
        <v>263</v>
      </c>
      <c r="I166" s="3">
        <v>42.08</v>
      </c>
    </row>
    <row r="167" spans="1:11">
      <c r="A167" t="s">
        <v>6582</v>
      </c>
      <c r="B167" s="1">
        <v>41639</v>
      </c>
      <c r="C167" t="s">
        <v>6583</v>
      </c>
      <c r="D167">
        <v>1</v>
      </c>
      <c r="E167" t="s">
        <v>6584</v>
      </c>
      <c r="F167" t="s">
        <v>946</v>
      </c>
      <c r="G167" t="s">
        <v>947</v>
      </c>
      <c r="H167" s="3">
        <f t="shared" si="4"/>
        <v>131.875</v>
      </c>
      <c r="I167" s="3">
        <v>21.1</v>
      </c>
    </row>
    <row r="168" spans="1:11">
      <c r="A168" t="s">
        <v>6591</v>
      </c>
      <c r="B168" s="1">
        <v>41639</v>
      </c>
      <c r="C168" t="s">
        <v>6592</v>
      </c>
      <c r="D168">
        <v>1</v>
      </c>
      <c r="E168" t="s">
        <v>6593</v>
      </c>
      <c r="F168" t="s">
        <v>946</v>
      </c>
      <c r="G168" t="s">
        <v>947</v>
      </c>
      <c r="H168" s="46">
        <f t="shared" ref="H168:H178" si="6">I168/0.16</f>
        <v>395.8125</v>
      </c>
      <c r="I168" s="46">
        <v>63.33</v>
      </c>
      <c r="J168" s="3"/>
      <c r="K168" s="3"/>
    </row>
    <row r="169" spans="1:11">
      <c r="A169" t="s">
        <v>6591</v>
      </c>
      <c r="B169" s="1">
        <v>41639</v>
      </c>
      <c r="C169" t="s">
        <v>6592</v>
      </c>
      <c r="D169">
        <v>1</v>
      </c>
      <c r="E169" t="s">
        <v>6593</v>
      </c>
      <c r="F169" s="81" t="s">
        <v>2901</v>
      </c>
      <c r="G169" s="81" t="s">
        <v>6976</v>
      </c>
      <c r="H169" s="82">
        <f t="shared" si="6"/>
        <v>103.4375</v>
      </c>
      <c r="I169" s="82">
        <v>16.55</v>
      </c>
      <c r="J169" s="14">
        <f>499.25-H168-H169</f>
        <v>0</v>
      </c>
      <c r="K169" s="14">
        <f>79.88-I168-I169</f>
        <v>0</v>
      </c>
    </row>
    <row r="170" spans="1:11">
      <c r="A170" t="s">
        <v>6588</v>
      </c>
      <c r="B170" s="1">
        <v>41639</v>
      </c>
      <c r="C170" t="s">
        <v>6589</v>
      </c>
      <c r="D170">
        <v>1</v>
      </c>
      <c r="E170" t="s">
        <v>6590</v>
      </c>
      <c r="F170" s="81" t="s">
        <v>6977</v>
      </c>
      <c r="G170" s="81" t="s">
        <v>6978</v>
      </c>
      <c r="H170" s="82">
        <f t="shared" si="6"/>
        <v>55</v>
      </c>
      <c r="I170" s="82">
        <v>8.8000000000000007</v>
      </c>
      <c r="J170" s="3"/>
      <c r="K170" s="3"/>
    </row>
    <row r="171" spans="1:11">
      <c r="A171" t="s">
        <v>6588</v>
      </c>
      <c r="B171" s="1">
        <v>41639</v>
      </c>
      <c r="C171" t="s">
        <v>6589</v>
      </c>
      <c r="D171">
        <v>1</v>
      </c>
      <c r="E171" t="s">
        <v>6590</v>
      </c>
      <c r="F171" s="28" t="s">
        <v>2287</v>
      </c>
      <c r="G171" s="28" t="s">
        <v>2288</v>
      </c>
      <c r="H171" s="47">
        <f t="shared" si="6"/>
        <v>301.125</v>
      </c>
      <c r="I171" s="47">
        <v>48.18</v>
      </c>
    </row>
    <row r="172" spans="1:11">
      <c r="A172" t="s">
        <v>6588</v>
      </c>
      <c r="B172" s="1">
        <v>41639</v>
      </c>
      <c r="C172" t="s">
        <v>6589</v>
      </c>
      <c r="D172">
        <v>1</v>
      </c>
      <c r="E172" t="s">
        <v>6590</v>
      </c>
      <c r="F172" t="s">
        <v>946</v>
      </c>
      <c r="G172" t="s">
        <v>947</v>
      </c>
      <c r="H172" s="46">
        <f t="shared" si="6"/>
        <v>663.125</v>
      </c>
      <c r="I172" s="46">
        <v>106.1</v>
      </c>
      <c r="J172" s="14">
        <f>1019.25-H170-H171-H172</f>
        <v>0</v>
      </c>
      <c r="K172" s="14">
        <f>163.08-I170-I171-I172</f>
        <v>0</v>
      </c>
    </row>
    <row r="173" spans="1:11">
      <c r="A173" t="s">
        <v>6579</v>
      </c>
      <c r="B173" s="1">
        <v>41639</v>
      </c>
      <c r="C173" t="s">
        <v>6580</v>
      </c>
      <c r="D173">
        <v>1</v>
      </c>
      <c r="E173" t="s">
        <v>6581</v>
      </c>
      <c r="F173" t="s">
        <v>946</v>
      </c>
      <c r="G173" t="s">
        <v>947</v>
      </c>
      <c r="H173" s="46">
        <f t="shared" si="6"/>
        <v>663.125</v>
      </c>
      <c r="I173" s="46">
        <v>106.1</v>
      </c>
      <c r="J173" s="3"/>
      <c r="K173" s="3"/>
    </row>
    <row r="174" spans="1:11">
      <c r="A174" t="s">
        <v>6579</v>
      </c>
      <c r="B174" s="1">
        <v>41639</v>
      </c>
      <c r="C174" t="s">
        <v>6580</v>
      </c>
      <c r="D174">
        <v>1</v>
      </c>
      <c r="E174" t="s">
        <v>6581</v>
      </c>
      <c r="F174" s="81" t="s">
        <v>3389</v>
      </c>
      <c r="G174" s="81" t="s">
        <v>4336</v>
      </c>
      <c r="H174" s="82">
        <f t="shared" si="6"/>
        <v>17.25</v>
      </c>
      <c r="I174" s="82">
        <v>2.76</v>
      </c>
    </row>
    <row r="175" spans="1:11">
      <c r="A175" t="s">
        <v>6579</v>
      </c>
      <c r="B175" s="1">
        <v>41639</v>
      </c>
      <c r="C175" t="s">
        <v>6580</v>
      </c>
      <c r="D175">
        <v>1</v>
      </c>
      <c r="E175" t="s">
        <v>6581</v>
      </c>
      <c r="F175" s="28" t="s">
        <v>2287</v>
      </c>
      <c r="G175" s="28" t="s">
        <v>2288</v>
      </c>
      <c r="H175" s="47">
        <f t="shared" si="6"/>
        <v>292.6875</v>
      </c>
      <c r="I175" s="47">
        <v>46.83</v>
      </c>
      <c r="J175" s="14">
        <f>973.06-H173-H174-H175</f>
        <v>-2.5000000000545697E-3</v>
      </c>
      <c r="K175" s="14">
        <f>155.69-I173-I174-I175</f>
        <v>0</v>
      </c>
    </row>
    <row r="176" spans="1:11">
      <c r="A176" t="s">
        <v>6516</v>
      </c>
      <c r="B176" s="1">
        <v>41639</v>
      </c>
      <c r="C176" t="s">
        <v>6517</v>
      </c>
      <c r="D176">
        <v>1</v>
      </c>
      <c r="E176" t="s">
        <v>6518</v>
      </c>
      <c r="F176" s="81" t="s">
        <v>941</v>
      </c>
      <c r="G176" s="81" t="s">
        <v>942</v>
      </c>
      <c r="H176" s="82">
        <f t="shared" si="6"/>
        <v>96.5625</v>
      </c>
      <c r="I176" s="82">
        <v>15.45</v>
      </c>
      <c r="J176" s="3"/>
      <c r="K176" s="3"/>
    </row>
    <row r="177" spans="1:11">
      <c r="A177" t="s">
        <v>6516</v>
      </c>
      <c r="B177" s="1">
        <v>41639</v>
      </c>
      <c r="C177" t="s">
        <v>6517</v>
      </c>
      <c r="D177">
        <v>1</v>
      </c>
      <c r="E177" t="s">
        <v>6518</v>
      </c>
      <c r="F177" t="s">
        <v>6979</v>
      </c>
      <c r="G177" t="s">
        <v>6980</v>
      </c>
      <c r="H177" s="46">
        <f t="shared" si="6"/>
        <v>167.3125</v>
      </c>
      <c r="I177" s="46">
        <v>26.77</v>
      </c>
    </row>
    <row r="178" spans="1:11">
      <c r="A178" t="s">
        <v>6516</v>
      </c>
      <c r="B178" s="1">
        <v>41639</v>
      </c>
      <c r="C178" t="s">
        <v>6517</v>
      </c>
      <c r="D178">
        <v>1</v>
      </c>
      <c r="E178" t="s">
        <v>6518</v>
      </c>
      <c r="F178" t="s">
        <v>946</v>
      </c>
      <c r="G178" t="s">
        <v>947</v>
      </c>
      <c r="H178" s="46">
        <f t="shared" si="6"/>
        <v>632.8125</v>
      </c>
      <c r="I178" s="46">
        <v>101.25</v>
      </c>
      <c r="J178" s="14">
        <f>896.69-H176-H177-H178</f>
        <v>2.5000000000545697E-3</v>
      </c>
      <c r="K178" s="14">
        <f>143.47-I176-I177-I178</f>
        <v>0</v>
      </c>
    </row>
    <row r="179" spans="1:11">
      <c r="A179" t="s">
        <v>6513</v>
      </c>
      <c r="B179" s="1">
        <v>41639</v>
      </c>
      <c r="C179" t="s">
        <v>6514</v>
      </c>
      <c r="D179">
        <v>1</v>
      </c>
      <c r="E179" t="s">
        <v>6515</v>
      </c>
      <c r="F179" s="84" t="s">
        <v>921</v>
      </c>
      <c r="G179" s="81" t="s">
        <v>922</v>
      </c>
      <c r="H179" s="3">
        <f t="shared" si="4"/>
        <v>48142.5</v>
      </c>
      <c r="I179" s="3">
        <v>7702.8</v>
      </c>
    </row>
    <row r="180" spans="1:11">
      <c r="A180" t="s">
        <v>6510</v>
      </c>
      <c r="B180" s="1">
        <v>41639</v>
      </c>
      <c r="C180" t="s">
        <v>6511</v>
      </c>
      <c r="D180">
        <v>1</v>
      </c>
      <c r="E180" t="s">
        <v>6512</v>
      </c>
      <c r="F180" s="81" t="s">
        <v>931</v>
      </c>
      <c r="G180" s="81" t="s">
        <v>4895</v>
      </c>
      <c r="H180" s="3">
        <f t="shared" si="4"/>
        <v>18314.8125</v>
      </c>
      <c r="I180" s="3">
        <v>2930.37</v>
      </c>
    </row>
    <row r="181" spans="1:11">
      <c r="A181" t="s">
        <v>6507</v>
      </c>
      <c r="B181" s="1">
        <v>41639</v>
      </c>
      <c r="C181" t="s">
        <v>6508</v>
      </c>
      <c r="D181">
        <v>1</v>
      </c>
      <c r="E181" t="s">
        <v>6509</v>
      </c>
      <c r="F181" s="81" t="s">
        <v>736</v>
      </c>
      <c r="G181" s="81" t="s">
        <v>6497</v>
      </c>
      <c r="H181" s="3">
        <f t="shared" si="4"/>
        <v>45258.1875</v>
      </c>
      <c r="I181" s="3">
        <v>7241.31</v>
      </c>
    </row>
    <row r="182" spans="1:11">
      <c r="A182" t="s">
        <v>2202</v>
      </c>
      <c r="B182" s="1">
        <v>41631</v>
      </c>
      <c r="C182" t="s">
        <v>6884</v>
      </c>
      <c r="D182">
        <v>1</v>
      </c>
      <c r="E182" t="s">
        <v>2724</v>
      </c>
      <c r="F182" s="81" t="s">
        <v>2855</v>
      </c>
      <c r="G182" s="81" t="s">
        <v>2724</v>
      </c>
      <c r="H182" s="3">
        <f t="shared" si="4"/>
        <v>3500</v>
      </c>
      <c r="I182" s="3">
        <v>560</v>
      </c>
    </row>
    <row r="183" spans="1:11">
      <c r="A183" t="s">
        <v>6638</v>
      </c>
      <c r="B183" s="1">
        <v>41639</v>
      </c>
      <c r="C183" t="s">
        <v>6639</v>
      </c>
      <c r="D183">
        <v>1</v>
      </c>
      <c r="E183" t="s">
        <v>6007</v>
      </c>
      <c r="F183" s="81" t="s">
        <v>6294</v>
      </c>
      <c r="G183" s="81" t="s">
        <v>6007</v>
      </c>
      <c r="H183" s="3">
        <f t="shared" si="4"/>
        <v>1150</v>
      </c>
      <c r="I183" s="3">
        <v>184</v>
      </c>
    </row>
    <row r="184" spans="1:11">
      <c r="A184" t="s">
        <v>2254</v>
      </c>
      <c r="B184" s="1">
        <v>41638</v>
      </c>
      <c r="C184" t="s">
        <v>6912</v>
      </c>
      <c r="D184">
        <v>1</v>
      </c>
      <c r="E184" t="s">
        <v>207</v>
      </c>
      <c r="F184" s="81" t="s">
        <v>806</v>
      </c>
      <c r="G184" s="81" t="s">
        <v>207</v>
      </c>
      <c r="H184" s="3">
        <f t="shared" si="4"/>
        <v>5460</v>
      </c>
      <c r="I184" s="3">
        <v>873.6</v>
      </c>
    </row>
    <row r="185" spans="1:11">
      <c r="A185" t="s">
        <v>6454</v>
      </c>
      <c r="B185" s="1">
        <v>41635</v>
      </c>
      <c r="C185">
        <v>9446</v>
      </c>
      <c r="D185">
        <v>1</v>
      </c>
      <c r="E185" t="s">
        <v>6455</v>
      </c>
      <c r="F185" t="s">
        <v>946</v>
      </c>
      <c r="G185" t="s">
        <v>947</v>
      </c>
      <c r="H185" s="3">
        <f t="shared" si="4"/>
        <v>78.625</v>
      </c>
      <c r="I185" s="3">
        <v>12.58</v>
      </c>
    </row>
    <row r="186" spans="1:11">
      <c r="A186" t="s">
        <v>6452</v>
      </c>
      <c r="B186" s="1">
        <v>41635</v>
      </c>
      <c r="C186" t="s">
        <v>6453</v>
      </c>
      <c r="D186">
        <v>1</v>
      </c>
      <c r="E186" t="s">
        <v>6080</v>
      </c>
      <c r="F186" s="81" t="s">
        <v>811</v>
      </c>
      <c r="G186" s="81" t="s">
        <v>6981</v>
      </c>
      <c r="H186" s="3">
        <f t="shared" si="4"/>
        <v>33.125</v>
      </c>
      <c r="I186" s="3">
        <v>5.3</v>
      </c>
    </row>
    <row r="187" spans="1:11">
      <c r="A187" t="s">
        <v>6450</v>
      </c>
      <c r="B187" s="1">
        <v>41635</v>
      </c>
      <c r="C187">
        <v>9443</v>
      </c>
      <c r="D187">
        <v>1</v>
      </c>
      <c r="E187" t="s">
        <v>2064</v>
      </c>
      <c r="F187" s="81" t="s">
        <v>2290</v>
      </c>
      <c r="G187" s="81" t="s">
        <v>2064</v>
      </c>
      <c r="H187" s="3">
        <f t="shared" si="4"/>
        <v>425</v>
      </c>
      <c r="I187" s="3">
        <v>68</v>
      </c>
    </row>
    <row r="188" spans="1:11">
      <c r="A188" t="s">
        <v>1027</v>
      </c>
      <c r="B188" s="1">
        <v>41615</v>
      </c>
      <c r="C188" t="s">
        <v>6807</v>
      </c>
      <c r="D188">
        <v>1</v>
      </c>
      <c r="E188" t="s">
        <v>2827</v>
      </c>
      <c r="F188" s="81" t="s">
        <v>2856</v>
      </c>
      <c r="G188" s="81" t="s">
        <v>2827</v>
      </c>
      <c r="H188" s="3">
        <f t="shared" si="4"/>
        <v>6000</v>
      </c>
      <c r="I188" s="3">
        <v>960</v>
      </c>
    </row>
    <row r="189" spans="1:11">
      <c r="A189" t="s">
        <v>154</v>
      </c>
      <c r="B189" s="1">
        <v>41621</v>
      </c>
      <c r="C189" t="s">
        <v>6830</v>
      </c>
      <c r="D189">
        <v>1</v>
      </c>
      <c r="E189" t="s">
        <v>2827</v>
      </c>
      <c r="F189" s="81" t="s">
        <v>2856</v>
      </c>
      <c r="G189" s="81" t="s">
        <v>2827</v>
      </c>
      <c r="H189" s="3">
        <f t="shared" si="4"/>
        <v>8000</v>
      </c>
      <c r="I189" s="3">
        <v>1280</v>
      </c>
    </row>
    <row r="190" spans="1:11">
      <c r="A190" t="s">
        <v>2190</v>
      </c>
      <c r="B190" s="1">
        <v>41631</v>
      </c>
      <c r="C190" t="s">
        <v>6863</v>
      </c>
      <c r="D190">
        <v>1</v>
      </c>
      <c r="E190" t="s">
        <v>2827</v>
      </c>
      <c r="F190" s="81" t="s">
        <v>2856</v>
      </c>
      <c r="G190" s="81" t="s">
        <v>2827</v>
      </c>
      <c r="H190" s="3">
        <f t="shared" si="4"/>
        <v>9000</v>
      </c>
      <c r="I190" s="3">
        <v>1440</v>
      </c>
    </row>
    <row r="191" spans="1:11">
      <c r="A191" t="s">
        <v>707</v>
      </c>
      <c r="B191" s="1">
        <v>41638</v>
      </c>
      <c r="C191" t="s">
        <v>6916</v>
      </c>
      <c r="D191">
        <v>1</v>
      </c>
      <c r="E191" t="s">
        <v>2827</v>
      </c>
      <c r="F191" s="81" t="s">
        <v>2856</v>
      </c>
      <c r="G191" s="81" t="s">
        <v>2827</v>
      </c>
      <c r="H191" s="3">
        <f t="shared" si="4"/>
        <v>9000</v>
      </c>
      <c r="I191" s="3">
        <v>1440</v>
      </c>
    </row>
    <row r="192" spans="1:11">
      <c r="A192" t="s">
        <v>4605</v>
      </c>
      <c r="B192" s="1">
        <v>41639</v>
      </c>
      <c r="C192" t="s">
        <v>6487</v>
      </c>
      <c r="D192">
        <v>1</v>
      </c>
      <c r="E192" t="s">
        <v>6488</v>
      </c>
      <c r="F192" s="81" t="s">
        <v>814</v>
      </c>
      <c r="G192" s="81" t="s">
        <v>6488</v>
      </c>
      <c r="H192" s="3">
        <f t="shared" si="4"/>
        <v>259056.9375</v>
      </c>
      <c r="I192" s="3">
        <v>41449.11</v>
      </c>
    </row>
    <row r="193" spans="1:10">
      <c r="A193" t="s">
        <v>6424</v>
      </c>
      <c r="B193" s="1">
        <v>41628</v>
      </c>
      <c r="C193" t="s">
        <v>6425</v>
      </c>
      <c r="D193">
        <v>1</v>
      </c>
      <c r="E193" t="s">
        <v>6426</v>
      </c>
      <c r="F193" s="124" t="s">
        <v>814</v>
      </c>
      <c r="G193" s="81" t="s">
        <v>815</v>
      </c>
      <c r="H193" s="3">
        <f t="shared" si="4"/>
        <v>259056.9375</v>
      </c>
      <c r="I193" s="3">
        <v>41449.11</v>
      </c>
    </row>
    <row r="194" spans="1:10">
      <c r="A194" t="s">
        <v>6460</v>
      </c>
      <c r="B194" s="1">
        <v>41635</v>
      </c>
      <c r="C194" t="s">
        <v>6461</v>
      </c>
      <c r="D194">
        <v>1</v>
      </c>
      <c r="E194" t="s">
        <v>6462</v>
      </c>
      <c r="F194" s="124" t="s">
        <v>814</v>
      </c>
      <c r="G194" s="81" t="s">
        <v>815</v>
      </c>
      <c r="H194" s="3">
        <f t="shared" si="4"/>
        <v>181607.4375</v>
      </c>
      <c r="I194" s="3">
        <v>29057.19</v>
      </c>
    </row>
    <row r="195" spans="1:10">
      <c r="A195" t="s">
        <v>1034</v>
      </c>
      <c r="B195" s="1">
        <v>41614</v>
      </c>
      <c r="C195" t="s">
        <v>6350</v>
      </c>
      <c r="D195">
        <v>1</v>
      </c>
      <c r="E195" t="s">
        <v>3072</v>
      </c>
      <c r="F195" s="124" t="s">
        <v>814</v>
      </c>
      <c r="G195" s="81" t="s">
        <v>815</v>
      </c>
      <c r="H195" s="3">
        <f t="shared" si="4"/>
        <v>169608.1875</v>
      </c>
      <c r="I195" s="3">
        <v>27137.31</v>
      </c>
    </row>
    <row r="196" spans="1:10">
      <c r="A196" t="s">
        <v>2264</v>
      </c>
      <c r="B196" s="1">
        <v>41638</v>
      </c>
      <c r="C196" t="s">
        <v>6918</v>
      </c>
      <c r="D196">
        <v>1</v>
      </c>
      <c r="E196" t="s">
        <v>6919</v>
      </c>
      <c r="F196" s="33" t="s">
        <v>7050</v>
      </c>
      <c r="G196" s="33" t="s">
        <v>7051</v>
      </c>
      <c r="H196" s="3">
        <f t="shared" si="4"/>
        <v>26785.6875</v>
      </c>
      <c r="I196" s="3">
        <v>4285.71</v>
      </c>
    </row>
    <row r="197" spans="1:10">
      <c r="A197" t="s">
        <v>327</v>
      </c>
      <c r="B197" s="1">
        <v>41635</v>
      </c>
      <c r="C197" t="s">
        <v>6897</v>
      </c>
      <c r="D197">
        <v>1</v>
      </c>
      <c r="E197" t="s">
        <v>6898</v>
      </c>
      <c r="F197" s="87" t="s">
        <v>6982</v>
      </c>
      <c r="G197" s="81" t="s">
        <v>6983</v>
      </c>
      <c r="H197" s="3">
        <f t="shared" si="4"/>
        <v>32144</v>
      </c>
      <c r="I197" s="3">
        <v>5143.04</v>
      </c>
    </row>
    <row r="198" spans="1:10">
      <c r="A198" t="s">
        <v>6125</v>
      </c>
      <c r="B198" s="1">
        <v>41639</v>
      </c>
      <c r="C198" t="s">
        <v>6493</v>
      </c>
      <c r="D198">
        <v>1</v>
      </c>
      <c r="E198" t="s">
        <v>6494</v>
      </c>
      <c r="F198" t="s">
        <v>6984</v>
      </c>
      <c r="G198" t="s">
        <v>6985</v>
      </c>
      <c r="H198" s="3">
        <f t="shared" si="4"/>
        <v>215517.25</v>
      </c>
      <c r="I198" s="3">
        <v>34482.76</v>
      </c>
    </row>
    <row r="199" spans="1:10">
      <c r="A199" t="s">
        <v>6747</v>
      </c>
      <c r="B199" s="1">
        <v>41639</v>
      </c>
      <c r="C199">
        <v>9533</v>
      </c>
      <c r="D199">
        <v>1</v>
      </c>
      <c r="E199" t="s">
        <v>6748</v>
      </c>
      <c r="F199" s="81" t="s">
        <v>778</v>
      </c>
      <c r="G199" s="81" t="s">
        <v>6986</v>
      </c>
      <c r="H199" s="3">
        <f t="shared" si="4"/>
        <v>1150</v>
      </c>
      <c r="I199" s="3">
        <v>184</v>
      </c>
    </row>
    <row r="200" spans="1:10">
      <c r="A200" t="s">
        <v>6952</v>
      </c>
      <c r="B200" s="1">
        <v>41635</v>
      </c>
      <c r="C200" t="s">
        <v>6953</v>
      </c>
      <c r="D200">
        <v>1</v>
      </c>
      <c r="E200" t="s">
        <v>6954</v>
      </c>
      <c r="F200" s="23" t="s">
        <v>829</v>
      </c>
      <c r="G200" s="24" t="s">
        <v>6</v>
      </c>
      <c r="H200" s="3">
        <f t="shared" si="4"/>
        <v>264.6875</v>
      </c>
      <c r="I200" s="3">
        <v>42.35</v>
      </c>
    </row>
    <row r="201" spans="1:10">
      <c r="A201" t="s">
        <v>6952</v>
      </c>
      <c r="B201" s="1">
        <v>41635</v>
      </c>
      <c r="C201" t="s">
        <v>6953</v>
      </c>
      <c r="D201">
        <v>1</v>
      </c>
      <c r="E201" t="s">
        <v>6954</v>
      </c>
      <c r="F201" s="23" t="s">
        <v>829</v>
      </c>
      <c r="G201" s="24" t="s">
        <v>6</v>
      </c>
      <c r="H201" s="3">
        <f t="shared" si="4"/>
        <v>403.8125</v>
      </c>
      <c r="I201" s="3">
        <v>64.61</v>
      </c>
    </row>
    <row r="202" spans="1:10">
      <c r="A202" t="s">
        <v>6782</v>
      </c>
      <c r="B202" s="1">
        <v>41639</v>
      </c>
      <c r="C202" t="s">
        <v>6783</v>
      </c>
      <c r="D202">
        <v>1</v>
      </c>
      <c r="E202" t="s">
        <v>6784</v>
      </c>
      <c r="F202" t="s">
        <v>946</v>
      </c>
      <c r="G202" t="s">
        <v>948</v>
      </c>
      <c r="H202" s="3">
        <f t="shared" si="4"/>
        <v>14145.500000000002</v>
      </c>
      <c r="I202" s="3">
        <v>2263.2800000000002</v>
      </c>
    </row>
    <row r="203" spans="1:10">
      <c r="A203" t="s">
        <v>6776</v>
      </c>
      <c r="B203" s="1">
        <v>41639</v>
      </c>
      <c r="C203" t="s">
        <v>6777</v>
      </c>
      <c r="D203">
        <v>1</v>
      </c>
      <c r="E203" t="s">
        <v>6778</v>
      </c>
      <c r="F203" s="81" t="s">
        <v>6987</v>
      </c>
      <c r="G203" s="81" t="s">
        <v>6988</v>
      </c>
      <c r="H203" s="3">
        <f t="shared" si="4"/>
        <v>800000</v>
      </c>
      <c r="I203" s="3">
        <v>128000</v>
      </c>
    </row>
    <row r="204" spans="1:10">
      <c r="A204" t="s">
        <v>6744</v>
      </c>
      <c r="B204" s="1">
        <v>41639</v>
      </c>
      <c r="C204">
        <v>9530</v>
      </c>
      <c r="D204">
        <v>1</v>
      </c>
      <c r="E204" t="s">
        <v>6745</v>
      </c>
      <c r="F204" s="81" t="s">
        <v>5737</v>
      </c>
      <c r="G204" s="81" t="s">
        <v>6989</v>
      </c>
      <c r="H204" s="3">
        <f t="shared" si="4"/>
        <v>344.8125</v>
      </c>
      <c r="I204" s="3">
        <v>55.17</v>
      </c>
    </row>
    <row r="205" spans="1:10">
      <c r="A205" t="s">
        <v>6785</v>
      </c>
      <c r="B205" s="1">
        <v>41639</v>
      </c>
      <c r="C205" t="s">
        <v>6786</v>
      </c>
      <c r="D205">
        <v>1</v>
      </c>
      <c r="E205" t="s">
        <v>6787</v>
      </c>
      <c r="F205" t="s">
        <v>829</v>
      </c>
      <c r="G205" t="s">
        <v>6</v>
      </c>
      <c r="H205" s="3">
        <f t="shared" si="4"/>
        <v>118130.74999999999</v>
      </c>
      <c r="I205" s="3">
        <v>18900.919999999998</v>
      </c>
      <c r="J205" s="133"/>
    </row>
    <row r="206" spans="1:10">
      <c r="A206" t="s">
        <v>304</v>
      </c>
      <c r="B206" s="1">
        <v>41634</v>
      </c>
      <c r="C206" t="s">
        <v>6893</v>
      </c>
      <c r="D206">
        <v>1</v>
      </c>
      <c r="E206" t="s">
        <v>5</v>
      </c>
      <c r="F206" s="18" t="s">
        <v>816</v>
      </c>
      <c r="G206" s="19" t="s">
        <v>817</v>
      </c>
      <c r="H206" s="3">
        <f t="shared" si="4"/>
        <v>107142.875</v>
      </c>
      <c r="I206" s="3">
        <v>17142.86</v>
      </c>
    </row>
    <row r="207" spans="1:10">
      <c r="A207" t="s">
        <v>1259</v>
      </c>
      <c r="B207" s="1">
        <v>41634</v>
      </c>
      <c r="C207" t="s">
        <v>6894</v>
      </c>
      <c r="D207">
        <v>1</v>
      </c>
      <c r="E207" t="s">
        <v>2</v>
      </c>
      <c r="F207" s="18" t="s">
        <v>843</v>
      </c>
      <c r="G207" s="19" t="s">
        <v>844</v>
      </c>
      <c r="H207" s="3">
        <f t="shared" si="4"/>
        <v>107142.875</v>
      </c>
      <c r="I207" s="3">
        <v>17142.86</v>
      </c>
    </row>
    <row r="208" spans="1:10">
      <c r="A208" t="s">
        <v>6742</v>
      </c>
      <c r="B208" s="1">
        <v>41639</v>
      </c>
      <c r="C208">
        <v>9529</v>
      </c>
      <c r="D208">
        <v>1</v>
      </c>
      <c r="E208" t="s">
        <v>6743</v>
      </c>
      <c r="F208" s="81" t="s">
        <v>851</v>
      </c>
      <c r="G208" s="81" t="s">
        <v>6990</v>
      </c>
      <c r="H208" s="3">
        <f t="shared" si="4"/>
        <v>378.4375</v>
      </c>
      <c r="I208" s="3">
        <v>60.55</v>
      </c>
    </row>
    <row r="209" spans="1:12">
      <c r="A209" t="s">
        <v>136</v>
      </c>
      <c r="B209" s="1">
        <v>41621</v>
      </c>
      <c r="C209" t="s">
        <v>6825</v>
      </c>
      <c r="D209">
        <v>1</v>
      </c>
      <c r="E209" t="s">
        <v>6826</v>
      </c>
      <c r="F209" s="84" t="s">
        <v>921</v>
      </c>
      <c r="G209" s="81" t="s">
        <v>922</v>
      </c>
      <c r="H209" s="3">
        <f t="shared" si="4"/>
        <v>14259.562500000002</v>
      </c>
      <c r="I209" s="3">
        <v>2281.5300000000002</v>
      </c>
    </row>
    <row r="210" spans="1:12">
      <c r="A210" t="s">
        <v>5359</v>
      </c>
      <c r="B210" s="1">
        <v>41624</v>
      </c>
      <c r="C210" t="s">
        <v>6392</v>
      </c>
      <c r="D210">
        <v>1</v>
      </c>
      <c r="E210" t="s">
        <v>57</v>
      </c>
      <c r="F210" s="84" t="s">
        <v>921</v>
      </c>
      <c r="G210" s="81" t="s">
        <v>922</v>
      </c>
      <c r="H210" s="3">
        <f t="shared" si="4"/>
        <v>20809.5625</v>
      </c>
      <c r="I210" s="3">
        <v>3329.53</v>
      </c>
    </row>
    <row r="211" spans="1:12">
      <c r="A211" t="s">
        <v>243</v>
      </c>
      <c r="B211" s="1">
        <v>41624</v>
      </c>
      <c r="C211" t="s">
        <v>6393</v>
      </c>
      <c r="D211">
        <v>1</v>
      </c>
      <c r="E211" t="s">
        <v>57</v>
      </c>
      <c r="F211" s="84" t="s">
        <v>921</v>
      </c>
      <c r="G211" s="81" t="s">
        <v>922</v>
      </c>
      <c r="H211" s="3">
        <f t="shared" si="4"/>
        <v>3571.125</v>
      </c>
      <c r="I211" s="3">
        <v>571.38</v>
      </c>
    </row>
    <row r="212" spans="1:12">
      <c r="A212" t="s">
        <v>249</v>
      </c>
      <c r="B212" s="1">
        <v>41624</v>
      </c>
      <c r="C212" t="s">
        <v>6394</v>
      </c>
      <c r="D212">
        <v>1</v>
      </c>
      <c r="E212" t="s">
        <v>57</v>
      </c>
      <c r="F212" s="84" t="s">
        <v>921</v>
      </c>
      <c r="G212" s="81" t="s">
        <v>922</v>
      </c>
      <c r="H212" s="3">
        <f t="shared" si="4"/>
        <v>1587.625</v>
      </c>
      <c r="I212" s="3">
        <v>254.02</v>
      </c>
    </row>
    <row r="213" spans="1:12">
      <c r="A213" t="s">
        <v>6438</v>
      </c>
      <c r="B213" s="1">
        <v>41634</v>
      </c>
      <c r="C213" t="s">
        <v>6439</v>
      </c>
      <c r="D213">
        <v>1</v>
      </c>
      <c r="E213" t="s">
        <v>57</v>
      </c>
      <c r="F213" s="84" t="s">
        <v>921</v>
      </c>
      <c r="G213" s="81" t="s">
        <v>922</v>
      </c>
      <c r="H213" s="3">
        <f t="shared" si="4"/>
        <v>4719.75</v>
      </c>
      <c r="I213" s="3">
        <v>755.16</v>
      </c>
    </row>
    <row r="214" spans="1:12">
      <c r="A214" t="s">
        <v>282</v>
      </c>
      <c r="B214" s="1">
        <v>41631</v>
      </c>
      <c r="C214" t="s">
        <v>6877</v>
      </c>
      <c r="D214">
        <v>1</v>
      </c>
      <c r="E214" t="s">
        <v>83</v>
      </c>
      <c r="F214" s="28" t="s">
        <v>877</v>
      </c>
      <c r="G214" s="28" t="s">
        <v>223</v>
      </c>
      <c r="H214" s="3">
        <f t="shared" si="4"/>
        <v>8736.5</v>
      </c>
      <c r="I214" s="3">
        <v>1397.84</v>
      </c>
    </row>
    <row r="215" spans="1:12">
      <c r="A215" t="s">
        <v>391</v>
      </c>
      <c r="B215" s="1">
        <v>41638</v>
      </c>
      <c r="C215" t="s">
        <v>6907</v>
      </c>
      <c r="D215">
        <v>1</v>
      </c>
      <c r="E215" t="s">
        <v>83</v>
      </c>
      <c r="F215" s="28" t="s">
        <v>877</v>
      </c>
      <c r="G215" s="28" t="s">
        <v>223</v>
      </c>
      <c r="H215" s="3">
        <f t="shared" ref="H215:H278" si="7">+I215/0.16</f>
        <v>23008.5</v>
      </c>
      <c r="I215" s="3">
        <v>3681.36</v>
      </c>
    </row>
    <row r="216" spans="1:12">
      <c r="A216" t="s">
        <v>717</v>
      </c>
      <c r="B216" s="1">
        <v>41639</v>
      </c>
      <c r="C216" t="s">
        <v>6929</v>
      </c>
      <c r="D216">
        <v>1</v>
      </c>
      <c r="E216" t="s">
        <v>83</v>
      </c>
      <c r="F216" s="28" t="s">
        <v>877</v>
      </c>
      <c r="G216" s="28" t="s">
        <v>223</v>
      </c>
      <c r="H216" s="3">
        <f t="shared" si="7"/>
        <v>23048.75</v>
      </c>
      <c r="I216" s="3">
        <v>3687.8</v>
      </c>
      <c r="J216" s="14" t="e">
        <f>+H216-#REF!</f>
        <v>#REF!</v>
      </c>
      <c r="K216" s="14" t="e">
        <f>+I216-#REF!</f>
        <v>#REF!</v>
      </c>
      <c r="L216" t="s">
        <v>900</v>
      </c>
    </row>
    <row r="217" spans="1:12">
      <c r="A217" t="s">
        <v>6740</v>
      </c>
      <c r="B217" s="1">
        <v>41639</v>
      </c>
      <c r="C217">
        <v>9528</v>
      </c>
      <c r="D217">
        <v>1</v>
      </c>
      <c r="E217" t="s">
        <v>6741</v>
      </c>
      <c r="F217" s="81" t="s">
        <v>882</v>
      </c>
      <c r="G217" s="81" t="s">
        <v>590</v>
      </c>
      <c r="H217" s="3">
        <f t="shared" si="7"/>
        <v>148.25</v>
      </c>
      <c r="I217" s="3">
        <v>23.72</v>
      </c>
    </row>
    <row r="218" spans="1:12">
      <c r="A218" t="s">
        <v>6779</v>
      </c>
      <c r="B218" s="1">
        <v>41639</v>
      </c>
      <c r="C218" t="s">
        <v>6780</v>
      </c>
      <c r="D218">
        <v>1</v>
      </c>
      <c r="E218" t="s">
        <v>6781</v>
      </c>
      <c r="F218" t="s">
        <v>946</v>
      </c>
      <c r="G218" t="s">
        <v>948</v>
      </c>
      <c r="H218" s="3">
        <f t="shared" si="7"/>
        <v>1114.1875</v>
      </c>
      <c r="I218" s="3">
        <v>178.27</v>
      </c>
    </row>
    <row r="219" spans="1:12">
      <c r="A219" t="s">
        <v>63</v>
      </c>
      <c r="B219" s="1">
        <v>41618</v>
      </c>
      <c r="C219" t="s">
        <v>6374</v>
      </c>
      <c r="D219">
        <v>1</v>
      </c>
      <c r="E219" t="s">
        <v>6375</v>
      </c>
      <c r="F219" s="129" t="s">
        <v>892</v>
      </c>
      <c r="G219" s="81" t="s">
        <v>893</v>
      </c>
      <c r="H219" s="3">
        <f t="shared" si="7"/>
        <v>175582.31249999997</v>
      </c>
      <c r="I219" s="3">
        <v>28093.17</v>
      </c>
    </row>
    <row r="220" spans="1:12">
      <c r="A220" t="s">
        <v>6635</v>
      </c>
      <c r="B220" s="1">
        <v>41639</v>
      </c>
      <c r="C220" t="s">
        <v>6636</v>
      </c>
      <c r="D220">
        <v>1</v>
      </c>
      <c r="E220" t="s">
        <v>6637</v>
      </c>
      <c r="F220" s="81" t="s">
        <v>2299</v>
      </c>
      <c r="G220" s="81" t="s">
        <v>6637</v>
      </c>
      <c r="H220" s="3">
        <f t="shared" si="7"/>
        <v>612.25</v>
      </c>
      <c r="I220" s="3">
        <v>97.96</v>
      </c>
    </row>
    <row r="221" spans="1:12">
      <c r="A221" t="s">
        <v>6656</v>
      </c>
      <c r="B221" s="1">
        <v>41639</v>
      </c>
      <c r="C221">
        <v>9488</v>
      </c>
      <c r="D221">
        <v>1</v>
      </c>
      <c r="E221" t="s">
        <v>1449</v>
      </c>
      <c r="F221" s="81" t="s">
        <v>1615</v>
      </c>
      <c r="G221" s="81" t="s">
        <v>1449</v>
      </c>
      <c r="H221" s="3">
        <f t="shared" si="7"/>
        <v>163</v>
      </c>
      <c r="I221" s="3">
        <v>26.08</v>
      </c>
    </row>
    <row r="222" spans="1:12">
      <c r="A222" t="s">
        <v>6663</v>
      </c>
      <c r="B222" s="1">
        <v>41639</v>
      </c>
      <c r="C222">
        <v>9495</v>
      </c>
      <c r="D222">
        <v>1</v>
      </c>
      <c r="E222" t="s">
        <v>1449</v>
      </c>
      <c r="F222" s="81" t="s">
        <v>1615</v>
      </c>
      <c r="G222" s="81" t="s">
        <v>1449</v>
      </c>
      <c r="H222" s="3">
        <f t="shared" si="7"/>
        <v>111.00000000000001</v>
      </c>
      <c r="I222" s="3">
        <v>17.760000000000002</v>
      </c>
    </row>
    <row r="223" spans="1:12">
      <c r="A223" t="s">
        <v>279</v>
      </c>
      <c r="B223" s="1">
        <v>41631</v>
      </c>
      <c r="C223" t="s">
        <v>6872</v>
      </c>
      <c r="D223">
        <v>1</v>
      </c>
      <c r="E223" t="s">
        <v>6873</v>
      </c>
      <c r="F223" t="s">
        <v>946</v>
      </c>
      <c r="G223" t="s">
        <v>7049</v>
      </c>
      <c r="H223" s="3">
        <f t="shared" si="7"/>
        <v>4000</v>
      </c>
      <c r="I223" s="3">
        <v>640</v>
      </c>
    </row>
    <row r="224" spans="1:12">
      <c r="A224" t="s">
        <v>3303</v>
      </c>
      <c r="B224" s="1">
        <v>41636</v>
      </c>
      <c r="C224" t="s">
        <v>6905</v>
      </c>
      <c r="D224">
        <v>1</v>
      </c>
      <c r="E224" t="s">
        <v>6873</v>
      </c>
      <c r="F224" s="81" t="s">
        <v>6991</v>
      </c>
      <c r="G224" s="81" t="s">
        <v>6873</v>
      </c>
      <c r="H224" s="3">
        <f t="shared" si="7"/>
        <v>4000</v>
      </c>
      <c r="I224" s="3">
        <v>640</v>
      </c>
    </row>
    <row r="225" spans="1:9">
      <c r="A225" t="s">
        <v>2740</v>
      </c>
      <c r="B225" s="1">
        <v>41621</v>
      </c>
      <c r="C225" t="s">
        <v>6833</v>
      </c>
      <c r="D225">
        <v>1</v>
      </c>
      <c r="E225" t="s">
        <v>2830</v>
      </c>
      <c r="F225" s="84" t="s">
        <v>2858</v>
      </c>
      <c r="G225" s="81" t="s">
        <v>2830</v>
      </c>
      <c r="H225" s="3">
        <f t="shared" si="7"/>
        <v>7175.8125000000009</v>
      </c>
      <c r="I225" s="3">
        <v>1148.1300000000001</v>
      </c>
    </row>
    <row r="226" spans="1:9">
      <c r="A226" t="s">
        <v>6447</v>
      </c>
      <c r="B226" s="1">
        <v>41635</v>
      </c>
      <c r="C226">
        <v>9439</v>
      </c>
      <c r="D226">
        <v>1</v>
      </c>
      <c r="E226" t="s">
        <v>584</v>
      </c>
      <c r="F226" s="81" t="s">
        <v>818</v>
      </c>
      <c r="G226" s="81" t="s">
        <v>584</v>
      </c>
      <c r="H226" s="3">
        <f t="shared" si="7"/>
        <v>552</v>
      </c>
      <c r="I226" s="3">
        <v>88.32</v>
      </c>
    </row>
    <row r="227" spans="1:9">
      <c r="A227" t="s">
        <v>6650</v>
      </c>
      <c r="B227" s="1">
        <v>41639</v>
      </c>
      <c r="C227">
        <v>9482</v>
      </c>
      <c r="D227">
        <v>1</v>
      </c>
      <c r="E227" t="s">
        <v>584</v>
      </c>
      <c r="F227" s="81" t="s">
        <v>818</v>
      </c>
      <c r="G227" s="81" t="s">
        <v>584</v>
      </c>
      <c r="H227" s="3">
        <f t="shared" si="7"/>
        <v>28.875</v>
      </c>
      <c r="I227" s="3">
        <v>4.62</v>
      </c>
    </row>
    <row r="228" spans="1:9">
      <c r="A228" t="s">
        <v>6668</v>
      </c>
      <c r="B228" s="1">
        <v>41639</v>
      </c>
      <c r="C228">
        <v>9502</v>
      </c>
      <c r="D228">
        <v>1</v>
      </c>
      <c r="E228" t="s">
        <v>584</v>
      </c>
      <c r="F228" s="81" t="s">
        <v>818</v>
      </c>
      <c r="G228" s="81" t="s">
        <v>584</v>
      </c>
      <c r="H228" s="3">
        <f t="shared" si="7"/>
        <v>82.5</v>
      </c>
      <c r="I228" s="3">
        <v>13.2</v>
      </c>
    </row>
    <row r="229" spans="1:9">
      <c r="A229" t="s">
        <v>6661</v>
      </c>
      <c r="B229" s="1">
        <v>41639</v>
      </c>
      <c r="C229">
        <v>9491</v>
      </c>
      <c r="D229">
        <v>1</v>
      </c>
      <c r="E229" t="s">
        <v>6662</v>
      </c>
      <c r="F229" s="81" t="s">
        <v>6992</v>
      </c>
      <c r="G229" s="81" t="s">
        <v>6662</v>
      </c>
      <c r="H229" s="3">
        <f t="shared" si="7"/>
        <v>29.749999999999996</v>
      </c>
      <c r="I229" s="3">
        <v>4.76</v>
      </c>
    </row>
    <row r="230" spans="1:9">
      <c r="A230" t="s">
        <v>5088</v>
      </c>
      <c r="B230" s="1">
        <v>41625</v>
      </c>
      <c r="C230" t="s">
        <v>6846</v>
      </c>
      <c r="D230">
        <v>1</v>
      </c>
      <c r="E230" t="s">
        <v>6847</v>
      </c>
      <c r="F230" s="84" t="s">
        <v>6993</v>
      </c>
      <c r="G230" s="81" t="s">
        <v>6847</v>
      </c>
      <c r="H230" s="3">
        <f t="shared" si="7"/>
        <v>287543.9375</v>
      </c>
      <c r="I230" s="3">
        <v>46007.03</v>
      </c>
    </row>
    <row r="231" spans="1:9">
      <c r="A231" t="s">
        <v>705</v>
      </c>
      <c r="B231" s="1">
        <v>41638</v>
      </c>
      <c r="C231" t="s">
        <v>6915</v>
      </c>
      <c r="D231">
        <v>1</v>
      </c>
      <c r="E231" t="s">
        <v>6847</v>
      </c>
      <c r="F231" s="81" t="s">
        <v>6993</v>
      </c>
      <c r="G231" s="81" t="s">
        <v>6847</v>
      </c>
      <c r="H231" s="3">
        <f t="shared" si="7"/>
        <v>11080.0625</v>
      </c>
      <c r="I231" s="3">
        <v>1772.81</v>
      </c>
    </row>
    <row r="232" spans="1:9">
      <c r="A232" t="s">
        <v>6627</v>
      </c>
      <c r="B232" s="1">
        <v>41639</v>
      </c>
      <c r="C232" t="s">
        <v>6628</v>
      </c>
      <c r="D232">
        <v>1</v>
      </c>
      <c r="E232" t="s">
        <v>2692</v>
      </c>
      <c r="F232" s="81" t="s">
        <v>2860</v>
      </c>
      <c r="G232" s="81" t="s">
        <v>2692</v>
      </c>
      <c r="H232" s="3">
        <f t="shared" si="7"/>
        <v>400</v>
      </c>
      <c r="I232" s="3">
        <v>64</v>
      </c>
    </row>
    <row r="233" spans="1:9">
      <c r="A233" t="s">
        <v>1071</v>
      </c>
      <c r="B233" s="1">
        <v>41617</v>
      </c>
      <c r="C233" t="s">
        <v>6819</v>
      </c>
      <c r="D233">
        <v>1</v>
      </c>
      <c r="E233" t="s">
        <v>49</v>
      </c>
      <c r="F233" s="81" t="s">
        <v>838</v>
      </c>
      <c r="G233" s="81" t="s">
        <v>49</v>
      </c>
      <c r="H233" s="3">
        <f t="shared" si="7"/>
        <v>50.875</v>
      </c>
      <c r="I233" s="3">
        <v>8.14</v>
      </c>
    </row>
    <row r="234" spans="1:9">
      <c r="A234" t="s">
        <v>6686</v>
      </c>
      <c r="B234" s="1">
        <v>41639</v>
      </c>
      <c r="C234">
        <v>9521</v>
      </c>
      <c r="D234">
        <v>1</v>
      </c>
      <c r="E234" t="s">
        <v>5490</v>
      </c>
      <c r="F234" s="81" t="s">
        <v>5770</v>
      </c>
      <c r="G234" s="81" t="s">
        <v>5490</v>
      </c>
      <c r="H234" s="3">
        <f t="shared" si="7"/>
        <v>301.75</v>
      </c>
      <c r="I234" s="3">
        <v>48.28</v>
      </c>
    </row>
    <row r="235" spans="1:9">
      <c r="A235" t="s">
        <v>84</v>
      </c>
      <c r="B235" s="1">
        <v>41617</v>
      </c>
      <c r="C235" t="s">
        <v>6812</v>
      </c>
      <c r="D235">
        <v>1</v>
      </c>
      <c r="E235" t="s">
        <v>229</v>
      </c>
      <c r="F235" s="81" t="s">
        <v>839</v>
      </c>
      <c r="G235" s="81" t="s">
        <v>229</v>
      </c>
      <c r="H235" s="3">
        <f t="shared" si="7"/>
        <v>1828.9999999999998</v>
      </c>
      <c r="I235" s="3">
        <v>292.64</v>
      </c>
    </row>
    <row r="236" spans="1:9">
      <c r="A236" t="s">
        <v>1235</v>
      </c>
      <c r="B236" s="1">
        <v>41631</v>
      </c>
      <c r="C236" t="s">
        <v>6878</v>
      </c>
      <c r="D236">
        <v>1</v>
      </c>
      <c r="E236" t="s">
        <v>229</v>
      </c>
      <c r="F236" s="81" t="s">
        <v>839</v>
      </c>
      <c r="G236" s="81" t="s">
        <v>229</v>
      </c>
      <c r="H236" s="3">
        <f t="shared" si="7"/>
        <v>650</v>
      </c>
      <c r="I236" s="3">
        <v>104</v>
      </c>
    </row>
    <row r="237" spans="1:9">
      <c r="A237" t="s">
        <v>2169</v>
      </c>
      <c r="B237" s="1">
        <v>41621</v>
      </c>
      <c r="C237" t="s">
        <v>6824</v>
      </c>
      <c r="D237">
        <v>1</v>
      </c>
      <c r="E237" t="s">
        <v>6229</v>
      </c>
      <c r="F237" s="81" t="s">
        <v>6297</v>
      </c>
      <c r="G237" s="81" t="s">
        <v>6229</v>
      </c>
      <c r="H237" s="3">
        <f t="shared" si="7"/>
        <v>4365</v>
      </c>
      <c r="I237" s="3">
        <v>698.4</v>
      </c>
    </row>
    <row r="238" spans="1:9">
      <c r="A238" t="s">
        <v>324</v>
      </c>
      <c r="B238" s="1">
        <v>41635</v>
      </c>
      <c r="C238" t="s">
        <v>6896</v>
      </c>
      <c r="D238">
        <v>1</v>
      </c>
      <c r="E238" t="s">
        <v>6229</v>
      </c>
      <c r="F238" s="87" t="s">
        <v>6297</v>
      </c>
      <c r="G238" s="81" t="s">
        <v>6229</v>
      </c>
      <c r="H238" s="3">
        <f t="shared" si="7"/>
        <v>1957.5</v>
      </c>
      <c r="I238" s="3">
        <v>313.2</v>
      </c>
    </row>
    <row r="239" spans="1:9">
      <c r="A239" t="s">
        <v>2209</v>
      </c>
      <c r="B239" s="1">
        <v>41634</v>
      </c>
      <c r="C239" t="s">
        <v>6888</v>
      </c>
      <c r="D239">
        <v>1</v>
      </c>
      <c r="E239" t="s">
        <v>287</v>
      </c>
      <c r="F239" s="84" t="s">
        <v>846</v>
      </c>
      <c r="G239" s="81" t="s">
        <v>287</v>
      </c>
      <c r="H239" s="3">
        <f t="shared" si="7"/>
        <v>445.875</v>
      </c>
      <c r="I239" s="3">
        <v>71.34</v>
      </c>
    </row>
    <row r="240" spans="1:9">
      <c r="A240" t="s">
        <v>3520</v>
      </c>
      <c r="B240" s="1">
        <v>41635</v>
      </c>
      <c r="C240">
        <v>9455</v>
      </c>
      <c r="D240">
        <v>1</v>
      </c>
      <c r="E240" t="s">
        <v>4570</v>
      </c>
      <c r="F240" s="81" t="s">
        <v>847</v>
      </c>
      <c r="G240" s="81" t="s">
        <v>4570</v>
      </c>
      <c r="H240" s="3">
        <f t="shared" si="7"/>
        <v>124.625</v>
      </c>
      <c r="I240" s="3">
        <v>19.940000000000001</v>
      </c>
    </row>
    <row r="241" spans="1:9">
      <c r="A241" t="s">
        <v>6609</v>
      </c>
      <c r="B241" s="1">
        <v>41639</v>
      </c>
      <c r="C241">
        <v>9472</v>
      </c>
      <c r="D241">
        <v>1</v>
      </c>
      <c r="E241" t="s">
        <v>4570</v>
      </c>
      <c r="F241" s="81" t="s">
        <v>847</v>
      </c>
      <c r="G241" s="81" t="s">
        <v>4570</v>
      </c>
      <c r="H241" s="3">
        <f t="shared" si="7"/>
        <v>245.6875</v>
      </c>
      <c r="I241" s="3">
        <v>39.31</v>
      </c>
    </row>
    <row r="242" spans="1:9">
      <c r="A242" t="s">
        <v>6657</v>
      </c>
      <c r="B242" s="1">
        <v>41639</v>
      </c>
      <c r="C242">
        <v>9489</v>
      </c>
      <c r="D242">
        <v>1</v>
      </c>
      <c r="E242" t="s">
        <v>6658</v>
      </c>
      <c r="F242" s="81" t="s">
        <v>847</v>
      </c>
      <c r="G242" s="81" t="s">
        <v>6658</v>
      </c>
      <c r="H242" s="3">
        <f t="shared" si="7"/>
        <v>282</v>
      </c>
      <c r="I242" s="3">
        <v>45.12</v>
      </c>
    </row>
    <row r="243" spans="1:9">
      <c r="A243" t="s">
        <v>6678</v>
      </c>
      <c r="B243" s="1">
        <v>41639</v>
      </c>
      <c r="C243">
        <v>9514</v>
      </c>
      <c r="D243">
        <v>1</v>
      </c>
      <c r="E243" t="s">
        <v>6658</v>
      </c>
      <c r="F243" s="81" t="s">
        <v>847</v>
      </c>
      <c r="G243" s="81" t="s">
        <v>6658</v>
      </c>
      <c r="H243" s="3">
        <f t="shared" si="7"/>
        <v>42.9375</v>
      </c>
      <c r="I243" s="3">
        <v>6.87</v>
      </c>
    </row>
    <row r="244" spans="1:9">
      <c r="A244" t="s">
        <v>2774</v>
      </c>
      <c r="B244" s="1">
        <v>41631</v>
      </c>
      <c r="C244" t="s">
        <v>6868</v>
      </c>
      <c r="D244">
        <v>2</v>
      </c>
      <c r="E244" t="s">
        <v>127</v>
      </c>
      <c r="F244" s="81" t="s">
        <v>849</v>
      </c>
      <c r="G244" s="81" t="s">
        <v>127</v>
      </c>
      <c r="H244" s="3">
        <f t="shared" si="7"/>
        <v>1100</v>
      </c>
      <c r="I244" s="3">
        <v>176</v>
      </c>
    </row>
    <row r="245" spans="1:9">
      <c r="A245" t="s">
        <v>87</v>
      </c>
      <c r="B245" s="1">
        <v>41617</v>
      </c>
      <c r="C245" t="s">
        <v>6813</v>
      </c>
      <c r="D245">
        <v>1</v>
      </c>
      <c r="E245" t="s">
        <v>86</v>
      </c>
      <c r="F245" s="81" t="s">
        <v>851</v>
      </c>
      <c r="G245" s="81" t="s">
        <v>86</v>
      </c>
      <c r="H245" s="3">
        <f t="shared" si="7"/>
        <v>1018.375</v>
      </c>
      <c r="I245" s="3">
        <v>162.94</v>
      </c>
    </row>
    <row r="246" spans="1:9">
      <c r="A246" t="s">
        <v>1197</v>
      </c>
      <c r="B246" s="1">
        <v>41638</v>
      </c>
      <c r="C246" t="s">
        <v>6911</v>
      </c>
      <c r="D246">
        <v>1</v>
      </c>
      <c r="E246" t="s">
        <v>86</v>
      </c>
      <c r="F246" s="81" t="s">
        <v>851</v>
      </c>
      <c r="G246" s="81" t="s">
        <v>86</v>
      </c>
      <c r="H246" s="3">
        <f t="shared" si="7"/>
        <v>1217</v>
      </c>
      <c r="I246" s="3">
        <v>194.72</v>
      </c>
    </row>
    <row r="247" spans="1:9">
      <c r="A247" t="s">
        <v>2842</v>
      </c>
      <c r="B247" s="1">
        <v>41639</v>
      </c>
      <c r="C247" t="s">
        <v>6926</v>
      </c>
      <c r="D247">
        <v>1</v>
      </c>
      <c r="E247" t="s">
        <v>86</v>
      </c>
      <c r="F247" s="81" t="s">
        <v>851</v>
      </c>
      <c r="G247" s="81" t="s">
        <v>86</v>
      </c>
      <c r="H247" s="3">
        <f t="shared" si="7"/>
        <v>1375.8125</v>
      </c>
      <c r="I247" s="3">
        <v>220.13</v>
      </c>
    </row>
    <row r="248" spans="1:9">
      <c r="A248" t="s">
        <v>3988</v>
      </c>
      <c r="B248" s="1">
        <v>41635</v>
      </c>
      <c r="C248">
        <v>9454</v>
      </c>
      <c r="D248">
        <v>1</v>
      </c>
      <c r="E248" t="s">
        <v>6456</v>
      </c>
      <c r="F248" t="s">
        <v>929</v>
      </c>
      <c r="G248" t="s">
        <v>6456</v>
      </c>
      <c r="H248" s="3">
        <f t="shared" si="7"/>
        <v>41.8125</v>
      </c>
      <c r="I248" s="3">
        <v>6.69</v>
      </c>
    </row>
    <row r="249" spans="1:9">
      <c r="A249" t="s">
        <v>6694</v>
      </c>
      <c r="B249" s="1">
        <v>41639</v>
      </c>
      <c r="C249" t="s">
        <v>6695</v>
      </c>
      <c r="D249">
        <v>1</v>
      </c>
      <c r="E249" t="s">
        <v>1893</v>
      </c>
      <c r="F249" s="87" t="s">
        <v>856</v>
      </c>
      <c r="G249" s="81" t="s">
        <v>857</v>
      </c>
      <c r="H249" s="3">
        <f t="shared" si="7"/>
        <v>216185.75</v>
      </c>
      <c r="I249" s="3">
        <v>34589.72</v>
      </c>
    </row>
    <row r="250" spans="1:9">
      <c r="A250" t="s">
        <v>6500</v>
      </c>
      <c r="B250" s="1">
        <v>41639</v>
      </c>
      <c r="C250" t="s">
        <v>6501</v>
      </c>
      <c r="D250">
        <v>1</v>
      </c>
      <c r="E250" t="s">
        <v>6502</v>
      </c>
      <c r="F250" s="41" t="s">
        <v>856</v>
      </c>
      <c r="G250" s="33" t="s">
        <v>857</v>
      </c>
      <c r="H250" s="3">
        <f t="shared" si="7"/>
        <v>323465.75</v>
      </c>
      <c r="I250" s="3">
        <v>51754.52</v>
      </c>
    </row>
    <row r="251" spans="1:9">
      <c r="A251" t="s">
        <v>208</v>
      </c>
      <c r="B251" s="1">
        <v>41626</v>
      </c>
      <c r="C251" t="s">
        <v>6859</v>
      </c>
      <c r="D251">
        <v>2</v>
      </c>
      <c r="E251" t="s">
        <v>121</v>
      </c>
      <c r="F251" s="84" t="s">
        <v>858</v>
      </c>
      <c r="G251" s="81" t="s">
        <v>121</v>
      </c>
      <c r="H251" s="3">
        <f t="shared" si="7"/>
        <v>1400</v>
      </c>
      <c r="I251" s="3">
        <v>224</v>
      </c>
    </row>
    <row r="252" spans="1:9">
      <c r="A252" t="s">
        <v>1134</v>
      </c>
      <c r="B252" s="1">
        <v>41625</v>
      </c>
      <c r="C252" t="s">
        <v>6848</v>
      </c>
      <c r="D252">
        <v>1</v>
      </c>
      <c r="E252" t="s">
        <v>2750</v>
      </c>
      <c r="F252" s="84" t="s">
        <v>2861</v>
      </c>
      <c r="G252" s="81" t="s">
        <v>2750</v>
      </c>
      <c r="H252" s="3">
        <f t="shared" si="7"/>
        <v>6000</v>
      </c>
      <c r="I252" s="3">
        <v>960</v>
      </c>
    </row>
    <row r="253" spans="1:9">
      <c r="A253" t="s">
        <v>6448</v>
      </c>
      <c r="B253" s="1">
        <v>41635</v>
      </c>
      <c r="C253">
        <v>9442</v>
      </c>
      <c r="D253">
        <v>1</v>
      </c>
      <c r="E253" t="s">
        <v>6449</v>
      </c>
      <c r="F253" s="81" t="s">
        <v>6994</v>
      </c>
      <c r="G253" s="81" t="s">
        <v>6449</v>
      </c>
      <c r="H253" s="3">
        <f t="shared" si="7"/>
        <v>603</v>
      </c>
      <c r="I253" s="3">
        <v>96.48</v>
      </c>
    </row>
    <row r="254" spans="1:9">
      <c r="A254" t="s">
        <v>6673</v>
      </c>
      <c r="B254" s="1">
        <v>41639</v>
      </c>
      <c r="C254">
        <v>9507</v>
      </c>
      <c r="D254">
        <v>1</v>
      </c>
      <c r="E254" t="s">
        <v>6674</v>
      </c>
      <c r="F254" s="81" t="s">
        <v>6995</v>
      </c>
      <c r="G254" s="81" t="s">
        <v>6674</v>
      </c>
      <c r="H254" s="3">
        <f t="shared" si="7"/>
        <v>100.875</v>
      </c>
      <c r="I254" s="3">
        <v>16.14</v>
      </c>
    </row>
    <row r="255" spans="1:9">
      <c r="A255" t="s">
        <v>6675</v>
      </c>
      <c r="B255" s="1">
        <v>41639</v>
      </c>
      <c r="C255">
        <v>9508</v>
      </c>
      <c r="D255">
        <v>1</v>
      </c>
      <c r="E255" t="s">
        <v>6674</v>
      </c>
      <c r="F255" s="81" t="s">
        <v>6995</v>
      </c>
      <c r="G255" s="81" t="s">
        <v>6674</v>
      </c>
      <c r="H255" s="3">
        <f t="shared" si="7"/>
        <v>39.5625</v>
      </c>
      <c r="I255" s="3">
        <v>6.33</v>
      </c>
    </row>
    <row r="256" spans="1:9">
      <c r="A256" t="s">
        <v>6746</v>
      </c>
      <c r="B256" s="1">
        <v>41639</v>
      </c>
      <c r="C256">
        <v>9531</v>
      </c>
      <c r="D256">
        <v>1</v>
      </c>
      <c r="E256" t="s">
        <v>5459</v>
      </c>
      <c r="F256" s="81" t="s">
        <v>5772</v>
      </c>
      <c r="G256" s="81" t="s">
        <v>5459</v>
      </c>
      <c r="H256" s="3">
        <f t="shared" si="7"/>
        <v>265.8125</v>
      </c>
      <c r="I256" s="3">
        <v>42.53</v>
      </c>
    </row>
    <row r="257" spans="1:9">
      <c r="A257" t="s">
        <v>1118</v>
      </c>
      <c r="B257" s="1">
        <v>41624</v>
      </c>
      <c r="C257" t="s">
        <v>6837</v>
      </c>
      <c r="D257">
        <v>1</v>
      </c>
      <c r="E257" t="s">
        <v>174</v>
      </c>
      <c r="F257" s="84" t="s">
        <v>859</v>
      </c>
      <c r="G257" s="81" t="s">
        <v>174</v>
      </c>
      <c r="H257" s="3">
        <f t="shared" si="7"/>
        <v>10157.5625</v>
      </c>
      <c r="I257" s="3">
        <v>1625.21</v>
      </c>
    </row>
    <row r="258" spans="1:9">
      <c r="A258" t="s">
        <v>701</v>
      </c>
      <c r="B258" s="1">
        <v>41638</v>
      </c>
      <c r="C258" t="s">
        <v>6914</v>
      </c>
      <c r="D258">
        <v>1</v>
      </c>
      <c r="E258" t="s">
        <v>174</v>
      </c>
      <c r="F258" s="81" t="s">
        <v>859</v>
      </c>
      <c r="G258" s="81" t="s">
        <v>174</v>
      </c>
      <c r="H258" s="3">
        <f t="shared" si="7"/>
        <v>1484.0625</v>
      </c>
      <c r="I258" s="3">
        <v>237.45</v>
      </c>
    </row>
    <row r="259" spans="1:9">
      <c r="A259" t="s">
        <v>709</v>
      </c>
      <c r="B259" s="1">
        <v>41638</v>
      </c>
      <c r="C259" t="s">
        <v>6917</v>
      </c>
      <c r="D259">
        <v>1</v>
      </c>
      <c r="E259" t="s">
        <v>174</v>
      </c>
      <c r="F259" s="81" t="s">
        <v>859</v>
      </c>
      <c r="G259" s="81" t="s">
        <v>174</v>
      </c>
      <c r="H259" s="3">
        <f t="shared" si="7"/>
        <v>5338.5</v>
      </c>
      <c r="I259" s="3">
        <v>854.16</v>
      </c>
    </row>
    <row r="260" spans="1:9">
      <c r="A260" t="s">
        <v>6385</v>
      </c>
      <c r="B260" s="1">
        <v>41620</v>
      </c>
      <c r="C260" t="s">
        <v>6386</v>
      </c>
      <c r="D260">
        <v>1</v>
      </c>
      <c r="E260" t="s">
        <v>6387</v>
      </c>
      <c r="F260" s="88" t="s">
        <v>1626</v>
      </c>
      <c r="G260" s="81" t="s">
        <v>1627</v>
      </c>
      <c r="H260" s="3">
        <f t="shared" si="7"/>
        <v>224993.125</v>
      </c>
      <c r="I260" s="3">
        <v>35998.9</v>
      </c>
    </row>
    <row r="261" spans="1:9">
      <c r="A261" t="s">
        <v>6443</v>
      </c>
      <c r="B261" s="1">
        <v>41634</v>
      </c>
      <c r="C261" t="s">
        <v>6444</v>
      </c>
      <c r="D261">
        <v>1</v>
      </c>
      <c r="E261" t="s">
        <v>6445</v>
      </c>
      <c r="F261" s="84" t="s">
        <v>6299</v>
      </c>
      <c r="G261" s="81" t="s">
        <v>6445</v>
      </c>
      <c r="H261" s="3">
        <f t="shared" si="7"/>
        <v>169608.1875</v>
      </c>
      <c r="I261" s="3">
        <v>27137.31</v>
      </c>
    </row>
    <row r="262" spans="1:9">
      <c r="A262" t="s">
        <v>1063</v>
      </c>
      <c r="B262" s="1">
        <v>41617</v>
      </c>
      <c r="C262" t="s">
        <v>6816</v>
      </c>
      <c r="D262">
        <v>1</v>
      </c>
      <c r="E262" t="s">
        <v>5114</v>
      </c>
      <c r="F262" s="81" t="s">
        <v>5191</v>
      </c>
      <c r="G262" s="81" t="s">
        <v>5114</v>
      </c>
      <c r="H262" s="3">
        <f t="shared" si="7"/>
        <v>1250</v>
      </c>
      <c r="I262" s="3">
        <v>200</v>
      </c>
    </row>
    <row r="263" spans="1:9">
      <c r="A263" t="s">
        <v>271</v>
      </c>
      <c r="B263" s="1">
        <v>41639</v>
      </c>
      <c r="C263" t="s">
        <v>6927</v>
      </c>
      <c r="D263">
        <v>1</v>
      </c>
      <c r="E263" t="s">
        <v>5114</v>
      </c>
      <c r="F263" s="81" t="s">
        <v>5191</v>
      </c>
      <c r="G263" s="81" t="s">
        <v>5114</v>
      </c>
      <c r="H263" s="3">
        <f t="shared" si="7"/>
        <v>649</v>
      </c>
      <c r="I263" s="3">
        <v>103.84</v>
      </c>
    </row>
    <row r="264" spans="1:9">
      <c r="A264" t="s">
        <v>5671</v>
      </c>
      <c r="B264" s="1">
        <v>41639</v>
      </c>
      <c r="C264" t="s">
        <v>6934</v>
      </c>
      <c r="D264">
        <v>2</v>
      </c>
      <c r="E264" t="s">
        <v>158</v>
      </c>
      <c r="F264" s="81" t="s">
        <v>865</v>
      </c>
      <c r="G264" s="81" t="s">
        <v>158</v>
      </c>
      <c r="H264" s="3">
        <f t="shared" si="7"/>
        <v>2039.9999999999998</v>
      </c>
      <c r="I264" s="3">
        <v>326.39999999999998</v>
      </c>
    </row>
    <row r="265" spans="1:9">
      <c r="A265" t="s">
        <v>3518</v>
      </c>
      <c r="B265" s="1">
        <v>41635</v>
      </c>
      <c r="C265">
        <v>9453</v>
      </c>
      <c r="D265">
        <v>1</v>
      </c>
      <c r="E265" t="s">
        <v>1455</v>
      </c>
      <c r="F265" s="81" t="s">
        <v>869</v>
      </c>
      <c r="G265" s="81" t="s">
        <v>1455</v>
      </c>
      <c r="H265" s="3">
        <f t="shared" si="7"/>
        <v>113.6875</v>
      </c>
      <c r="I265" s="3">
        <v>18.190000000000001</v>
      </c>
    </row>
    <row r="266" spans="1:9">
      <c r="A266" t="s">
        <v>1145</v>
      </c>
      <c r="B266" s="1">
        <v>41625</v>
      </c>
      <c r="C266" t="s">
        <v>6851</v>
      </c>
      <c r="D266">
        <v>1</v>
      </c>
      <c r="E266" t="s">
        <v>2142</v>
      </c>
      <c r="F266" s="84" t="s">
        <v>869</v>
      </c>
      <c r="G266" s="81" t="s">
        <v>2142</v>
      </c>
      <c r="H266" s="3">
        <f t="shared" si="7"/>
        <v>3947.625</v>
      </c>
      <c r="I266" s="3">
        <v>631.62</v>
      </c>
    </row>
    <row r="267" spans="1:9">
      <c r="A267" t="s">
        <v>6611</v>
      </c>
      <c r="B267" s="1">
        <v>41639</v>
      </c>
      <c r="C267" t="s">
        <v>6612</v>
      </c>
      <c r="D267">
        <v>1</v>
      </c>
      <c r="E267" t="s">
        <v>5026</v>
      </c>
      <c r="F267" s="81" t="s">
        <v>1601</v>
      </c>
      <c r="G267" s="81" t="s">
        <v>6300</v>
      </c>
      <c r="H267" s="3">
        <f t="shared" si="7"/>
        <v>1331.875</v>
      </c>
      <c r="I267" s="3">
        <v>213.1</v>
      </c>
    </row>
    <row r="268" spans="1:9">
      <c r="A268" t="s">
        <v>6613</v>
      </c>
      <c r="B268" s="1">
        <v>41639</v>
      </c>
      <c r="C268" t="s">
        <v>6614</v>
      </c>
      <c r="D268">
        <v>1</v>
      </c>
      <c r="E268" t="s">
        <v>5026</v>
      </c>
      <c r="F268" s="81" t="s">
        <v>1601</v>
      </c>
      <c r="G268" s="81" t="s">
        <v>6300</v>
      </c>
      <c r="H268" s="3">
        <f t="shared" si="7"/>
        <v>1375</v>
      </c>
      <c r="I268" s="3">
        <v>220</v>
      </c>
    </row>
    <row r="269" spans="1:9">
      <c r="A269" t="s">
        <v>6615</v>
      </c>
      <c r="B269" s="1">
        <v>41639</v>
      </c>
      <c r="C269" t="s">
        <v>6616</v>
      </c>
      <c r="D269">
        <v>1</v>
      </c>
      <c r="E269" t="s">
        <v>5026</v>
      </c>
      <c r="F269" s="81" t="s">
        <v>1601</v>
      </c>
      <c r="G269" s="81" t="s">
        <v>6300</v>
      </c>
      <c r="H269" s="3">
        <f t="shared" si="7"/>
        <v>344.8125</v>
      </c>
      <c r="I269" s="3">
        <v>55.17</v>
      </c>
    </row>
    <row r="270" spans="1:9">
      <c r="A270" t="s">
        <v>6617</v>
      </c>
      <c r="B270" s="1">
        <v>41639</v>
      </c>
      <c r="C270" t="s">
        <v>6618</v>
      </c>
      <c r="D270">
        <v>1</v>
      </c>
      <c r="E270" t="s">
        <v>5026</v>
      </c>
      <c r="F270" s="81" t="s">
        <v>1601</v>
      </c>
      <c r="G270" s="81" t="s">
        <v>6300</v>
      </c>
      <c r="H270" s="3">
        <f t="shared" si="7"/>
        <v>931.0625</v>
      </c>
      <c r="I270" s="3">
        <v>148.97</v>
      </c>
    </row>
    <row r="271" spans="1:9">
      <c r="A271" t="s">
        <v>6619</v>
      </c>
      <c r="B271" s="1">
        <v>41639</v>
      </c>
      <c r="C271" t="s">
        <v>6620</v>
      </c>
      <c r="D271">
        <v>1</v>
      </c>
      <c r="E271" t="s">
        <v>5026</v>
      </c>
      <c r="F271" s="81" t="s">
        <v>1601</v>
      </c>
      <c r="G271" s="81" t="s">
        <v>6300</v>
      </c>
      <c r="H271" s="3">
        <f t="shared" si="7"/>
        <v>1331.875</v>
      </c>
      <c r="I271" s="3">
        <v>213.1</v>
      </c>
    </row>
    <row r="272" spans="1:9">
      <c r="A272" t="s">
        <v>6629</v>
      </c>
      <c r="B272" s="1">
        <v>41639</v>
      </c>
      <c r="C272" t="s">
        <v>6630</v>
      </c>
      <c r="D272">
        <v>1</v>
      </c>
      <c r="E272" t="s">
        <v>5026</v>
      </c>
      <c r="F272" s="81" t="s">
        <v>1601</v>
      </c>
      <c r="G272" s="81" t="s">
        <v>6300</v>
      </c>
      <c r="H272" s="3">
        <f t="shared" si="7"/>
        <v>775.8125</v>
      </c>
      <c r="I272" s="3">
        <v>124.13</v>
      </c>
    </row>
    <row r="273" spans="1:11">
      <c r="A273" t="s">
        <v>6642</v>
      </c>
      <c r="B273" s="1">
        <v>41639</v>
      </c>
      <c r="C273" t="s">
        <v>6643</v>
      </c>
      <c r="D273">
        <v>1</v>
      </c>
      <c r="E273" t="s">
        <v>5026</v>
      </c>
      <c r="F273" s="81" t="s">
        <v>1601</v>
      </c>
      <c r="G273" s="81" t="s">
        <v>6300</v>
      </c>
      <c r="H273" s="3">
        <f t="shared" si="7"/>
        <v>163.75</v>
      </c>
      <c r="I273" s="3">
        <v>26.2</v>
      </c>
    </row>
    <row r="274" spans="1:11">
      <c r="A274" t="s">
        <v>6644</v>
      </c>
      <c r="B274" s="1">
        <v>41639</v>
      </c>
      <c r="C274" t="s">
        <v>6645</v>
      </c>
      <c r="D274">
        <v>1</v>
      </c>
      <c r="E274" t="s">
        <v>5026</v>
      </c>
      <c r="F274" s="81" t="s">
        <v>1601</v>
      </c>
      <c r="G274" s="81" t="s">
        <v>6300</v>
      </c>
      <c r="H274" s="3">
        <f t="shared" si="7"/>
        <v>1159.4375</v>
      </c>
      <c r="I274" s="3">
        <v>185.51</v>
      </c>
    </row>
    <row r="275" spans="1:11">
      <c r="A275" t="s">
        <v>6653</v>
      </c>
      <c r="B275" s="1">
        <v>41639</v>
      </c>
      <c r="C275">
        <v>9484</v>
      </c>
      <c r="D275">
        <v>1</v>
      </c>
      <c r="E275" t="s">
        <v>5026</v>
      </c>
      <c r="F275" s="81" t="s">
        <v>1601</v>
      </c>
      <c r="G275" s="81" t="s">
        <v>6300</v>
      </c>
      <c r="H275" s="3">
        <f t="shared" si="7"/>
        <v>61.187499999999993</v>
      </c>
      <c r="I275" s="3">
        <v>9.7899999999999991</v>
      </c>
    </row>
    <row r="276" spans="1:11">
      <c r="A276" t="s">
        <v>81</v>
      </c>
      <c r="B276" s="1">
        <v>41617</v>
      </c>
      <c r="C276" t="s">
        <v>6811</v>
      </c>
      <c r="D276">
        <v>2</v>
      </c>
      <c r="E276" t="s">
        <v>94</v>
      </c>
      <c r="F276" s="81" t="s">
        <v>868</v>
      </c>
      <c r="G276" s="81" t="s">
        <v>94</v>
      </c>
      <c r="H276" s="3">
        <f t="shared" si="7"/>
        <v>6300</v>
      </c>
      <c r="I276" s="3">
        <v>1008</v>
      </c>
      <c r="J276" s="46"/>
      <c r="K276" s="46"/>
    </row>
    <row r="277" spans="1:11">
      <c r="A277" t="s">
        <v>1240</v>
      </c>
      <c r="B277" s="1">
        <v>41631</v>
      </c>
      <c r="C277" t="s">
        <v>6880</v>
      </c>
      <c r="D277">
        <v>2</v>
      </c>
      <c r="E277" t="s">
        <v>94</v>
      </c>
      <c r="F277" s="81" t="s">
        <v>868</v>
      </c>
      <c r="G277" s="81" t="s">
        <v>94</v>
      </c>
      <c r="H277" s="3">
        <f t="shared" si="7"/>
        <v>22100</v>
      </c>
      <c r="I277" s="3">
        <v>3536</v>
      </c>
      <c r="J277" s="46"/>
      <c r="K277" s="46"/>
    </row>
    <row r="278" spans="1:11">
      <c r="A278" t="s">
        <v>294</v>
      </c>
      <c r="B278" s="1">
        <v>41631</v>
      </c>
      <c r="C278" t="s">
        <v>6886</v>
      </c>
      <c r="D278">
        <v>2</v>
      </c>
      <c r="E278" t="s">
        <v>94</v>
      </c>
      <c r="F278" s="81" t="s">
        <v>868</v>
      </c>
      <c r="G278" s="81" t="s">
        <v>94</v>
      </c>
      <c r="H278" s="3">
        <f t="shared" si="7"/>
        <v>17500</v>
      </c>
      <c r="I278" s="3">
        <v>2800</v>
      </c>
      <c r="J278" s="46"/>
      <c r="K278" s="46"/>
    </row>
    <row r="279" spans="1:11">
      <c r="A279" t="s">
        <v>393</v>
      </c>
      <c r="B279" s="1">
        <v>41638</v>
      </c>
      <c r="C279" t="s">
        <v>6908</v>
      </c>
      <c r="D279">
        <v>2</v>
      </c>
      <c r="E279" t="s">
        <v>94</v>
      </c>
      <c r="F279" s="81" t="s">
        <v>868</v>
      </c>
      <c r="G279" s="81" t="s">
        <v>94</v>
      </c>
      <c r="H279" s="3">
        <f t="shared" ref="H279:H342" si="8">+I279/0.16</f>
        <v>6500</v>
      </c>
      <c r="I279" s="3">
        <v>1040</v>
      </c>
      <c r="J279" s="46"/>
      <c r="K279" s="46"/>
    </row>
    <row r="280" spans="1:11">
      <c r="A280" t="s">
        <v>5666</v>
      </c>
      <c r="B280" s="1">
        <v>41639</v>
      </c>
      <c r="C280" t="s">
        <v>6931</v>
      </c>
      <c r="D280">
        <v>2</v>
      </c>
      <c r="E280" t="s">
        <v>94</v>
      </c>
      <c r="F280" s="81" t="s">
        <v>868</v>
      </c>
      <c r="G280" s="81" t="s">
        <v>94</v>
      </c>
      <c r="H280" s="3">
        <f t="shared" si="8"/>
        <v>22500</v>
      </c>
      <c r="I280" s="3">
        <v>3600</v>
      </c>
      <c r="J280" s="46"/>
      <c r="K280" s="46"/>
    </row>
    <row r="281" spans="1:11">
      <c r="A281" t="s">
        <v>6688</v>
      </c>
      <c r="B281" s="1">
        <v>41639</v>
      </c>
      <c r="C281">
        <v>9523</v>
      </c>
      <c r="D281">
        <v>1</v>
      </c>
      <c r="E281" t="s">
        <v>6689</v>
      </c>
      <c r="F281" s="81" t="s">
        <v>6996</v>
      </c>
      <c r="G281" s="81" t="s">
        <v>6689</v>
      </c>
      <c r="H281" s="3">
        <f t="shared" si="8"/>
        <v>68.9375</v>
      </c>
      <c r="I281" s="3">
        <v>11.03</v>
      </c>
    </row>
    <row r="282" spans="1:11">
      <c r="A282" t="s">
        <v>6411</v>
      </c>
      <c r="B282" s="1">
        <v>41627</v>
      </c>
      <c r="C282" t="s">
        <v>6412</v>
      </c>
      <c r="D282">
        <v>1</v>
      </c>
      <c r="E282" t="s">
        <v>6413</v>
      </c>
      <c r="F282" s="81" t="s">
        <v>4363</v>
      </c>
      <c r="G282" s="81" t="s">
        <v>3843</v>
      </c>
      <c r="H282" s="3">
        <f t="shared" si="8"/>
        <v>297961.625</v>
      </c>
      <c r="I282" s="3">
        <v>47673.86</v>
      </c>
    </row>
    <row r="283" spans="1:11">
      <c r="A283" t="s">
        <v>533</v>
      </c>
      <c r="B283" s="1">
        <v>41638</v>
      </c>
      <c r="C283" t="s">
        <v>6480</v>
      </c>
      <c r="D283">
        <v>1</v>
      </c>
      <c r="E283" t="s">
        <v>6481</v>
      </c>
      <c r="F283" s="81" t="s">
        <v>4363</v>
      </c>
      <c r="G283" s="81" t="s">
        <v>6481</v>
      </c>
      <c r="H283" s="3">
        <f t="shared" si="8"/>
        <v>217444.0625</v>
      </c>
      <c r="I283" s="3">
        <v>34791.050000000003</v>
      </c>
    </row>
    <row r="284" spans="1:11">
      <c r="A284" t="s">
        <v>1232</v>
      </c>
      <c r="B284" s="1">
        <v>41631</v>
      </c>
      <c r="C284" t="s">
        <v>6876</v>
      </c>
      <c r="D284">
        <v>1</v>
      </c>
      <c r="E284" t="s">
        <v>71</v>
      </c>
      <c r="F284" s="28" t="s">
        <v>943</v>
      </c>
      <c r="G284" s="28" t="s">
        <v>3761</v>
      </c>
      <c r="H284" s="3">
        <f t="shared" si="8"/>
        <v>253.62499999999997</v>
      </c>
      <c r="I284" s="3">
        <v>40.58</v>
      </c>
    </row>
    <row r="285" spans="1:11">
      <c r="A285" t="s">
        <v>3330</v>
      </c>
      <c r="B285" s="1">
        <v>41639</v>
      </c>
      <c r="C285" t="s">
        <v>6928</v>
      </c>
      <c r="D285">
        <v>1</v>
      </c>
      <c r="E285" t="s">
        <v>71</v>
      </c>
      <c r="F285" s="28" t="s">
        <v>943</v>
      </c>
      <c r="G285" s="28" t="s">
        <v>71</v>
      </c>
      <c r="H285" s="3">
        <f t="shared" si="8"/>
        <v>84.25</v>
      </c>
      <c r="I285" s="3">
        <v>13.48</v>
      </c>
    </row>
    <row r="286" spans="1:11">
      <c r="A286" t="s">
        <v>1129</v>
      </c>
      <c r="B286" s="1">
        <v>41624</v>
      </c>
      <c r="C286" t="s">
        <v>6842</v>
      </c>
      <c r="D286">
        <v>1</v>
      </c>
      <c r="E286" t="s">
        <v>306</v>
      </c>
      <c r="F286" s="84" t="s">
        <v>876</v>
      </c>
      <c r="G286" s="81" t="s">
        <v>306</v>
      </c>
      <c r="H286" s="3">
        <f t="shared" si="8"/>
        <v>33383.6875</v>
      </c>
      <c r="I286" s="3">
        <v>5341.39</v>
      </c>
    </row>
    <row r="287" spans="1:11">
      <c r="A287" t="s">
        <v>78</v>
      </c>
      <c r="B287" s="1">
        <v>41617</v>
      </c>
      <c r="C287" t="s">
        <v>6810</v>
      </c>
      <c r="D287">
        <v>1</v>
      </c>
      <c r="E287" t="s">
        <v>223</v>
      </c>
      <c r="F287" s="28" t="s">
        <v>877</v>
      </c>
      <c r="G287" s="28" t="s">
        <v>223</v>
      </c>
      <c r="H287" s="3">
        <f t="shared" si="8"/>
        <v>12704.6875</v>
      </c>
      <c r="I287" s="3">
        <v>2032.75</v>
      </c>
    </row>
    <row r="288" spans="1:11">
      <c r="A288" t="s">
        <v>6246</v>
      </c>
      <c r="B288" s="1">
        <v>41639</v>
      </c>
      <c r="C288" t="s">
        <v>6935</v>
      </c>
      <c r="D288">
        <v>1</v>
      </c>
      <c r="E288" t="s">
        <v>6936</v>
      </c>
      <c r="F288" s="81" t="s">
        <v>6997</v>
      </c>
      <c r="G288" s="81" t="s">
        <v>6936</v>
      </c>
      <c r="H288" s="3">
        <f t="shared" si="8"/>
        <v>5172.4375</v>
      </c>
      <c r="I288" s="3">
        <v>827.59</v>
      </c>
    </row>
    <row r="289" spans="1:11">
      <c r="A289" t="s">
        <v>6247</v>
      </c>
      <c r="B289" s="1">
        <v>41639</v>
      </c>
      <c r="C289" t="s">
        <v>6937</v>
      </c>
      <c r="D289">
        <v>1</v>
      </c>
      <c r="E289" t="s">
        <v>6936</v>
      </c>
      <c r="F289" s="81" t="s">
        <v>6997</v>
      </c>
      <c r="G289" s="81" t="s">
        <v>6936</v>
      </c>
      <c r="H289" s="3">
        <f t="shared" si="8"/>
        <v>5172.4375</v>
      </c>
      <c r="I289" s="3">
        <v>827.59</v>
      </c>
    </row>
    <row r="290" spans="1:11">
      <c r="A290" t="s">
        <v>203</v>
      </c>
      <c r="B290" s="1">
        <v>41626</v>
      </c>
      <c r="C290" t="s">
        <v>6856</v>
      </c>
      <c r="D290">
        <v>1</v>
      </c>
      <c r="E290" t="s">
        <v>968</v>
      </c>
      <c r="F290" s="32" t="s">
        <v>1632</v>
      </c>
      <c r="G290" t="s">
        <v>968</v>
      </c>
      <c r="H290" s="3">
        <f t="shared" si="8"/>
        <v>13705</v>
      </c>
      <c r="I290" s="3">
        <v>2192.8000000000002</v>
      </c>
    </row>
    <row r="291" spans="1:11">
      <c r="A291" t="s">
        <v>3250</v>
      </c>
      <c r="B291" s="1">
        <v>41626</v>
      </c>
      <c r="C291" t="s">
        <v>6857</v>
      </c>
      <c r="D291">
        <v>1</v>
      </c>
      <c r="E291" t="s">
        <v>968</v>
      </c>
      <c r="F291" s="32" t="s">
        <v>1632</v>
      </c>
      <c r="G291" t="s">
        <v>968</v>
      </c>
      <c r="H291" s="3">
        <f t="shared" si="8"/>
        <v>6445</v>
      </c>
      <c r="I291" s="3">
        <v>1031.2</v>
      </c>
    </row>
    <row r="292" spans="1:11">
      <c r="A292" t="s">
        <v>5003</v>
      </c>
      <c r="B292" s="1">
        <v>41638</v>
      </c>
      <c r="C292" t="s">
        <v>6486</v>
      </c>
      <c r="D292">
        <v>1</v>
      </c>
      <c r="E292" t="s">
        <v>1364</v>
      </c>
      <c r="F292" s="81" t="s">
        <v>1637</v>
      </c>
      <c r="G292" s="81" t="s">
        <v>5418</v>
      </c>
      <c r="H292" s="3">
        <f t="shared" si="8"/>
        <v>217444.0625</v>
      </c>
      <c r="I292" s="3">
        <v>34791.050000000003</v>
      </c>
    </row>
    <row r="293" spans="1:11">
      <c r="A293" t="s">
        <v>527</v>
      </c>
      <c r="B293" s="1">
        <v>41638</v>
      </c>
      <c r="C293" t="s">
        <v>6478</v>
      </c>
      <c r="D293">
        <v>1</v>
      </c>
      <c r="E293" t="s">
        <v>6479</v>
      </c>
      <c r="F293" s="81" t="s">
        <v>1637</v>
      </c>
      <c r="G293" s="81" t="s">
        <v>5418</v>
      </c>
      <c r="H293" s="3">
        <f t="shared" si="8"/>
        <v>187966.5</v>
      </c>
      <c r="I293" s="3">
        <v>30074.639999999999</v>
      </c>
    </row>
    <row r="294" spans="1:11">
      <c r="A294" t="s">
        <v>5549</v>
      </c>
      <c r="B294" s="1">
        <v>41639</v>
      </c>
      <c r="C294" t="s">
        <v>6503</v>
      </c>
      <c r="D294">
        <v>1</v>
      </c>
      <c r="E294" t="s">
        <v>6504</v>
      </c>
      <c r="F294" s="81" t="s">
        <v>1637</v>
      </c>
      <c r="G294" s="81" t="s">
        <v>6504</v>
      </c>
      <c r="H294" s="3">
        <f t="shared" si="8"/>
        <v>297961.625</v>
      </c>
      <c r="I294" s="3">
        <v>47673.86</v>
      </c>
    </row>
    <row r="295" spans="1:11">
      <c r="A295" t="s">
        <v>5996</v>
      </c>
      <c r="B295" s="1">
        <v>41631</v>
      </c>
      <c r="C295" t="s">
        <v>6430</v>
      </c>
      <c r="D295">
        <v>1</v>
      </c>
      <c r="E295" t="s">
        <v>6431</v>
      </c>
      <c r="F295" s="84" t="s">
        <v>6998</v>
      </c>
      <c r="G295" s="81" t="s">
        <v>6431</v>
      </c>
      <c r="H295" s="3">
        <f t="shared" si="8"/>
        <v>277625.5625</v>
      </c>
      <c r="I295" s="3">
        <v>44420.09</v>
      </c>
    </row>
    <row r="296" spans="1:11">
      <c r="A296" t="s">
        <v>6332</v>
      </c>
      <c r="B296" s="1">
        <v>41610</v>
      </c>
      <c r="C296" t="s">
        <v>6333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8"/>
        <v>297961.625</v>
      </c>
      <c r="I296" s="3">
        <v>47673.86</v>
      </c>
      <c r="J296" s="46"/>
      <c r="K296" s="46"/>
    </row>
    <row r="297" spans="1:11">
      <c r="A297" t="s">
        <v>6337</v>
      </c>
      <c r="B297" s="1">
        <v>41610</v>
      </c>
      <c r="C297" t="s">
        <v>6338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8"/>
        <v>259060.125</v>
      </c>
      <c r="I297" s="3">
        <v>41449.620000000003</v>
      </c>
      <c r="J297" s="46"/>
      <c r="K297" s="46"/>
    </row>
    <row r="298" spans="1:11">
      <c r="A298" t="s">
        <v>6339</v>
      </c>
      <c r="B298" s="1">
        <v>41610</v>
      </c>
      <c r="C298" t="s">
        <v>6340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8"/>
        <v>277624.5625</v>
      </c>
      <c r="I298" s="3">
        <v>44419.93</v>
      </c>
      <c r="J298" s="46"/>
      <c r="K298" s="46"/>
    </row>
    <row r="299" spans="1:11">
      <c r="A299" t="s">
        <v>5261</v>
      </c>
      <c r="B299" s="1">
        <v>41610</v>
      </c>
      <c r="C299" t="s">
        <v>6341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8"/>
        <v>277624.5625</v>
      </c>
      <c r="I299" s="3">
        <v>44419.93</v>
      </c>
      <c r="J299" s="46"/>
      <c r="K299" s="46"/>
    </row>
    <row r="300" spans="1:11">
      <c r="A300" t="s">
        <v>5262</v>
      </c>
      <c r="B300" s="1">
        <v>41610</v>
      </c>
      <c r="C300" t="s">
        <v>6342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8"/>
        <v>277624.5625</v>
      </c>
      <c r="I300" s="3">
        <v>44419.93</v>
      </c>
      <c r="J300" s="46"/>
      <c r="K300" s="46"/>
    </row>
    <row r="301" spans="1:11">
      <c r="A301" t="s">
        <v>6348</v>
      </c>
      <c r="B301" s="1">
        <v>41613</v>
      </c>
      <c r="C301" t="s">
        <v>6349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8"/>
        <v>169608.1875</v>
      </c>
      <c r="I301" s="3">
        <v>27137.31</v>
      </c>
      <c r="J301" s="46"/>
      <c r="K301" s="46"/>
    </row>
    <row r="302" spans="1:11">
      <c r="A302" t="s">
        <v>6351</v>
      </c>
      <c r="B302" s="1">
        <v>41614</v>
      </c>
      <c r="C302" t="s">
        <v>6352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8"/>
        <v>210084.93749999997</v>
      </c>
      <c r="I302" s="3">
        <v>33613.589999999997</v>
      </c>
      <c r="J302" s="46"/>
      <c r="K302" s="46"/>
    </row>
    <row r="303" spans="1:11">
      <c r="A303" t="s">
        <v>6353</v>
      </c>
      <c r="B303" s="1">
        <v>41615</v>
      </c>
      <c r="C303" t="s">
        <v>6354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8"/>
        <v>162082.3125</v>
      </c>
      <c r="I303" s="3">
        <v>25933.17</v>
      </c>
      <c r="J303" s="46"/>
      <c r="K303" s="46"/>
    </row>
    <row r="304" spans="1:11">
      <c r="A304" t="s">
        <v>6355</v>
      </c>
      <c r="B304" s="1">
        <v>41615</v>
      </c>
      <c r="C304" t="s">
        <v>6356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8"/>
        <v>311102.9375</v>
      </c>
      <c r="I304" s="3">
        <v>49776.47</v>
      </c>
      <c r="J304" s="46"/>
      <c r="K304" s="46"/>
    </row>
    <row r="305" spans="1:11">
      <c r="A305" t="s">
        <v>6357</v>
      </c>
      <c r="B305" s="1">
        <v>41615</v>
      </c>
      <c r="C305" t="s">
        <v>6358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8"/>
        <v>233454.4375</v>
      </c>
      <c r="I305" s="3">
        <v>37352.71</v>
      </c>
      <c r="J305" s="46"/>
      <c r="K305" s="46"/>
    </row>
    <row r="306" spans="1:11">
      <c r="A306" t="s">
        <v>6359</v>
      </c>
      <c r="B306" s="1">
        <v>41615</v>
      </c>
      <c r="C306" t="s">
        <v>6360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8"/>
        <v>202725.8125</v>
      </c>
      <c r="I306" s="3">
        <v>32436.13</v>
      </c>
      <c r="J306" s="46"/>
      <c r="K306" s="46"/>
    </row>
    <row r="307" spans="1:11">
      <c r="A307" t="s">
        <v>6361</v>
      </c>
      <c r="B307" s="1">
        <v>41615</v>
      </c>
      <c r="C307" t="s">
        <v>6362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8"/>
        <v>202725.8125</v>
      </c>
      <c r="I307" s="3">
        <v>32436.13</v>
      </c>
      <c r="J307" s="46"/>
      <c r="K307" s="46"/>
    </row>
    <row r="308" spans="1:11">
      <c r="A308" t="s">
        <v>6363</v>
      </c>
      <c r="B308" s="1">
        <v>41615</v>
      </c>
      <c r="C308" t="s">
        <v>6364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8"/>
        <v>202725.8125</v>
      </c>
      <c r="I308" s="3">
        <v>32436.13</v>
      </c>
      <c r="J308" s="46"/>
      <c r="K308" s="46"/>
    </row>
    <row r="309" spans="1:11">
      <c r="A309" t="s">
        <v>6365</v>
      </c>
      <c r="B309" s="1">
        <v>41615</v>
      </c>
      <c r="C309" t="s">
        <v>6366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8"/>
        <v>195878.125</v>
      </c>
      <c r="I309" s="3">
        <v>31340.5</v>
      </c>
      <c r="J309" s="46"/>
      <c r="K309" s="46"/>
    </row>
    <row r="310" spans="1:11">
      <c r="A310" t="s">
        <v>6367</v>
      </c>
      <c r="B310" s="1">
        <v>41617</v>
      </c>
      <c r="C310" t="s">
        <v>6368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8"/>
        <v>224993.125</v>
      </c>
      <c r="I310" s="3">
        <v>35998.9</v>
      </c>
      <c r="J310" s="46"/>
      <c r="K310" s="46"/>
    </row>
    <row r="311" spans="1:11">
      <c r="A311" t="s">
        <v>6369</v>
      </c>
      <c r="B311" s="1">
        <v>41617</v>
      </c>
      <c r="C311" t="s">
        <v>6370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8"/>
        <v>187966.5</v>
      </c>
      <c r="I311" s="3">
        <v>30074.639999999999</v>
      </c>
      <c r="J311" s="46"/>
      <c r="K311" s="46"/>
    </row>
    <row r="312" spans="1:11">
      <c r="A312" t="s">
        <v>2934</v>
      </c>
      <c r="B312" s="1">
        <v>41617</v>
      </c>
      <c r="C312" t="s">
        <v>6371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8"/>
        <v>169608.1875</v>
      </c>
      <c r="I312" s="3">
        <v>27137.31</v>
      </c>
      <c r="J312" s="46"/>
      <c r="K312" s="46"/>
    </row>
    <row r="313" spans="1:11">
      <c r="A313" t="s">
        <v>6372</v>
      </c>
      <c r="B313" s="1">
        <v>41617</v>
      </c>
      <c r="C313" t="s">
        <v>6373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8"/>
        <v>162082.3125</v>
      </c>
      <c r="I313" s="3">
        <v>25933.17</v>
      </c>
      <c r="J313" s="46"/>
      <c r="K313" s="46"/>
    </row>
    <row r="314" spans="1:11">
      <c r="A314" t="s">
        <v>3844</v>
      </c>
      <c r="B314" s="1">
        <v>41618</v>
      </c>
      <c r="C314" t="s">
        <v>5521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8"/>
        <v>-180602.62499999997</v>
      </c>
      <c r="I314" s="3">
        <v>-28896.42</v>
      </c>
      <c r="J314" s="46"/>
      <c r="K314" s="50"/>
    </row>
    <row r="315" spans="1:11">
      <c r="A315" t="s">
        <v>6376</v>
      </c>
      <c r="B315" s="1">
        <v>41618</v>
      </c>
      <c r="C315" t="s">
        <v>5521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8"/>
        <v>181607.125</v>
      </c>
      <c r="I315" s="3">
        <v>29057.14</v>
      </c>
      <c r="J315" s="46"/>
      <c r="K315" s="46"/>
    </row>
    <row r="316" spans="1:11">
      <c r="A316" t="s">
        <v>6377</v>
      </c>
      <c r="B316" s="1">
        <v>41619</v>
      </c>
      <c r="C316" t="s">
        <v>6378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si="8"/>
        <v>297961.625</v>
      </c>
      <c r="I316" s="3">
        <v>47673.86</v>
      </c>
      <c r="J316" s="46"/>
      <c r="K316" s="46"/>
    </row>
    <row r="317" spans="1:11">
      <c r="A317" t="s">
        <v>3458</v>
      </c>
      <c r="B317" s="1">
        <v>41621</v>
      </c>
      <c r="C317" t="s">
        <v>6389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si="8"/>
        <v>224993.125</v>
      </c>
      <c r="I317" s="3">
        <v>35998.9</v>
      </c>
      <c r="J317" s="46"/>
      <c r="K317" s="46"/>
    </row>
    <row r="318" spans="1:11">
      <c r="A318" t="s">
        <v>1177</v>
      </c>
      <c r="B318" s="1">
        <v>41624</v>
      </c>
      <c r="C318" t="s">
        <v>6391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8"/>
        <v>297961.625</v>
      </c>
      <c r="I318" s="3">
        <v>47673.86</v>
      </c>
      <c r="J318" s="46"/>
      <c r="K318" s="46"/>
    </row>
    <row r="319" spans="1:11">
      <c r="A319" t="s">
        <v>6399</v>
      </c>
      <c r="B319" s="1">
        <v>41626</v>
      </c>
      <c r="C319" t="s">
        <v>6400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8"/>
        <v>181607.125</v>
      </c>
      <c r="I319" s="3">
        <v>29057.14</v>
      </c>
      <c r="J319" s="46"/>
      <c r="K319" s="46"/>
    </row>
    <row r="320" spans="1:11">
      <c r="A320" t="s">
        <v>6401</v>
      </c>
      <c r="B320" s="1">
        <v>41626</v>
      </c>
      <c r="C320" t="s">
        <v>6402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8"/>
        <v>202725.8125</v>
      </c>
      <c r="I320" s="3">
        <v>32436.13</v>
      </c>
      <c r="J320" s="46"/>
      <c r="K320" s="46"/>
    </row>
    <row r="321" spans="1:11">
      <c r="A321" t="s">
        <v>6403</v>
      </c>
      <c r="B321" s="1">
        <v>41626</v>
      </c>
      <c r="C321" t="s">
        <v>6404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8"/>
        <v>311102.9375</v>
      </c>
      <c r="I321" s="3">
        <v>49776.47</v>
      </c>
      <c r="J321" s="46"/>
      <c r="K321" s="46"/>
    </row>
    <row r="322" spans="1:11">
      <c r="A322" t="s">
        <v>4476</v>
      </c>
      <c r="B322" s="1">
        <v>41627</v>
      </c>
      <c r="C322" t="s">
        <v>6410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8"/>
        <v>181607.125</v>
      </c>
      <c r="I322" s="3">
        <v>29057.14</v>
      </c>
      <c r="J322" s="46"/>
      <c r="K322" s="46"/>
    </row>
    <row r="323" spans="1:11">
      <c r="A323" t="s">
        <v>6414</v>
      </c>
      <c r="B323" s="1">
        <v>41627</v>
      </c>
      <c r="C323" t="s">
        <v>6415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8"/>
        <v>355043.625</v>
      </c>
      <c r="I323" s="3">
        <v>56806.98</v>
      </c>
      <c r="J323" s="46"/>
      <c r="K323" s="46"/>
    </row>
    <row r="324" spans="1:11">
      <c r="A324" t="s">
        <v>3042</v>
      </c>
      <c r="B324" s="1">
        <v>41627</v>
      </c>
      <c r="C324" t="s">
        <v>6421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8"/>
        <v>217444.0625</v>
      </c>
      <c r="I324" s="3">
        <v>34791.050000000003</v>
      </c>
      <c r="J324" s="46"/>
      <c r="K324" s="46"/>
    </row>
    <row r="325" spans="1:11">
      <c r="A325" t="s">
        <v>6427</v>
      </c>
      <c r="B325" s="1">
        <v>41629</v>
      </c>
      <c r="C325" t="s">
        <v>6428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8"/>
        <v>195878.125</v>
      </c>
      <c r="I325" s="3">
        <v>31340.5</v>
      </c>
      <c r="J325" s="46"/>
      <c r="K325" s="46"/>
    </row>
    <row r="326" spans="1:11">
      <c r="A326" t="s">
        <v>1882</v>
      </c>
      <c r="B326" s="1">
        <v>41629</v>
      </c>
      <c r="C326" t="s">
        <v>6429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8"/>
        <v>202725.8125</v>
      </c>
      <c r="I326" s="3">
        <v>32436.13</v>
      </c>
      <c r="J326" s="46"/>
      <c r="K326" s="46"/>
    </row>
    <row r="327" spans="1:11">
      <c r="A327" t="s">
        <v>1347</v>
      </c>
      <c r="B327" s="1">
        <v>41631</v>
      </c>
      <c r="C327" t="s">
        <v>6435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8"/>
        <v>187966.5</v>
      </c>
      <c r="I327" s="3">
        <v>30074.639999999999</v>
      </c>
      <c r="J327" s="46"/>
      <c r="K327" s="46"/>
    </row>
    <row r="328" spans="1:11">
      <c r="A328" t="s">
        <v>6327</v>
      </c>
      <c r="B328" s="1">
        <v>41631</v>
      </c>
      <c r="C328" t="s">
        <v>6436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8"/>
        <v>181607.4375</v>
      </c>
      <c r="I328" s="3">
        <v>29057.19</v>
      </c>
      <c r="J328" s="46"/>
      <c r="K328" s="46"/>
    </row>
    <row r="329" spans="1:11">
      <c r="A329" t="s">
        <v>2475</v>
      </c>
      <c r="B329" s="1">
        <v>41634</v>
      </c>
      <c r="C329" t="s">
        <v>6437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8"/>
        <v>311102.9375</v>
      </c>
      <c r="I329" s="3">
        <v>49776.47</v>
      </c>
      <c r="J329" s="46"/>
      <c r="K329" s="46"/>
    </row>
    <row r="330" spans="1:11">
      <c r="A330" t="s">
        <v>1928</v>
      </c>
      <c r="B330" s="1">
        <v>41634</v>
      </c>
      <c r="C330" t="s">
        <v>5351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8"/>
        <v>-476941.625</v>
      </c>
      <c r="I330" s="3">
        <v>-76310.66</v>
      </c>
      <c r="J330" s="46"/>
      <c r="K330" s="50"/>
    </row>
    <row r="331" spans="1:11">
      <c r="A331" t="s">
        <v>1379</v>
      </c>
      <c r="B331" s="1">
        <v>41634</v>
      </c>
      <c r="C331" t="s">
        <v>6446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8"/>
        <v>476941.625</v>
      </c>
      <c r="I331" s="3">
        <v>76310.66</v>
      </c>
      <c r="J331" s="46"/>
      <c r="K331" s="46"/>
    </row>
    <row r="332" spans="1:11">
      <c r="A332" t="s">
        <v>2021</v>
      </c>
      <c r="B332" s="1">
        <v>41635</v>
      </c>
      <c r="C332" t="s">
        <v>6467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8"/>
        <v>202725.8125</v>
      </c>
      <c r="I332" s="3">
        <v>32436.13</v>
      </c>
    </row>
    <row r="333" spans="1:11">
      <c r="A333" t="s">
        <v>2024</v>
      </c>
      <c r="B333" s="1">
        <v>41635</v>
      </c>
      <c r="C333" t="s">
        <v>6468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8"/>
        <v>187966.5</v>
      </c>
      <c r="I333" s="3">
        <v>30074.639999999999</v>
      </c>
    </row>
    <row r="334" spans="1:11">
      <c r="A334" t="s">
        <v>2027</v>
      </c>
      <c r="B334" s="1">
        <v>41635</v>
      </c>
      <c r="C334" t="s">
        <v>6469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8"/>
        <v>202725.8125</v>
      </c>
      <c r="I334" s="3">
        <v>32436.13</v>
      </c>
    </row>
    <row r="335" spans="1:11">
      <c r="A335" t="s">
        <v>2506</v>
      </c>
      <c r="B335" s="1">
        <v>41635</v>
      </c>
      <c r="C335" t="s">
        <v>6470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8"/>
        <v>259916.0625</v>
      </c>
      <c r="I335" s="3">
        <v>41586.57</v>
      </c>
    </row>
    <row r="336" spans="1:11">
      <c r="A336" t="s">
        <v>1399</v>
      </c>
      <c r="B336" s="1">
        <v>41635</v>
      </c>
      <c r="C336" t="s">
        <v>6471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8"/>
        <v>202725.8125</v>
      </c>
      <c r="I336" s="3">
        <v>32436.13</v>
      </c>
    </row>
    <row r="337" spans="1:11">
      <c r="A337" t="s">
        <v>1403</v>
      </c>
      <c r="B337" s="1">
        <v>41635</v>
      </c>
      <c r="C337" t="s">
        <v>6472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8"/>
        <v>202725.8125</v>
      </c>
      <c r="I337" s="3">
        <v>32436.13</v>
      </c>
    </row>
    <row r="338" spans="1:11">
      <c r="A338" t="s">
        <v>3590</v>
      </c>
      <c r="B338" s="1">
        <v>41635</v>
      </c>
      <c r="C338" t="s">
        <v>6473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8"/>
        <v>169608.1875</v>
      </c>
      <c r="I338" s="3">
        <v>27137.31</v>
      </c>
    </row>
    <row r="339" spans="1:11">
      <c r="A339" t="s">
        <v>1407</v>
      </c>
      <c r="B339" s="1">
        <v>41635</v>
      </c>
      <c r="C339" t="s">
        <v>6474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8"/>
        <v>224993.125</v>
      </c>
      <c r="I339" s="3">
        <v>35998.9</v>
      </c>
    </row>
    <row r="340" spans="1:11">
      <c r="A340" t="s">
        <v>411</v>
      </c>
      <c r="B340" s="1">
        <v>41635</v>
      </c>
      <c r="C340" t="s">
        <v>6475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8"/>
        <v>224993.125</v>
      </c>
      <c r="I340" s="3">
        <v>35998.9</v>
      </c>
    </row>
    <row r="341" spans="1:11">
      <c r="A341" t="s">
        <v>2694</v>
      </c>
      <c r="B341" s="1">
        <v>41638</v>
      </c>
      <c r="C341" t="s">
        <v>6485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8"/>
        <v>322089.875</v>
      </c>
      <c r="I341" s="3">
        <v>51534.38</v>
      </c>
    </row>
    <row r="342" spans="1:11">
      <c r="A342" t="s">
        <v>4613</v>
      </c>
      <c r="B342" s="1">
        <v>41639</v>
      </c>
      <c r="C342" t="s">
        <v>6492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si="8"/>
        <v>297961.625</v>
      </c>
      <c r="I342" s="3">
        <v>47673.86</v>
      </c>
    </row>
    <row r="343" spans="1:11">
      <c r="A343" t="s">
        <v>4032</v>
      </c>
      <c r="B343" s="1">
        <v>41639</v>
      </c>
      <c r="C343" t="s">
        <v>6498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ref="H343:H508" si="9">+I343/0.16</f>
        <v>217444.0625</v>
      </c>
      <c r="I343" s="3">
        <v>34791.050000000003</v>
      </c>
    </row>
    <row r="344" spans="1:11">
      <c r="A344" t="s">
        <v>6499</v>
      </c>
      <c r="B344" s="1">
        <v>41639</v>
      </c>
      <c r="C344" t="s">
        <v>5922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9"/>
        <v>-296733.375</v>
      </c>
      <c r="I344" s="3">
        <v>-47477.34</v>
      </c>
    </row>
    <row r="345" spans="1:11">
      <c r="A345" t="s">
        <v>4102</v>
      </c>
      <c r="B345" s="1">
        <v>41639</v>
      </c>
      <c r="C345" t="s">
        <v>6506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9"/>
        <v>216185.75</v>
      </c>
      <c r="I345" s="3">
        <v>34589.72</v>
      </c>
    </row>
    <row r="346" spans="1:11">
      <c r="A346" t="s">
        <v>6699</v>
      </c>
      <c r="B346" s="1">
        <v>41639</v>
      </c>
      <c r="C346" t="s">
        <v>6700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9"/>
        <v>181607.4375</v>
      </c>
      <c r="I346" s="3">
        <v>29057.19</v>
      </c>
    </row>
    <row r="347" spans="1:11">
      <c r="A347" t="s">
        <v>110</v>
      </c>
      <c r="B347" s="1">
        <v>41618</v>
      </c>
      <c r="C347" t="s">
        <v>6820</v>
      </c>
      <c r="D347">
        <v>1</v>
      </c>
      <c r="E347" t="s">
        <v>6</v>
      </c>
      <c r="F347" s="30" t="s">
        <v>886</v>
      </c>
      <c r="G347" s="31" t="s">
        <v>887</v>
      </c>
      <c r="H347" s="3">
        <f t="shared" si="9"/>
        <v>329927.3125</v>
      </c>
      <c r="I347" s="3">
        <v>52788.37</v>
      </c>
    </row>
    <row r="348" spans="1:11">
      <c r="A348" t="s">
        <v>5696</v>
      </c>
      <c r="B348" s="1">
        <v>41635</v>
      </c>
      <c r="C348" t="s">
        <v>6942</v>
      </c>
      <c r="D348">
        <v>1</v>
      </c>
      <c r="E348" t="s">
        <v>5529</v>
      </c>
      <c r="F348" s="23" t="s">
        <v>829</v>
      </c>
      <c r="G348" s="24" t="s">
        <v>6</v>
      </c>
      <c r="H348" s="3">
        <f t="shared" si="9"/>
        <v>402843.0625</v>
      </c>
      <c r="I348" s="3">
        <v>64454.89</v>
      </c>
    </row>
    <row r="349" spans="1:11">
      <c r="A349" t="s">
        <v>6522</v>
      </c>
      <c r="B349" s="1">
        <v>41639</v>
      </c>
      <c r="C349" t="s">
        <v>6523</v>
      </c>
      <c r="D349">
        <v>1</v>
      </c>
      <c r="E349" t="s">
        <v>6524</v>
      </c>
      <c r="F349" s="28" t="s">
        <v>6999</v>
      </c>
      <c r="G349" s="28" t="s">
        <v>7000</v>
      </c>
      <c r="H349" s="47">
        <f t="shared" ref="H349:H351" si="10">I349/0.16</f>
        <v>750.875</v>
      </c>
      <c r="I349" s="47">
        <v>120.14</v>
      </c>
      <c r="J349" s="3"/>
      <c r="K349" s="3"/>
    </row>
    <row r="350" spans="1:11">
      <c r="A350" t="s">
        <v>6522</v>
      </c>
      <c r="B350" s="1">
        <v>41639</v>
      </c>
      <c r="C350" t="s">
        <v>6523</v>
      </c>
      <c r="D350">
        <v>1</v>
      </c>
      <c r="E350" t="s">
        <v>6524</v>
      </c>
      <c r="F350" s="28" t="s">
        <v>2352</v>
      </c>
      <c r="G350" s="28" t="s">
        <v>2353</v>
      </c>
      <c r="H350" s="47">
        <f t="shared" si="10"/>
        <v>192.375</v>
      </c>
      <c r="I350" s="47">
        <v>30.78</v>
      </c>
    </row>
    <row r="351" spans="1:11">
      <c r="A351" t="s">
        <v>6522</v>
      </c>
      <c r="B351" s="1">
        <v>41639</v>
      </c>
      <c r="C351" t="s">
        <v>6523</v>
      </c>
      <c r="D351">
        <v>1</v>
      </c>
      <c r="E351" t="s">
        <v>6524</v>
      </c>
      <c r="F351" t="s">
        <v>946</v>
      </c>
      <c r="G351" t="s">
        <v>947</v>
      </c>
      <c r="H351" s="46">
        <f t="shared" si="10"/>
        <v>632.8125</v>
      </c>
      <c r="I351" s="46">
        <v>101.25</v>
      </c>
      <c r="J351" s="14">
        <f>1576.06-H350-H349-H351</f>
        <v>-2.5000000000545697E-3</v>
      </c>
      <c r="K351" s="14">
        <f>252.17-I349-I350-I351</f>
        <v>0</v>
      </c>
    </row>
    <row r="352" spans="1:11">
      <c r="A352" t="s">
        <v>6540</v>
      </c>
      <c r="B352" s="1">
        <v>41639</v>
      </c>
      <c r="C352" t="s">
        <v>6541</v>
      </c>
      <c r="D352">
        <v>1</v>
      </c>
      <c r="E352" t="s">
        <v>6542</v>
      </c>
      <c r="F352" t="s">
        <v>946</v>
      </c>
      <c r="G352" s="33" t="s">
        <v>947</v>
      </c>
      <c r="H352" s="3">
        <f>+I352/0.16</f>
        <v>339.75</v>
      </c>
      <c r="I352" s="3">
        <v>54.36</v>
      </c>
    </row>
    <row r="353" spans="1:12">
      <c r="A353" t="s">
        <v>6525</v>
      </c>
      <c r="B353" s="1">
        <v>41639</v>
      </c>
      <c r="C353" t="s">
        <v>6526</v>
      </c>
      <c r="D353">
        <v>1</v>
      </c>
      <c r="E353" t="s">
        <v>6527</v>
      </c>
      <c r="F353" t="s">
        <v>946</v>
      </c>
      <c r="G353" s="33" t="s">
        <v>947</v>
      </c>
      <c r="H353" s="46">
        <f t="shared" ref="H353:H355" si="11">I353/0.16</f>
        <v>339.75</v>
      </c>
      <c r="I353" s="46">
        <v>54.36</v>
      </c>
      <c r="J353" s="3"/>
      <c r="K353" s="3"/>
    </row>
    <row r="354" spans="1:12">
      <c r="A354" t="s">
        <v>6525</v>
      </c>
      <c r="B354" s="1">
        <v>41639</v>
      </c>
      <c r="C354" t="s">
        <v>6526</v>
      </c>
      <c r="D354">
        <v>1</v>
      </c>
      <c r="E354" t="s">
        <v>6527</v>
      </c>
      <c r="F354" s="28" t="s">
        <v>939</v>
      </c>
      <c r="G354" s="28" t="s">
        <v>940</v>
      </c>
      <c r="H354" s="47">
        <f t="shared" si="11"/>
        <v>125.49999999999999</v>
      </c>
      <c r="I354" s="47">
        <v>20.079999999999998</v>
      </c>
    </row>
    <row r="355" spans="1:12">
      <c r="A355" t="s">
        <v>6525</v>
      </c>
      <c r="B355" s="1">
        <v>41639</v>
      </c>
      <c r="C355" t="s">
        <v>6526</v>
      </c>
      <c r="D355">
        <v>1</v>
      </c>
      <c r="E355" t="s">
        <v>6527</v>
      </c>
      <c r="F355" s="28" t="s">
        <v>7001</v>
      </c>
      <c r="G355" s="28" t="s">
        <v>7002</v>
      </c>
      <c r="H355" s="47">
        <f t="shared" si="11"/>
        <v>50.187499999999993</v>
      </c>
      <c r="I355" s="47">
        <v>8.0299999999999994</v>
      </c>
      <c r="J355" s="14">
        <f>515.44-H353-H354-H355</f>
        <v>2.500000000075886E-3</v>
      </c>
      <c r="K355" s="14">
        <f>82.47-I353-I354-I355</f>
        <v>0</v>
      </c>
    </row>
    <row r="356" spans="1:12">
      <c r="A356" t="s">
        <v>6597</v>
      </c>
      <c r="B356" s="1">
        <v>41639</v>
      </c>
      <c r="C356" t="s">
        <v>6598</v>
      </c>
      <c r="D356">
        <v>1</v>
      </c>
      <c r="E356" t="s">
        <v>6599</v>
      </c>
      <c r="F356" s="28" t="s">
        <v>894</v>
      </c>
      <c r="G356" s="28" t="s">
        <v>895</v>
      </c>
      <c r="H356" s="3">
        <f>+I356/0.16</f>
        <v>334.5</v>
      </c>
      <c r="I356" s="3">
        <v>53.52</v>
      </c>
    </row>
    <row r="357" spans="1:12">
      <c r="A357" t="s">
        <v>6561</v>
      </c>
      <c r="B357" s="1">
        <v>41639</v>
      </c>
      <c r="C357" t="s">
        <v>6562</v>
      </c>
      <c r="D357">
        <v>1</v>
      </c>
      <c r="E357" t="s">
        <v>6563</v>
      </c>
      <c r="F357" s="28" t="s">
        <v>5756</v>
      </c>
      <c r="G357" s="28" t="s">
        <v>7003</v>
      </c>
      <c r="H357" s="47">
        <f t="shared" ref="H357:H371" si="12">I357/0.16</f>
        <v>669.25</v>
      </c>
      <c r="I357" s="47">
        <v>107.08</v>
      </c>
      <c r="J357" s="3"/>
      <c r="K357" s="3"/>
    </row>
    <row r="358" spans="1:12">
      <c r="A358" t="s">
        <v>6561</v>
      </c>
      <c r="B358" s="1">
        <v>41639</v>
      </c>
      <c r="C358" t="s">
        <v>6562</v>
      </c>
      <c r="D358">
        <v>1</v>
      </c>
      <c r="E358" t="s">
        <v>6563</v>
      </c>
      <c r="F358" s="81" t="s">
        <v>7004</v>
      </c>
      <c r="G358" s="81" t="s">
        <v>7005</v>
      </c>
      <c r="H358" s="82">
        <f t="shared" si="12"/>
        <v>237.25</v>
      </c>
      <c r="I358" s="82">
        <v>37.96</v>
      </c>
    </row>
    <row r="359" spans="1:12">
      <c r="A359" t="s">
        <v>6561</v>
      </c>
      <c r="B359" s="1">
        <v>41639</v>
      </c>
      <c r="C359" t="s">
        <v>6562</v>
      </c>
      <c r="D359">
        <v>1</v>
      </c>
      <c r="E359" t="s">
        <v>6563</v>
      </c>
      <c r="F359" s="81" t="s">
        <v>7006</v>
      </c>
      <c r="G359" s="81" t="s">
        <v>7007</v>
      </c>
      <c r="H359" s="82">
        <f t="shared" si="12"/>
        <v>107.8125</v>
      </c>
      <c r="I359" s="82">
        <v>17.25</v>
      </c>
    </row>
    <row r="360" spans="1:12">
      <c r="A360" t="s">
        <v>6561</v>
      </c>
      <c r="B360" s="1">
        <v>41639</v>
      </c>
      <c r="C360" t="s">
        <v>6562</v>
      </c>
      <c r="D360">
        <v>1</v>
      </c>
      <c r="E360" t="s">
        <v>6563</v>
      </c>
      <c r="F360" s="28" t="s">
        <v>923</v>
      </c>
      <c r="G360" s="28" t="s">
        <v>924</v>
      </c>
      <c r="H360" s="47">
        <f t="shared" si="12"/>
        <v>292.6875</v>
      </c>
      <c r="I360" s="47">
        <v>46.83</v>
      </c>
    </row>
    <row r="361" spans="1:12">
      <c r="A361" t="s">
        <v>6561</v>
      </c>
      <c r="B361" s="1">
        <v>41639</v>
      </c>
      <c r="C361" t="s">
        <v>6562</v>
      </c>
      <c r="D361">
        <v>1</v>
      </c>
      <c r="E361" t="s">
        <v>6563</v>
      </c>
      <c r="F361" s="28" t="s">
        <v>4776</v>
      </c>
      <c r="G361" s="28" t="s">
        <v>4777</v>
      </c>
      <c r="H361" s="47">
        <f t="shared" si="12"/>
        <v>710.8125</v>
      </c>
      <c r="I361" s="47">
        <v>113.73</v>
      </c>
    </row>
    <row r="362" spans="1:12">
      <c r="A362" t="s">
        <v>6561</v>
      </c>
      <c r="B362" s="1">
        <v>41639</v>
      </c>
      <c r="C362" t="s">
        <v>6562</v>
      </c>
      <c r="D362">
        <v>1</v>
      </c>
      <c r="E362" t="s">
        <v>6563</v>
      </c>
      <c r="F362" t="s">
        <v>946</v>
      </c>
      <c r="G362" t="s">
        <v>947</v>
      </c>
      <c r="H362" s="46">
        <f t="shared" si="12"/>
        <v>401.68749999999994</v>
      </c>
      <c r="I362" s="46">
        <v>64.27</v>
      </c>
    </row>
    <row r="363" spans="1:12">
      <c r="A363" t="s">
        <v>6561</v>
      </c>
      <c r="B363" s="1">
        <v>41639</v>
      </c>
      <c r="C363" t="s">
        <v>6562</v>
      </c>
      <c r="D363">
        <v>1</v>
      </c>
      <c r="E363" t="s">
        <v>6563</v>
      </c>
      <c r="F363" t="s">
        <v>946</v>
      </c>
      <c r="G363" s="33" t="s">
        <v>947</v>
      </c>
      <c r="H363" s="46">
        <f t="shared" si="12"/>
        <v>73.3125</v>
      </c>
      <c r="I363" s="46">
        <v>11.73</v>
      </c>
    </row>
    <row r="364" spans="1:12">
      <c r="A364" t="s">
        <v>6561</v>
      </c>
      <c r="B364" s="1">
        <v>41639</v>
      </c>
      <c r="C364" t="s">
        <v>6562</v>
      </c>
      <c r="D364">
        <v>1</v>
      </c>
      <c r="E364" t="s">
        <v>6563</v>
      </c>
      <c r="F364" t="s">
        <v>946</v>
      </c>
      <c r="G364" s="33" t="s">
        <v>947</v>
      </c>
      <c r="H364" s="46">
        <f t="shared" si="12"/>
        <v>355.875</v>
      </c>
      <c r="I364" s="46">
        <f>57.93-0.99</f>
        <v>56.94</v>
      </c>
      <c r="J364" s="14">
        <f>2848.69-H357-H358-H359-H360-H361-H362-H363-H364</f>
        <v>2.5000000001114131E-3</v>
      </c>
      <c r="K364" s="14">
        <f>455.79-I357-I358-I359-I360-I361-I362-I363-I364</f>
        <v>5.6843418860808015E-14</v>
      </c>
      <c r="L364" t="s">
        <v>900</v>
      </c>
    </row>
    <row r="365" spans="1:12">
      <c r="A365" t="s">
        <v>6603</v>
      </c>
      <c r="B365" s="1">
        <v>41639</v>
      </c>
      <c r="C365" t="s">
        <v>6604</v>
      </c>
      <c r="D365">
        <v>1</v>
      </c>
      <c r="E365" t="s">
        <v>6605</v>
      </c>
      <c r="F365" t="s">
        <v>946</v>
      </c>
      <c r="G365" s="33" t="s">
        <v>947</v>
      </c>
      <c r="H365" s="46">
        <f t="shared" si="12"/>
        <v>136.25</v>
      </c>
      <c r="I365" s="46">
        <v>21.8</v>
      </c>
      <c r="J365" s="3"/>
      <c r="K365" s="3"/>
    </row>
    <row r="366" spans="1:12">
      <c r="A366" t="s">
        <v>6603</v>
      </c>
      <c r="B366" s="1">
        <v>41639</v>
      </c>
      <c r="C366" t="s">
        <v>6604</v>
      </c>
      <c r="D366">
        <v>1</v>
      </c>
      <c r="E366" t="s">
        <v>6605</v>
      </c>
      <c r="F366" t="s">
        <v>946</v>
      </c>
      <c r="G366" s="33" t="s">
        <v>947</v>
      </c>
      <c r="H366" s="46">
        <f t="shared" si="12"/>
        <v>259.5625</v>
      </c>
      <c r="I366" s="46">
        <v>41.53</v>
      </c>
    </row>
    <row r="367" spans="1:12">
      <c r="A367" t="s">
        <v>6603</v>
      </c>
      <c r="B367" s="1">
        <v>41639</v>
      </c>
      <c r="C367" t="s">
        <v>6604</v>
      </c>
      <c r="D367">
        <v>1</v>
      </c>
      <c r="E367" t="s">
        <v>6605</v>
      </c>
      <c r="F367" s="28" t="s">
        <v>939</v>
      </c>
      <c r="G367" s="28" t="s">
        <v>940</v>
      </c>
      <c r="H367" s="47">
        <f t="shared" si="12"/>
        <v>334.5</v>
      </c>
      <c r="I367" s="47">
        <v>53.52</v>
      </c>
    </row>
    <row r="368" spans="1:12">
      <c r="A368" t="s">
        <v>6603</v>
      </c>
      <c r="B368" s="1">
        <v>41639</v>
      </c>
      <c r="C368" t="s">
        <v>6604</v>
      </c>
      <c r="D368">
        <v>1</v>
      </c>
      <c r="E368" t="s">
        <v>6605</v>
      </c>
      <c r="F368" s="81" t="s">
        <v>5203</v>
      </c>
      <c r="G368" s="81" t="s">
        <v>5204</v>
      </c>
      <c r="H368" s="82">
        <f t="shared" si="12"/>
        <v>60.375</v>
      </c>
      <c r="I368" s="82">
        <v>9.66</v>
      </c>
      <c r="J368" s="14">
        <f>790.69-H365-H366-H367-H368</f>
        <v>2.5000000000545697E-3</v>
      </c>
      <c r="K368" s="14">
        <f>126.51-I365-I366-I367-I368</f>
        <v>0</v>
      </c>
    </row>
    <row r="369" spans="1:11">
      <c r="A369" t="s">
        <v>6567</v>
      </c>
      <c r="B369" s="1">
        <v>41639</v>
      </c>
      <c r="C369" t="s">
        <v>6568</v>
      </c>
      <c r="D369">
        <v>1</v>
      </c>
      <c r="E369" t="s">
        <v>6569</v>
      </c>
      <c r="F369" s="28" t="s">
        <v>1687</v>
      </c>
      <c r="G369" s="28" t="s">
        <v>1688</v>
      </c>
      <c r="H369" s="47">
        <f t="shared" si="12"/>
        <v>292.75</v>
      </c>
      <c r="I369" s="47">
        <v>46.84</v>
      </c>
      <c r="J369" s="3"/>
      <c r="K369" s="3"/>
    </row>
    <row r="370" spans="1:11">
      <c r="A370" t="s">
        <v>6567</v>
      </c>
      <c r="B370" s="1">
        <v>41639</v>
      </c>
      <c r="C370" t="s">
        <v>6568</v>
      </c>
      <c r="D370">
        <v>1</v>
      </c>
      <c r="E370" t="s">
        <v>6569</v>
      </c>
      <c r="F370" s="81" t="s">
        <v>2358</v>
      </c>
      <c r="G370" s="81" t="s">
        <v>7008</v>
      </c>
      <c r="H370" s="82">
        <f t="shared" si="12"/>
        <v>40</v>
      </c>
      <c r="I370" s="82">
        <v>6.4</v>
      </c>
    </row>
    <row r="371" spans="1:11">
      <c r="A371" t="s">
        <v>6567</v>
      </c>
      <c r="B371" s="1">
        <v>41639</v>
      </c>
      <c r="C371" t="s">
        <v>6568</v>
      </c>
      <c r="D371">
        <v>1</v>
      </c>
      <c r="E371" t="s">
        <v>6569</v>
      </c>
      <c r="F371" t="s">
        <v>946</v>
      </c>
      <c r="G371" t="s">
        <v>947</v>
      </c>
      <c r="H371" s="46">
        <f t="shared" si="12"/>
        <v>120.68749999999999</v>
      </c>
      <c r="I371" s="46">
        <v>19.309999999999999</v>
      </c>
      <c r="J371" s="14">
        <f>453.44-H369-H370-H371</f>
        <v>2.5000000000119371E-3</v>
      </c>
      <c r="K371" s="14">
        <f>72.55-I369-I370-I371</f>
        <v>0</v>
      </c>
    </row>
    <row r="372" spans="1:11">
      <c r="A372" t="s">
        <v>6749</v>
      </c>
      <c r="B372" s="1">
        <v>41639</v>
      </c>
      <c r="C372" t="s">
        <v>6750</v>
      </c>
      <c r="D372">
        <v>1</v>
      </c>
      <c r="E372" t="s">
        <v>6751</v>
      </c>
      <c r="F372" s="81" t="s">
        <v>6977</v>
      </c>
      <c r="G372" s="81" t="s">
        <v>6978</v>
      </c>
      <c r="H372" s="82">
        <f t="shared" ref="H372:H378" si="13">I372/0.16</f>
        <v>85</v>
      </c>
      <c r="I372" s="82">
        <v>13.6</v>
      </c>
      <c r="J372" s="3"/>
      <c r="K372" s="3"/>
    </row>
    <row r="373" spans="1:11">
      <c r="A373" t="s">
        <v>6749</v>
      </c>
      <c r="B373" s="1">
        <v>41639</v>
      </c>
      <c r="C373" t="s">
        <v>6750</v>
      </c>
      <c r="D373">
        <v>1</v>
      </c>
      <c r="E373" t="s">
        <v>6751</v>
      </c>
      <c r="F373" s="28" t="s">
        <v>2287</v>
      </c>
      <c r="G373" s="28" t="s">
        <v>2288</v>
      </c>
      <c r="H373" s="47">
        <f t="shared" si="13"/>
        <v>292.75</v>
      </c>
      <c r="I373" s="47">
        <v>46.84</v>
      </c>
    </row>
    <row r="374" spans="1:11">
      <c r="A374" t="s">
        <v>6749</v>
      </c>
      <c r="B374" s="1">
        <v>41639</v>
      </c>
      <c r="C374" t="s">
        <v>6750</v>
      </c>
      <c r="D374">
        <v>1</v>
      </c>
      <c r="E374" t="s">
        <v>6751</v>
      </c>
      <c r="F374" t="s">
        <v>946</v>
      </c>
      <c r="G374" t="s">
        <v>947</v>
      </c>
      <c r="H374" s="46">
        <f t="shared" si="13"/>
        <v>524.3125</v>
      </c>
      <c r="I374" s="46">
        <v>83.89</v>
      </c>
    </row>
    <row r="375" spans="1:11">
      <c r="A375" t="s">
        <v>6749</v>
      </c>
      <c r="B375" s="1">
        <v>41639</v>
      </c>
      <c r="C375" t="s">
        <v>6750</v>
      </c>
      <c r="D375">
        <v>1</v>
      </c>
      <c r="E375" t="s">
        <v>6751</v>
      </c>
      <c r="F375" t="s">
        <v>946</v>
      </c>
      <c r="G375" t="s">
        <v>947</v>
      </c>
      <c r="H375" s="46">
        <f t="shared" si="13"/>
        <v>138.8125</v>
      </c>
      <c r="I375" s="46">
        <v>22.21</v>
      </c>
      <c r="J375" s="14">
        <f>1040.88-H372-H373-H374-H375</f>
        <v>5.0000000001091394E-3</v>
      </c>
      <c r="K375" s="14">
        <f>166.54-I372-I373-I374-I375</f>
        <v>0</v>
      </c>
    </row>
    <row r="376" spans="1:11">
      <c r="A376" t="s">
        <v>6558</v>
      </c>
      <c r="B376" s="1">
        <v>41639</v>
      </c>
      <c r="C376" t="s">
        <v>6559</v>
      </c>
      <c r="D376">
        <v>1</v>
      </c>
      <c r="E376" t="s">
        <v>6560</v>
      </c>
      <c r="F376" t="s">
        <v>946</v>
      </c>
      <c r="G376" t="s">
        <v>947</v>
      </c>
      <c r="H376" s="46">
        <f t="shared" si="13"/>
        <v>226.8125</v>
      </c>
      <c r="I376" s="46">
        <v>36.29</v>
      </c>
      <c r="J376" s="3"/>
      <c r="K376" s="3"/>
    </row>
    <row r="377" spans="1:11">
      <c r="A377" t="s">
        <v>6558</v>
      </c>
      <c r="B377" s="1">
        <v>41639</v>
      </c>
      <c r="C377" t="s">
        <v>6559</v>
      </c>
      <c r="D377">
        <v>1</v>
      </c>
      <c r="E377" t="s">
        <v>6560</v>
      </c>
      <c r="F377" s="81" t="s">
        <v>941</v>
      </c>
      <c r="G377" s="81" t="s">
        <v>942</v>
      </c>
      <c r="H377" s="82">
        <f t="shared" si="13"/>
        <v>97.375</v>
      </c>
      <c r="I377" s="82">
        <v>15.58</v>
      </c>
      <c r="J377" s="3"/>
      <c r="K377" s="3"/>
    </row>
    <row r="378" spans="1:11">
      <c r="A378" t="s">
        <v>6558</v>
      </c>
      <c r="B378" s="1">
        <v>41639</v>
      </c>
      <c r="C378" t="s">
        <v>6559</v>
      </c>
      <c r="D378">
        <v>1</v>
      </c>
      <c r="E378" t="s">
        <v>6560</v>
      </c>
      <c r="F378" s="81" t="s">
        <v>6322</v>
      </c>
      <c r="G378" s="81" t="s">
        <v>6323</v>
      </c>
      <c r="H378" s="82">
        <f t="shared" si="13"/>
        <v>402.0625</v>
      </c>
      <c r="I378" s="82">
        <v>64.33</v>
      </c>
      <c r="J378" s="3">
        <f>726.25-H376-H377-H378</f>
        <v>0</v>
      </c>
      <c r="K378" s="3">
        <f>116.2-I376-I377-I378</f>
        <v>0</v>
      </c>
    </row>
    <row r="379" spans="1:11">
      <c r="A379" t="s">
        <v>6606</v>
      </c>
      <c r="B379" s="1">
        <v>41639</v>
      </c>
      <c r="C379" t="s">
        <v>6607</v>
      </c>
      <c r="D379">
        <v>1</v>
      </c>
      <c r="E379" t="s">
        <v>6608</v>
      </c>
      <c r="F379" t="s">
        <v>946</v>
      </c>
      <c r="G379" s="33" t="s">
        <v>947</v>
      </c>
      <c r="H379" s="46">
        <f t="shared" ref="H379:H388" si="14">I379/0.16</f>
        <v>48.9375</v>
      </c>
      <c r="I379" s="46">
        <f>4.83+3</f>
        <v>7.83</v>
      </c>
      <c r="J379" s="3"/>
      <c r="K379" s="3"/>
    </row>
    <row r="380" spans="1:11">
      <c r="A380" t="s">
        <v>6606</v>
      </c>
      <c r="B380" s="1">
        <v>41639</v>
      </c>
      <c r="C380" t="s">
        <v>6607</v>
      </c>
      <c r="D380">
        <v>1</v>
      </c>
      <c r="E380" t="s">
        <v>6608</v>
      </c>
      <c r="F380" t="s">
        <v>946</v>
      </c>
      <c r="G380" s="33" t="s">
        <v>947</v>
      </c>
      <c r="H380" s="46">
        <f t="shared" si="14"/>
        <v>352.6875</v>
      </c>
      <c r="I380" s="46">
        <v>56.43</v>
      </c>
    </row>
    <row r="381" spans="1:11">
      <c r="A381" t="s">
        <v>6606</v>
      </c>
      <c r="B381" s="1">
        <v>41639</v>
      </c>
      <c r="C381" t="s">
        <v>6607</v>
      </c>
      <c r="D381">
        <v>1</v>
      </c>
      <c r="E381" t="s">
        <v>6608</v>
      </c>
      <c r="F381" s="28" t="s">
        <v>939</v>
      </c>
      <c r="G381" s="28" t="s">
        <v>7009</v>
      </c>
      <c r="H381" s="47">
        <f t="shared" si="14"/>
        <v>334.5</v>
      </c>
      <c r="I381" s="47">
        <v>53.52</v>
      </c>
    </row>
    <row r="382" spans="1:11">
      <c r="A382" t="s">
        <v>6606</v>
      </c>
      <c r="B382" s="1">
        <v>41639</v>
      </c>
      <c r="C382" t="s">
        <v>6607</v>
      </c>
      <c r="D382">
        <v>1</v>
      </c>
      <c r="E382" t="s">
        <v>6608</v>
      </c>
      <c r="F382" s="81" t="s">
        <v>5197</v>
      </c>
      <c r="G382" s="81" t="s">
        <v>5198</v>
      </c>
      <c r="H382" s="82">
        <f t="shared" si="14"/>
        <v>94.8125</v>
      </c>
      <c r="I382" s="82">
        <v>15.17</v>
      </c>
    </row>
    <row r="383" spans="1:11">
      <c r="A383" t="s">
        <v>6606</v>
      </c>
      <c r="B383" s="1">
        <v>41639</v>
      </c>
      <c r="C383" t="s">
        <v>6607</v>
      </c>
      <c r="D383">
        <v>1</v>
      </c>
      <c r="E383" t="s">
        <v>6608</v>
      </c>
      <c r="F383" s="81" t="s">
        <v>2308</v>
      </c>
      <c r="G383" s="81" t="s">
        <v>2309</v>
      </c>
      <c r="H383" s="82">
        <f t="shared" si="14"/>
        <v>25.6875</v>
      </c>
      <c r="I383" s="82">
        <v>4.1100000000000003</v>
      </c>
    </row>
    <row r="384" spans="1:11">
      <c r="A384" t="s">
        <v>6606</v>
      </c>
      <c r="B384" s="1">
        <v>41639</v>
      </c>
      <c r="C384" t="s">
        <v>6607</v>
      </c>
      <c r="D384">
        <v>1</v>
      </c>
      <c r="E384" t="s">
        <v>6608</v>
      </c>
      <c r="F384" s="28" t="s">
        <v>913</v>
      </c>
      <c r="G384" s="28" t="s">
        <v>914</v>
      </c>
      <c r="H384" s="47">
        <f t="shared" si="14"/>
        <v>819.62499999999989</v>
      </c>
      <c r="I384" s="47">
        <v>131.13999999999999</v>
      </c>
      <c r="J384" s="14"/>
      <c r="K384" s="14"/>
    </row>
    <row r="385" spans="1:12">
      <c r="A385" t="s">
        <v>6606</v>
      </c>
      <c r="B385" s="1">
        <v>41639</v>
      </c>
      <c r="C385" t="s">
        <v>6607</v>
      </c>
      <c r="D385">
        <v>1</v>
      </c>
      <c r="E385" t="s">
        <v>6608</v>
      </c>
      <c r="F385" t="s">
        <v>946</v>
      </c>
      <c r="G385" s="33" t="s">
        <v>947</v>
      </c>
      <c r="H385" s="46">
        <f t="shared" si="14"/>
        <v>280.25</v>
      </c>
      <c r="I385" s="46">
        <v>44.84</v>
      </c>
      <c r="J385" s="14">
        <f>1956.5-H379-H380-H381-H382-H383-H384-H385</f>
        <v>0</v>
      </c>
      <c r="K385" s="14">
        <f>313.04-I379-I380-I381-I382-I383-I384-I385</f>
        <v>0</v>
      </c>
      <c r="L385" t="s">
        <v>900</v>
      </c>
    </row>
    <row r="386" spans="1:12">
      <c r="A386" t="s">
        <v>6534</v>
      </c>
      <c r="B386" s="1">
        <v>41639</v>
      </c>
      <c r="C386" t="s">
        <v>6535</v>
      </c>
      <c r="D386">
        <v>1</v>
      </c>
      <c r="E386" t="s">
        <v>6536</v>
      </c>
      <c r="F386" t="s">
        <v>946</v>
      </c>
      <c r="G386" s="33" t="s">
        <v>947</v>
      </c>
      <c r="H386" s="46">
        <f t="shared" si="14"/>
        <v>263</v>
      </c>
      <c r="I386" s="46">
        <v>42.08</v>
      </c>
      <c r="J386" s="3"/>
      <c r="K386" s="3"/>
    </row>
    <row r="387" spans="1:12">
      <c r="A387" t="s">
        <v>6534</v>
      </c>
      <c r="B387" s="1">
        <v>41639</v>
      </c>
      <c r="C387" t="s">
        <v>6535</v>
      </c>
      <c r="D387">
        <v>1</v>
      </c>
      <c r="E387" t="s">
        <v>6536</v>
      </c>
      <c r="F387" s="28" t="s">
        <v>3395</v>
      </c>
      <c r="G387" s="28" t="s">
        <v>4340</v>
      </c>
      <c r="H387" s="47">
        <f t="shared" si="14"/>
        <v>334.625</v>
      </c>
      <c r="I387" s="47">
        <v>53.54</v>
      </c>
      <c r="J387" s="3"/>
      <c r="K387" s="3"/>
    </row>
    <row r="388" spans="1:12">
      <c r="A388" t="s">
        <v>6534</v>
      </c>
      <c r="B388" s="1">
        <v>41639</v>
      </c>
      <c r="C388" t="s">
        <v>6535</v>
      </c>
      <c r="D388">
        <v>1</v>
      </c>
      <c r="E388" t="s">
        <v>6536</v>
      </c>
      <c r="F388" s="81" t="s">
        <v>3751</v>
      </c>
      <c r="G388" s="81" t="s">
        <v>4343</v>
      </c>
      <c r="H388" s="82">
        <f t="shared" si="14"/>
        <v>86.187499999999986</v>
      </c>
      <c r="I388" s="82">
        <v>13.79</v>
      </c>
      <c r="J388" s="3">
        <f>683.81-H386-H387-H388</f>
        <v>-2.5000000000403588E-3</v>
      </c>
      <c r="K388" s="3">
        <f>109.41-I386-I387-I388</f>
        <v>0</v>
      </c>
    </row>
    <row r="389" spans="1:12">
      <c r="A389" t="s">
        <v>6594</v>
      </c>
      <c r="B389" s="1">
        <v>41639</v>
      </c>
      <c r="C389" t="s">
        <v>6595</v>
      </c>
      <c r="D389">
        <v>1</v>
      </c>
      <c r="E389" t="s">
        <v>6596</v>
      </c>
      <c r="F389" t="s">
        <v>946</v>
      </c>
      <c r="G389" t="s">
        <v>947</v>
      </c>
      <c r="H389" s="46">
        <f t="shared" ref="H389:H393" si="15">I389/0.16</f>
        <v>176.8125</v>
      </c>
      <c r="I389" s="46">
        <v>28.29</v>
      </c>
      <c r="J389" s="3"/>
      <c r="K389" s="3"/>
    </row>
    <row r="390" spans="1:12">
      <c r="A390" t="s">
        <v>6594</v>
      </c>
      <c r="B390" s="1">
        <v>41639</v>
      </c>
      <c r="C390" t="s">
        <v>6595</v>
      </c>
      <c r="D390">
        <v>1</v>
      </c>
      <c r="E390" t="s">
        <v>6596</v>
      </c>
      <c r="F390" s="81" t="s">
        <v>941</v>
      </c>
      <c r="G390" s="81" t="s">
        <v>942</v>
      </c>
      <c r="H390" s="82">
        <f t="shared" si="15"/>
        <v>86.187499999999986</v>
      </c>
      <c r="I390" s="82">
        <v>13.79</v>
      </c>
    </row>
    <row r="391" spans="1:12">
      <c r="A391" t="s">
        <v>6594</v>
      </c>
      <c r="B391" s="1">
        <v>41639</v>
      </c>
      <c r="C391" t="s">
        <v>6595</v>
      </c>
      <c r="D391">
        <v>1</v>
      </c>
      <c r="E391" t="s">
        <v>6596</v>
      </c>
      <c r="F391" s="28" t="s">
        <v>2343</v>
      </c>
      <c r="G391" s="28" t="s">
        <v>2344</v>
      </c>
      <c r="H391" s="47">
        <f t="shared" si="15"/>
        <v>376.3125</v>
      </c>
      <c r="I391" s="47">
        <v>60.21</v>
      </c>
      <c r="J391" s="14">
        <f>639.31-H389-H390-H391</f>
        <v>-2.5000000000545697E-3</v>
      </c>
      <c r="K391" s="14">
        <f>102.29-I389-I390-I391</f>
        <v>0</v>
      </c>
    </row>
    <row r="392" spans="1:12">
      <c r="A392" t="s">
        <v>6728</v>
      </c>
      <c r="B392" s="1">
        <v>41639</v>
      </c>
      <c r="C392" t="s">
        <v>6729</v>
      </c>
      <c r="D392">
        <v>1</v>
      </c>
      <c r="E392" t="s">
        <v>6730</v>
      </c>
      <c r="F392" s="28" t="s">
        <v>7010</v>
      </c>
      <c r="G392" s="28" t="s">
        <v>7011</v>
      </c>
      <c r="H392" s="47">
        <f t="shared" si="15"/>
        <v>120.625</v>
      </c>
      <c r="I392" s="47">
        <v>19.3</v>
      </c>
      <c r="J392" s="3"/>
      <c r="K392" s="3"/>
    </row>
    <row r="393" spans="1:12">
      <c r="A393" t="s">
        <v>6728</v>
      </c>
      <c r="B393" s="1">
        <v>41639</v>
      </c>
      <c r="C393" t="s">
        <v>6729</v>
      </c>
      <c r="D393">
        <v>1</v>
      </c>
      <c r="E393" t="s">
        <v>6730</v>
      </c>
      <c r="F393" s="81" t="s">
        <v>2358</v>
      </c>
      <c r="G393" s="81" t="s">
        <v>7008</v>
      </c>
      <c r="H393" s="82">
        <f t="shared" si="15"/>
        <v>40</v>
      </c>
      <c r="I393" s="82">
        <v>6.4</v>
      </c>
      <c r="J393" s="3">
        <f>160.63-H392-H393</f>
        <v>4.9999999999954525E-3</v>
      </c>
      <c r="K393" s="3">
        <f>25.7-I392-I393</f>
        <v>0</v>
      </c>
    </row>
    <row r="394" spans="1:12">
      <c r="A394" t="s">
        <v>6731</v>
      </c>
      <c r="B394" s="1">
        <v>41639</v>
      </c>
      <c r="C394" t="s">
        <v>6732</v>
      </c>
      <c r="D394">
        <v>1</v>
      </c>
      <c r="E394" t="s">
        <v>6733</v>
      </c>
      <c r="F394" s="81" t="s">
        <v>1649</v>
      </c>
      <c r="G394" s="81" t="s">
        <v>1650</v>
      </c>
      <c r="H394" s="82">
        <f t="shared" ref="H394:H395" si="16">I394/0.16</f>
        <v>92.25</v>
      </c>
      <c r="I394" s="82">
        <v>14.76</v>
      </c>
      <c r="J394" s="3"/>
      <c r="K394" s="3"/>
    </row>
    <row r="395" spans="1:12">
      <c r="A395" t="s">
        <v>6731</v>
      </c>
      <c r="B395" s="1">
        <v>41639</v>
      </c>
      <c r="C395" t="s">
        <v>6732</v>
      </c>
      <c r="D395">
        <v>1</v>
      </c>
      <c r="E395" t="s">
        <v>6733</v>
      </c>
      <c r="F395" t="s">
        <v>946</v>
      </c>
      <c r="G395" s="33" t="s">
        <v>947</v>
      </c>
      <c r="H395" s="46">
        <f t="shared" si="16"/>
        <v>112.9375</v>
      </c>
      <c r="I395" s="46">
        <v>18.07</v>
      </c>
      <c r="J395" s="14">
        <f>205.19-H394-H395</f>
        <v>2.4999999999977263E-3</v>
      </c>
      <c r="K395" s="14">
        <f>32.83-I394-I395</f>
        <v>0</v>
      </c>
    </row>
    <row r="396" spans="1:12">
      <c r="A396" t="s">
        <v>6704</v>
      </c>
      <c r="B396" s="1">
        <v>41639</v>
      </c>
      <c r="C396" t="s">
        <v>6705</v>
      </c>
      <c r="D396">
        <v>1</v>
      </c>
      <c r="E396" t="s">
        <v>6706</v>
      </c>
      <c r="F396" s="81" t="s">
        <v>7012</v>
      </c>
      <c r="G396" s="81" t="s">
        <v>7013</v>
      </c>
      <c r="H396" s="82">
        <f t="shared" ref="H396:H411" si="17">I396/0.16</f>
        <v>200</v>
      </c>
      <c r="I396" s="82">
        <v>32</v>
      </c>
      <c r="J396" s="3"/>
      <c r="K396" s="3"/>
    </row>
    <row r="397" spans="1:12">
      <c r="A397" t="s">
        <v>6704</v>
      </c>
      <c r="B397" s="1">
        <v>41639</v>
      </c>
      <c r="C397" t="s">
        <v>6705</v>
      </c>
      <c r="D397">
        <v>1</v>
      </c>
      <c r="E397" t="s">
        <v>6706</v>
      </c>
      <c r="F397" s="81" t="s">
        <v>2878</v>
      </c>
      <c r="G397" s="81" t="s">
        <v>2879</v>
      </c>
      <c r="H397" s="82">
        <f t="shared" si="17"/>
        <v>93.0625</v>
      </c>
      <c r="I397" s="82">
        <v>14.89</v>
      </c>
    </row>
    <row r="398" spans="1:12">
      <c r="A398" t="s">
        <v>6704</v>
      </c>
      <c r="B398" s="1">
        <v>41639</v>
      </c>
      <c r="C398" t="s">
        <v>6705</v>
      </c>
      <c r="D398">
        <v>1</v>
      </c>
      <c r="E398" t="s">
        <v>6706</v>
      </c>
      <c r="F398" s="28" t="s">
        <v>937</v>
      </c>
      <c r="G398" s="28" t="s">
        <v>938</v>
      </c>
      <c r="H398" s="47">
        <f t="shared" si="17"/>
        <v>250.9375</v>
      </c>
      <c r="I398" s="47">
        <v>40.15</v>
      </c>
    </row>
    <row r="399" spans="1:12">
      <c r="A399" t="s">
        <v>6704</v>
      </c>
      <c r="B399" s="1">
        <v>41639</v>
      </c>
      <c r="C399" t="s">
        <v>6705</v>
      </c>
      <c r="D399">
        <v>1</v>
      </c>
      <c r="E399" t="s">
        <v>6706</v>
      </c>
      <c r="F399" s="81" t="s">
        <v>2888</v>
      </c>
      <c r="G399" s="81" t="s">
        <v>2889</v>
      </c>
      <c r="H399" s="82">
        <f t="shared" si="17"/>
        <v>94.8125</v>
      </c>
      <c r="I399" s="82">
        <v>15.17</v>
      </c>
    </row>
    <row r="400" spans="1:12">
      <c r="A400" t="s">
        <v>6704</v>
      </c>
      <c r="B400" s="1">
        <v>41639</v>
      </c>
      <c r="C400" t="s">
        <v>6705</v>
      </c>
      <c r="D400">
        <v>1</v>
      </c>
      <c r="E400" t="s">
        <v>6706</v>
      </c>
      <c r="F400" s="28" t="s">
        <v>4698</v>
      </c>
      <c r="G400" s="28" t="s">
        <v>4699</v>
      </c>
      <c r="H400" s="47">
        <f t="shared" si="17"/>
        <v>501.9375</v>
      </c>
      <c r="I400" s="47">
        <v>80.31</v>
      </c>
    </row>
    <row r="401" spans="1:12">
      <c r="A401" t="s">
        <v>6704</v>
      </c>
      <c r="B401" s="1">
        <v>41639</v>
      </c>
      <c r="C401" t="s">
        <v>6705</v>
      </c>
      <c r="D401">
        <v>1</v>
      </c>
      <c r="E401" t="s">
        <v>6706</v>
      </c>
      <c r="F401" s="28" t="s">
        <v>2884</v>
      </c>
      <c r="G401" s="28" t="s">
        <v>7014</v>
      </c>
      <c r="H401" s="47">
        <f t="shared" si="17"/>
        <v>543.75</v>
      </c>
      <c r="I401" s="47">
        <v>87</v>
      </c>
    </row>
    <row r="402" spans="1:12">
      <c r="A402" t="s">
        <v>6704</v>
      </c>
      <c r="B402" s="1">
        <v>41639</v>
      </c>
      <c r="C402" t="s">
        <v>6705</v>
      </c>
      <c r="D402">
        <v>1</v>
      </c>
      <c r="E402" t="s">
        <v>6706</v>
      </c>
      <c r="F402" t="s">
        <v>946</v>
      </c>
      <c r="G402" t="s">
        <v>947</v>
      </c>
      <c r="H402" s="3">
        <f t="shared" si="17"/>
        <v>1074.25</v>
      </c>
      <c r="I402" s="46">
        <v>171.88</v>
      </c>
      <c r="J402" s="14">
        <f>2758.75-H396-H397-H398-H399-H400-H401-H402</f>
        <v>0</v>
      </c>
      <c r="K402" s="14">
        <f>441.4-I396-I397-I398-I399-I400-I401-I402</f>
        <v>0</v>
      </c>
    </row>
    <row r="403" spans="1:12">
      <c r="A403" t="s">
        <v>6531</v>
      </c>
      <c r="B403" s="1">
        <v>41639</v>
      </c>
      <c r="C403" t="s">
        <v>6532</v>
      </c>
      <c r="D403">
        <v>1</v>
      </c>
      <c r="E403" t="s">
        <v>6533</v>
      </c>
      <c r="F403" t="s">
        <v>946</v>
      </c>
      <c r="G403" s="33" t="s">
        <v>947</v>
      </c>
      <c r="H403" s="3">
        <f t="shared" si="17"/>
        <v>1052.6874999999998</v>
      </c>
      <c r="I403" s="46">
        <f>169.26-0.83</f>
        <v>168.42999999999998</v>
      </c>
      <c r="J403" s="3"/>
      <c r="K403" s="3"/>
    </row>
    <row r="404" spans="1:12">
      <c r="A404" t="s">
        <v>6531</v>
      </c>
      <c r="B404" s="1">
        <v>41639</v>
      </c>
      <c r="C404" t="s">
        <v>6532</v>
      </c>
      <c r="D404">
        <v>1</v>
      </c>
      <c r="E404" t="s">
        <v>6533</v>
      </c>
      <c r="F404" s="28" t="s">
        <v>7015</v>
      </c>
      <c r="G404" s="28" t="s">
        <v>7016</v>
      </c>
      <c r="H404" s="47">
        <f t="shared" si="17"/>
        <v>476.9375</v>
      </c>
      <c r="I404" s="47">
        <v>76.31</v>
      </c>
      <c r="J404" s="3"/>
      <c r="K404" s="3"/>
    </row>
    <row r="405" spans="1:12">
      <c r="A405" t="s">
        <v>6531</v>
      </c>
      <c r="B405" s="1">
        <v>41639</v>
      </c>
      <c r="C405" t="s">
        <v>6532</v>
      </c>
      <c r="D405">
        <v>1</v>
      </c>
      <c r="E405" t="s">
        <v>6533</v>
      </c>
      <c r="F405" s="28" t="s">
        <v>7017</v>
      </c>
      <c r="G405" s="28" t="s">
        <v>7018</v>
      </c>
      <c r="H405" s="47">
        <f t="shared" si="17"/>
        <v>418.25</v>
      </c>
      <c r="I405" s="47">
        <v>66.92</v>
      </c>
      <c r="J405" s="3"/>
      <c r="K405" s="3"/>
    </row>
    <row r="406" spans="1:12">
      <c r="A406" t="s">
        <v>6531</v>
      </c>
      <c r="B406" s="1">
        <v>41639</v>
      </c>
      <c r="C406" t="s">
        <v>6532</v>
      </c>
      <c r="D406">
        <v>1</v>
      </c>
      <c r="E406" t="s">
        <v>6533</v>
      </c>
      <c r="F406" s="81" t="s">
        <v>7019</v>
      </c>
      <c r="G406" s="81" t="s">
        <v>7020</v>
      </c>
      <c r="H406" s="82">
        <f t="shared" si="17"/>
        <v>84.4375</v>
      </c>
      <c r="I406" s="82">
        <v>13.51</v>
      </c>
      <c r="J406" s="3"/>
      <c r="K406" s="3"/>
    </row>
    <row r="407" spans="1:12">
      <c r="A407" t="s">
        <v>6531</v>
      </c>
      <c r="B407" s="1">
        <v>41639</v>
      </c>
      <c r="C407" t="s">
        <v>6532</v>
      </c>
      <c r="D407">
        <v>1</v>
      </c>
      <c r="E407" t="s">
        <v>6533</v>
      </c>
      <c r="F407" s="81" t="s">
        <v>5759</v>
      </c>
      <c r="G407" s="81" t="s">
        <v>5760</v>
      </c>
      <c r="H407" s="82">
        <f t="shared" si="17"/>
        <v>67.25</v>
      </c>
      <c r="I407" s="82">
        <v>10.76</v>
      </c>
      <c r="J407" s="3"/>
      <c r="K407" s="3"/>
    </row>
    <row r="408" spans="1:12">
      <c r="A408" t="s">
        <v>6531</v>
      </c>
      <c r="B408" s="1">
        <v>41639</v>
      </c>
      <c r="C408" t="s">
        <v>6532</v>
      </c>
      <c r="D408">
        <v>1</v>
      </c>
      <c r="E408" t="s">
        <v>6533</v>
      </c>
      <c r="F408" s="33" t="s">
        <v>7021</v>
      </c>
      <c r="G408" s="33" t="s">
        <v>7022</v>
      </c>
      <c r="H408" s="3">
        <f t="shared" si="17"/>
        <v>129.3125</v>
      </c>
      <c r="I408" s="46">
        <v>20.69</v>
      </c>
      <c r="J408" s="3"/>
      <c r="K408" s="3"/>
    </row>
    <row r="409" spans="1:12">
      <c r="A409" t="s">
        <v>6531</v>
      </c>
      <c r="B409" s="1">
        <v>41639</v>
      </c>
      <c r="C409" t="s">
        <v>6532</v>
      </c>
      <c r="D409">
        <v>1</v>
      </c>
      <c r="E409" t="s">
        <v>6533</v>
      </c>
      <c r="F409" s="28" t="s">
        <v>5212</v>
      </c>
      <c r="G409" s="28" t="s">
        <v>5213</v>
      </c>
      <c r="H409" s="47">
        <f t="shared" si="17"/>
        <v>502.125</v>
      </c>
      <c r="I409" s="47">
        <v>80.34</v>
      </c>
      <c r="J409" s="3"/>
      <c r="K409" s="3"/>
    </row>
    <row r="410" spans="1:12">
      <c r="A410" t="s">
        <v>6531</v>
      </c>
      <c r="B410" s="1">
        <v>41639</v>
      </c>
      <c r="C410" t="s">
        <v>6532</v>
      </c>
      <c r="D410">
        <v>1</v>
      </c>
      <c r="E410" t="s">
        <v>6533</v>
      </c>
      <c r="F410" s="28" t="s">
        <v>7023</v>
      </c>
      <c r="G410" s="28" t="s">
        <v>7024</v>
      </c>
      <c r="H410" s="47">
        <f t="shared" si="17"/>
        <v>409.9375</v>
      </c>
      <c r="I410" s="47">
        <v>65.59</v>
      </c>
      <c r="J410" s="3"/>
      <c r="K410" s="3"/>
    </row>
    <row r="411" spans="1:12">
      <c r="A411" t="s">
        <v>6531</v>
      </c>
      <c r="B411" s="1">
        <v>41639</v>
      </c>
      <c r="C411" t="s">
        <v>6532</v>
      </c>
      <c r="D411">
        <v>1</v>
      </c>
      <c r="E411" t="s">
        <v>6533</v>
      </c>
      <c r="F411" s="33" t="s">
        <v>5765</v>
      </c>
      <c r="G411" s="33" t="s">
        <v>5766</v>
      </c>
      <c r="H411" s="3">
        <f t="shared" si="17"/>
        <v>228.87499999999997</v>
      </c>
      <c r="I411" s="46">
        <v>36.619999999999997</v>
      </c>
      <c r="J411" s="3">
        <f>3369.81-H403-H404-H405-H406-H407-H408-H409-H410-H411</f>
        <v>-2.4999999995714006E-3</v>
      </c>
      <c r="K411" s="3">
        <f>539.17-I403-I404-I405-I406-I407-I408-I409-I410-I411</f>
        <v>0</v>
      </c>
      <c r="L411" t="s">
        <v>900</v>
      </c>
    </row>
    <row r="412" spans="1:12">
      <c r="A412" t="s">
        <v>6543</v>
      </c>
      <c r="B412" s="1">
        <v>41639</v>
      </c>
      <c r="C412" t="s">
        <v>6544</v>
      </c>
      <c r="D412">
        <v>1</v>
      </c>
      <c r="E412" t="s">
        <v>6545</v>
      </c>
      <c r="F412" t="s">
        <v>946</v>
      </c>
      <c r="G412" t="s">
        <v>947</v>
      </c>
      <c r="H412" s="3">
        <f t="shared" ref="H412:H414" si="18">I412/0.16</f>
        <v>244.875</v>
      </c>
      <c r="I412" s="46">
        <v>39.18</v>
      </c>
      <c r="J412" s="3"/>
      <c r="K412" s="3"/>
    </row>
    <row r="413" spans="1:12">
      <c r="A413" t="s">
        <v>6543</v>
      </c>
      <c r="B413" s="1">
        <v>41639</v>
      </c>
      <c r="C413" t="s">
        <v>6544</v>
      </c>
      <c r="D413">
        <v>1</v>
      </c>
      <c r="E413" t="s">
        <v>6545</v>
      </c>
      <c r="F413" s="81" t="s">
        <v>5203</v>
      </c>
      <c r="G413" s="81" t="s">
        <v>5204</v>
      </c>
      <c r="H413" s="82">
        <f t="shared" si="18"/>
        <v>60.375</v>
      </c>
      <c r="I413" s="82">
        <v>9.66</v>
      </c>
      <c r="J413" s="3"/>
      <c r="K413" s="3"/>
    </row>
    <row r="414" spans="1:12">
      <c r="A414" t="s">
        <v>6543</v>
      </c>
      <c r="B414" s="1">
        <v>41639</v>
      </c>
      <c r="C414" t="s">
        <v>6544</v>
      </c>
      <c r="D414">
        <v>1</v>
      </c>
      <c r="E414" t="s">
        <v>6545</v>
      </c>
      <c r="F414" s="28" t="s">
        <v>905</v>
      </c>
      <c r="G414" s="28" t="s">
        <v>906</v>
      </c>
      <c r="H414" s="47">
        <f t="shared" si="18"/>
        <v>292.75</v>
      </c>
      <c r="I414" s="47">
        <v>46.84</v>
      </c>
      <c r="J414" s="3">
        <f>598-H412-H413-H414</f>
        <v>0</v>
      </c>
      <c r="K414" s="3">
        <f>95.68-I412-I413-I414</f>
        <v>0</v>
      </c>
    </row>
    <row r="415" spans="1:12">
      <c r="A415" t="s">
        <v>6725</v>
      </c>
      <c r="B415" s="1">
        <v>41639</v>
      </c>
      <c r="C415" t="s">
        <v>6726</v>
      </c>
      <c r="D415">
        <v>1</v>
      </c>
      <c r="E415" t="s">
        <v>6727</v>
      </c>
      <c r="F415" s="28" t="s">
        <v>7025</v>
      </c>
      <c r="G415" s="28" t="s">
        <v>7026</v>
      </c>
      <c r="H415" s="3">
        <f>+I415/0.16</f>
        <v>138.5</v>
      </c>
      <c r="I415" s="3">
        <v>22.16</v>
      </c>
    </row>
    <row r="416" spans="1:12">
      <c r="A416" t="s">
        <v>6773</v>
      </c>
      <c r="B416" s="1">
        <v>41639</v>
      </c>
      <c r="C416" t="s">
        <v>6774</v>
      </c>
      <c r="D416">
        <v>1</v>
      </c>
      <c r="E416" t="s">
        <v>6775</v>
      </c>
      <c r="F416" s="28" t="s">
        <v>1687</v>
      </c>
      <c r="G416" s="28" t="s">
        <v>1688</v>
      </c>
      <c r="H416" s="47">
        <f t="shared" ref="H416" si="19">I416/0.16</f>
        <v>334.5625</v>
      </c>
      <c r="I416" s="47">
        <v>53.53</v>
      </c>
      <c r="J416" s="3"/>
      <c r="K416" s="3"/>
    </row>
    <row r="417" spans="1:11">
      <c r="A417" t="s">
        <v>6773</v>
      </c>
      <c r="B417" s="1">
        <v>41639</v>
      </c>
      <c r="C417" t="s">
        <v>6774</v>
      </c>
      <c r="D417">
        <v>1</v>
      </c>
      <c r="E417" t="s">
        <v>6775</v>
      </c>
      <c r="F417" t="s">
        <v>946</v>
      </c>
      <c r="G417" s="33" t="s">
        <v>1581</v>
      </c>
      <c r="H417" s="46">
        <f>I417/0.16</f>
        <v>120.68749999999999</v>
      </c>
      <c r="I417" s="46">
        <v>19.309999999999999</v>
      </c>
      <c r="J417" s="3">
        <f>455.25-H416-H417</f>
        <v>0</v>
      </c>
      <c r="K417" s="3">
        <f>72.84-I416-I417</f>
        <v>0</v>
      </c>
    </row>
    <row r="418" spans="1:11">
      <c r="A418" t="s">
        <v>6552</v>
      </c>
      <c r="B418" s="1">
        <v>41639</v>
      </c>
      <c r="C418" t="s">
        <v>6553</v>
      </c>
      <c r="D418">
        <v>1</v>
      </c>
      <c r="E418" t="s">
        <v>6554</v>
      </c>
      <c r="F418" s="81" t="s">
        <v>1649</v>
      </c>
      <c r="G418" s="81" t="s">
        <v>1650</v>
      </c>
      <c r="H418" s="82">
        <f t="shared" ref="H418:H420" si="20">I418/0.16</f>
        <v>88.8125</v>
      </c>
      <c r="I418" s="82">
        <v>14.21</v>
      </c>
      <c r="J418" s="3"/>
      <c r="K418" s="3"/>
    </row>
    <row r="419" spans="1:11">
      <c r="A419" t="s">
        <v>6552</v>
      </c>
      <c r="B419" s="1">
        <v>41639</v>
      </c>
      <c r="C419" t="s">
        <v>6553</v>
      </c>
      <c r="D419">
        <v>1</v>
      </c>
      <c r="E419" t="s">
        <v>6554</v>
      </c>
      <c r="F419" t="s">
        <v>925</v>
      </c>
      <c r="G419" t="s">
        <v>926</v>
      </c>
      <c r="H419" s="46">
        <f t="shared" si="20"/>
        <v>501.875</v>
      </c>
      <c r="I419" s="46">
        <v>80.3</v>
      </c>
      <c r="J419" s="3"/>
      <c r="K419" s="3"/>
    </row>
    <row r="420" spans="1:11">
      <c r="A420" t="s">
        <v>6552</v>
      </c>
      <c r="B420" s="1">
        <v>41639</v>
      </c>
      <c r="C420" t="s">
        <v>6553</v>
      </c>
      <c r="D420">
        <v>1</v>
      </c>
      <c r="E420" t="s">
        <v>6554</v>
      </c>
      <c r="F420" t="s">
        <v>946</v>
      </c>
      <c r="G420" t="s">
        <v>947</v>
      </c>
      <c r="H420" s="46">
        <f t="shared" si="20"/>
        <v>56.875</v>
      </c>
      <c r="I420" s="46">
        <v>9.1</v>
      </c>
      <c r="J420" s="3">
        <f>647.56-H418-H419-H420</f>
        <v>-2.5000000000545697E-3</v>
      </c>
      <c r="K420" s="3">
        <f>103.61-I418-I419-I420</f>
        <v>0</v>
      </c>
    </row>
    <row r="421" spans="1:11">
      <c r="A421" t="s">
        <v>6713</v>
      </c>
      <c r="B421" s="1">
        <v>41639</v>
      </c>
      <c r="C421" t="s">
        <v>6714</v>
      </c>
      <c r="D421">
        <v>1</v>
      </c>
      <c r="E421" t="s">
        <v>6715</v>
      </c>
      <c r="F421" t="s">
        <v>7027</v>
      </c>
      <c r="G421" t="s">
        <v>7028</v>
      </c>
      <c r="H421" s="46">
        <f t="shared" ref="H421:H425" si="21">I421/0.16</f>
        <v>418.25</v>
      </c>
      <c r="I421" s="46">
        <v>66.92</v>
      </c>
      <c r="J421" s="3"/>
      <c r="K421" s="3"/>
    </row>
    <row r="422" spans="1:11">
      <c r="A422" t="s">
        <v>6713</v>
      </c>
      <c r="B422" s="1">
        <v>41639</v>
      </c>
      <c r="C422" t="s">
        <v>6714</v>
      </c>
      <c r="D422">
        <v>1</v>
      </c>
      <c r="E422" t="s">
        <v>6715</v>
      </c>
      <c r="F422" s="81" t="s">
        <v>3751</v>
      </c>
      <c r="G422" s="81" t="s">
        <v>4343</v>
      </c>
      <c r="H422" s="82">
        <f t="shared" si="21"/>
        <v>86.187499999999986</v>
      </c>
      <c r="I422" s="82">
        <v>13.79</v>
      </c>
    </row>
    <row r="423" spans="1:11">
      <c r="A423" t="s">
        <v>6713</v>
      </c>
      <c r="B423" s="1">
        <v>41639</v>
      </c>
      <c r="C423" t="s">
        <v>6714</v>
      </c>
      <c r="D423">
        <v>1</v>
      </c>
      <c r="E423" t="s">
        <v>6715</v>
      </c>
      <c r="F423" t="s">
        <v>946</v>
      </c>
      <c r="G423" t="s">
        <v>947</v>
      </c>
      <c r="H423" s="46">
        <f t="shared" si="21"/>
        <v>388</v>
      </c>
      <c r="I423" s="46">
        <v>62.08</v>
      </c>
      <c r="J423" s="14">
        <f>892.44-H421-H422-H423</f>
        <v>2.5000000000545697E-3</v>
      </c>
      <c r="K423" s="14">
        <f>142.79-I421-I422-I423</f>
        <v>0</v>
      </c>
    </row>
    <row r="424" spans="1:11">
      <c r="A424" t="s">
        <v>6555</v>
      </c>
      <c r="B424" s="1">
        <v>41639</v>
      </c>
      <c r="C424" t="s">
        <v>6556</v>
      </c>
      <c r="D424">
        <v>1</v>
      </c>
      <c r="E424" t="s">
        <v>6557</v>
      </c>
      <c r="F424" t="s">
        <v>946</v>
      </c>
      <c r="G424" t="s">
        <v>947</v>
      </c>
      <c r="H424" s="46">
        <f t="shared" si="21"/>
        <v>244.875</v>
      </c>
      <c r="I424" s="46">
        <v>39.18</v>
      </c>
      <c r="J424" s="3"/>
      <c r="K424" s="3"/>
    </row>
    <row r="425" spans="1:11">
      <c r="A425" t="s">
        <v>6555</v>
      </c>
      <c r="B425" s="1">
        <v>41639</v>
      </c>
      <c r="C425" t="s">
        <v>6556</v>
      </c>
      <c r="D425">
        <v>1</v>
      </c>
      <c r="E425" t="s">
        <v>6557</v>
      </c>
      <c r="F425" s="28" t="s">
        <v>905</v>
      </c>
      <c r="G425" s="28" t="s">
        <v>906</v>
      </c>
      <c r="H425" s="47">
        <f t="shared" si="21"/>
        <v>568.875</v>
      </c>
      <c r="I425" s="47">
        <v>91.02</v>
      </c>
      <c r="J425" s="14">
        <f>813.75-H424-H425</f>
        <v>0</v>
      </c>
      <c r="K425" s="14">
        <f>130.2-I424-I425</f>
        <v>0</v>
      </c>
    </row>
    <row r="426" spans="1:11">
      <c r="A426" t="s">
        <v>6764</v>
      </c>
      <c r="B426" s="1">
        <v>41639</v>
      </c>
      <c r="C426" t="s">
        <v>6765</v>
      </c>
      <c r="D426">
        <v>1</v>
      </c>
      <c r="E426" t="s">
        <v>6766</v>
      </c>
      <c r="F426" s="60" t="s">
        <v>946</v>
      </c>
      <c r="G426" t="s">
        <v>947</v>
      </c>
      <c r="H426" s="3">
        <f t="shared" si="9"/>
        <v>56.0625</v>
      </c>
      <c r="I426" s="3">
        <v>8.9700000000000006</v>
      </c>
    </row>
    <row r="427" spans="1:11">
      <c r="A427" t="s">
        <v>6761</v>
      </c>
      <c r="B427" s="1">
        <v>41639</v>
      </c>
      <c r="C427" t="s">
        <v>6762</v>
      </c>
      <c r="D427">
        <v>1</v>
      </c>
      <c r="E427" t="s">
        <v>6763</v>
      </c>
      <c r="F427" s="28" t="s">
        <v>935</v>
      </c>
      <c r="G427" s="28" t="s">
        <v>936</v>
      </c>
      <c r="H427" s="3">
        <f t="shared" si="9"/>
        <v>83.625</v>
      </c>
      <c r="I427" s="3">
        <v>13.38</v>
      </c>
    </row>
    <row r="428" spans="1:11">
      <c r="A428" t="s">
        <v>6770</v>
      </c>
      <c r="B428" s="1">
        <v>41639</v>
      </c>
      <c r="C428" t="s">
        <v>6771</v>
      </c>
      <c r="D428">
        <v>1</v>
      </c>
      <c r="E428" t="s">
        <v>6772</v>
      </c>
      <c r="F428" t="s">
        <v>946</v>
      </c>
      <c r="G428" s="33" t="s">
        <v>1581</v>
      </c>
      <c r="H428" s="46">
        <f>I428/0.16</f>
        <v>116.43749999999999</v>
      </c>
      <c r="I428" s="46">
        <v>18.63</v>
      </c>
      <c r="J428" s="3"/>
      <c r="K428" s="3"/>
    </row>
    <row r="429" spans="1:11">
      <c r="A429" t="s">
        <v>6770</v>
      </c>
      <c r="B429" s="1">
        <v>41639</v>
      </c>
      <c r="C429" t="s">
        <v>6771</v>
      </c>
      <c r="D429">
        <v>1</v>
      </c>
      <c r="E429" t="s">
        <v>6772</v>
      </c>
      <c r="F429" s="81" t="s">
        <v>7029</v>
      </c>
      <c r="G429" s="81" t="s">
        <v>2355</v>
      </c>
      <c r="H429" s="82">
        <f t="shared" ref="H429:H433" si="22">I429/0.16</f>
        <v>502.25</v>
      </c>
      <c r="I429" s="82">
        <v>80.36</v>
      </c>
      <c r="J429" s="3"/>
      <c r="K429" s="3"/>
    </row>
    <row r="430" spans="1:11">
      <c r="A430" t="s">
        <v>6770</v>
      </c>
      <c r="B430" s="1">
        <v>41639</v>
      </c>
      <c r="C430" t="s">
        <v>6771</v>
      </c>
      <c r="D430">
        <v>1</v>
      </c>
      <c r="E430" t="s">
        <v>6772</v>
      </c>
      <c r="F430" s="28" t="s">
        <v>923</v>
      </c>
      <c r="G430" s="28" t="s">
        <v>924</v>
      </c>
      <c r="H430" s="47">
        <f t="shared" si="22"/>
        <v>209.24999999999997</v>
      </c>
      <c r="I430" s="47">
        <v>33.479999999999997</v>
      </c>
      <c r="J430" s="3"/>
      <c r="K430" s="3"/>
    </row>
    <row r="431" spans="1:11" ht="15.75" customHeight="1">
      <c r="A431" t="s">
        <v>6770</v>
      </c>
      <c r="B431" s="1">
        <v>41639</v>
      </c>
      <c r="C431" t="s">
        <v>6771</v>
      </c>
      <c r="D431">
        <v>1</v>
      </c>
      <c r="E431" t="s">
        <v>6772</v>
      </c>
      <c r="F431" s="81" t="s">
        <v>3751</v>
      </c>
      <c r="G431" s="81" t="s">
        <v>4343</v>
      </c>
      <c r="H431" s="82">
        <f t="shared" si="22"/>
        <v>86.187499999999986</v>
      </c>
      <c r="I431" s="82">
        <v>13.79</v>
      </c>
      <c r="J431" s="3"/>
      <c r="K431" s="3"/>
    </row>
    <row r="432" spans="1:11" ht="15.75" customHeight="1">
      <c r="A432" t="s">
        <v>6770</v>
      </c>
      <c r="B432" s="1">
        <v>41639</v>
      </c>
      <c r="C432" t="s">
        <v>6771</v>
      </c>
      <c r="D432">
        <v>1</v>
      </c>
      <c r="E432" t="s">
        <v>6772</v>
      </c>
      <c r="F432" t="s">
        <v>946</v>
      </c>
      <c r="G432" s="33" t="s">
        <v>947</v>
      </c>
      <c r="H432" s="46">
        <f t="shared" si="22"/>
        <v>520.6875</v>
      </c>
      <c r="I432" s="46">
        <v>83.31</v>
      </c>
      <c r="J432" s="3"/>
      <c r="K432" s="3"/>
    </row>
    <row r="433" spans="1:11" ht="16.5" customHeight="1">
      <c r="A433" t="s">
        <v>6770</v>
      </c>
      <c r="B433" s="1">
        <v>41639</v>
      </c>
      <c r="C433" t="s">
        <v>6771</v>
      </c>
      <c r="D433">
        <v>1</v>
      </c>
      <c r="E433" t="s">
        <v>6772</v>
      </c>
      <c r="F433" t="s">
        <v>946</v>
      </c>
      <c r="G433" s="33" t="s">
        <v>7030</v>
      </c>
      <c r="H433" s="46">
        <f t="shared" si="22"/>
        <v>621.625</v>
      </c>
      <c r="I433" s="46">
        <v>99.46</v>
      </c>
      <c r="J433" s="3">
        <f>2056.44-H428-H429-H430-H431-H432-H433</f>
        <v>2.5000000000545697E-3</v>
      </c>
      <c r="K433" s="3">
        <f>329.03-I428-I430-I429-I431-I432-I433</f>
        <v>0</v>
      </c>
    </row>
    <row r="434" spans="1:11">
      <c r="A434" t="s">
        <v>6752</v>
      </c>
      <c r="B434" s="1">
        <v>41639</v>
      </c>
      <c r="C434" t="s">
        <v>6753</v>
      </c>
      <c r="D434">
        <v>1</v>
      </c>
      <c r="E434" t="s">
        <v>6754</v>
      </c>
      <c r="F434" t="s">
        <v>946</v>
      </c>
      <c r="G434" t="s">
        <v>947</v>
      </c>
      <c r="H434" s="46">
        <f t="shared" ref="H434:H437" si="23">I434/0.16</f>
        <v>663.125</v>
      </c>
      <c r="I434" s="46">
        <v>106.1</v>
      </c>
      <c r="J434" s="3"/>
      <c r="K434" s="3"/>
    </row>
    <row r="435" spans="1:11">
      <c r="A435" t="s">
        <v>6752</v>
      </c>
      <c r="B435" s="1">
        <v>41639</v>
      </c>
      <c r="C435" t="s">
        <v>6753</v>
      </c>
      <c r="D435">
        <v>1</v>
      </c>
      <c r="E435" t="s">
        <v>6754</v>
      </c>
      <c r="F435" s="28" t="s">
        <v>939</v>
      </c>
      <c r="G435" s="28" t="s">
        <v>940</v>
      </c>
      <c r="H435" s="47">
        <f t="shared" si="23"/>
        <v>292.75</v>
      </c>
      <c r="I435" s="47">
        <v>46.84</v>
      </c>
      <c r="J435" s="3"/>
      <c r="K435" s="3"/>
    </row>
    <row r="436" spans="1:11">
      <c r="A436" t="s">
        <v>6752</v>
      </c>
      <c r="B436" s="1">
        <v>41639</v>
      </c>
      <c r="C436" t="s">
        <v>6753</v>
      </c>
      <c r="D436">
        <v>1</v>
      </c>
      <c r="E436" t="s">
        <v>6754</v>
      </c>
      <c r="F436" s="81" t="s">
        <v>6977</v>
      </c>
      <c r="G436" s="81" t="s">
        <v>6978</v>
      </c>
      <c r="H436" s="82">
        <f t="shared" si="23"/>
        <v>85</v>
      </c>
      <c r="I436" s="82">
        <v>13.6</v>
      </c>
      <c r="J436" s="3"/>
      <c r="K436" s="3"/>
    </row>
    <row r="437" spans="1:11">
      <c r="A437" t="s">
        <v>6752</v>
      </c>
      <c r="B437" s="1">
        <v>41639</v>
      </c>
      <c r="C437" t="s">
        <v>6753</v>
      </c>
      <c r="D437">
        <v>1</v>
      </c>
      <c r="E437" t="s">
        <v>6754</v>
      </c>
      <c r="F437" s="28" t="s">
        <v>913</v>
      </c>
      <c r="G437" s="28" t="s">
        <v>914</v>
      </c>
      <c r="H437" s="47">
        <f t="shared" si="23"/>
        <v>781.3125</v>
      </c>
      <c r="I437" s="47">
        <v>125.01</v>
      </c>
      <c r="J437" s="3">
        <f>1822.19-H434-H435-H436-H437</f>
        <v>2.5000000000545697E-3</v>
      </c>
      <c r="K437" s="3">
        <f>291.55-I434-I435-I436-I437</f>
        <v>0</v>
      </c>
    </row>
    <row r="438" spans="1:11">
      <c r="A438" t="s">
        <v>6737</v>
      </c>
      <c r="B438" s="1">
        <v>41639</v>
      </c>
      <c r="C438" t="s">
        <v>6738</v>
      </c>
      <c r="D438">
        <v>1</v>
      </c>
      <c r="E438" t="s">
        <v>6739</v>
      </c>
      <c r="F438" t="s">
        <v>946</v>
      </c>
      <c r="G438" t="s">
        <v>947</v>
      </c>
      <c r="H438" s="46">
        <f t="shared" ref="H438:H442" si="24">I438/0.16</f>
        <v>395.8125</v>
      </c>
      <c r="I438" s="46">
        <v>63.33</v>
      </c>
      <c r="J438" s="3"/>
      <c r="K438" s="3"/>
    </row>
    <row r="439" spans="1:11">
      <c r="A439" t="s">
        <v>6737</v>
      </c>
      <c r="B439" s="1">
        <v>41639</v>
      </c>
      <c r="C439" t="s">
        <v>6738</v>
      </c>
      <c r="D439">
        <v>1</v>
      </c>
      <c r="E439" t="s">
        <v>6739</v>
      </c>
      <c r="F439" t="s">
        <v>1684</v>
      </c>
      <c r="G439" t="s">
        <v>1685</v>
      </c>
      <c r="H439" s="46">
        <f t="shared" si="24"/>
        <v>501.875</v>
      </c>
      <c r="I439" s="46">
        <v>80.3</v>
      </c>
      <c r="J439" s="14">
        <f>897.69-H438-H439</f>
        <v>2.5000000000545697E-3</v>
      </c>
      <c r="K439" s="14">
        <f>143.63-I438-I439</f>
        <v>0</v>
      </c>
    </row>
    <row r="440" spans="1:11">
      <c r="A440" t="s">
        <v>6576</v>
      </c>
      <c r="B440" s="1">
        <v>41639</v>
      </c>
      <c r="C440" t="s">
        <v>6577</v>
      </c>
      <c r="D440">
        <v>1</v>
      </c>
      <c r="E440" t="s">
        <v>6578</v>
      </c>
      <c r="F440" t="s">
        <v>946</v>
      </c>
      <c r="G440" t="s">
        <v>947</v>
      </c>
      <c r="H440" s="46">
        <f t="shared" si="24"/>
        <v>244.06249999999997</v>
      </c>
      <c r="I440" s="46">
        <v>39.049999999999997</v>
      </c>
      <c r="J440" s="3"/>
      <c r="K440" s="3"/>
    </row>
    <row r="441" spans="1:11">
      <c r="A441" t="s">
        <v>6576</v>
      </c>
      <c r="B441" s="1">
        <v>41639</v>
      </c>
      <c r="C441" t="s">
        <v>6577</v>
      </c>
      <c r="D441">
        <v>1</v>
      </c>
      <c r="E441" t="s">
        <v>6578</v>
      </c>
      <c r="F441" s="28" t="s">
        <v>1671</v>
      </c>
      <c r="G441" s="28" t="s">
        <v>5739</v>
      </c>
      <c r="H441" s="47">
        <f t="shared" si="24"/>
        <v>292.9375</v>
      </c>
      <c r="I441" s="47">
        <v>46.87</v>
      </c>
      <c r="J441" s="3"/>
      <c r="K441" s="3"/>
    </row>
    <row r="442" spans="1:11">
      <c r="A442" t="s">
        <v>6576</v>
      </c>
      <c r="B442" s="1">
        <v>41639</v>
      </c>
      <c r="C442" t="s">
        <v>6577</v>
      </c>
      <c r="D442">
        <v>1</v>
      </c>
      <c r="E442" t="s">
        <v>6578</v>
      </c>
      <c r="F442" s="81" t="s">
        <v>1649</v>
      </c>
      <c r="G442" s="81" t="s">
        <v>1650</v>
      </c>
      <c r="H442" s="82">
        <f t="shared" si="24"/>
        <v>72.4375</v>
      </c>
      <c r="I442" s="82">
        <v>11.59</v>
      </c>
      <c r="J442" s="3">
        <f>609.44-H440-H441-H442</f>
        <v>2.5000000000545697E-3</v>
      </c>
      <c r="K442" s="3">
        <f>97.51-I440-I441-I442</f>
        <v>0</v>
      </c>
    </row>
    <row r="443" spans="1:11">
      <c r="A443" t="s">
        <v>6716</v>
      </c>
      <c r="B443" s="1">
        <v>41639</v>
      </c>
      <c r="C443" t="s">
        <v>6717</v>
      </c>
      <c r="D443">
        <v>1</v>
      </c>
      <c r="E443" t="s">
        <v>6718</v>
      </c>
      <c r="F443" t="s">
        <v>946</v>
      </c>
      <c r="G443" t="s">
        <v>947</v>
      </c>
      <c r="H443" s="46">
        <f t="shared" ref="H443:H447" si="25">I443/0.16</f>
        <v>305.25</v>
      </c>
      <c r="I443" s="46">
        <v>48.84</v>
      </c>
      <c r="J443" s="3"/>
      <c r="K443" s="3"/>
    </row>
    <row r="444" spans="1:11">
      <c r="A444" t="s">
        <v>6716</v>
      </c>
      <c r="B444" s="1">
        <v>41639</v>
      </c>
      <c r="C444" t="s">
        <v>6717</v>
      </c>
      <c r="D444">
        <v>1</v>
      </c>
      <c r="E444" t="s">
        <v>6718</v>
      </c>
      <c r="F444" s="81" t="s">
        <v>1649</v>
      </c>
      <c r="G444" s="81" t="s">
        <v>1650</v>
      </c>
      <c r="H444" s="82">
        <f t="shared" si="25"/>
        <v>110.31249999999999</v>
      </c>
      <c r="I444" s="82">
        <v>17.649999999999999</v>
      </c>
      <c r="J444" s="3"/>
      <c r="K444" s="3"/>
    </row>
    <row r="445" spans="1:11">
      <c r="A445" t="s">
        <v>6716</v>
      </c>
      <c r="B445" s="1">
        <v>41639</v>
      </c>
      <c r="C445" t="s">
        <v>6717</v>
      </c>
      <c r="D445">
        <v>1</v>
      </c>
      <c r="E445" t="s">
        <v>6718</v>
      </c>
      <c r="F445" s="28" t="s">
        <v>1698</v>
      </c>
      <c r="G445" s="28" t="s">
        <v>1699</v>
      </c>
      <c r="H445" s="47">
        <f t="shared" si="25"/>
        <v>396.375</v>
      </c>
      <c r="I445" s="47">
        <v>63.42</v>
      </c>
      <c r="J445" s="3"/>
      <c r="K445" s="3"/>
    </row>
    <row r="446" spans="1:11">
      <c r="A446" t="s">
        <v>6716</v>
      </c>
      <c r="B446" s="1">
        <v>41639</v>
      </c>
      <c r="C446" t="s">
        <v>6717</v>
      </c>
      <c r="D446">
        <v>1</v>
      </c>
      <c r="E446" t="s">
        <v>6718</v>
      </c>
      <c r="F446" s="28" t="s">
        <v>1700</v>
      </c>
      <c r="G446" s="28" t="s">
        <v>7031</v>
      </c>
      <c r="H446" s="47">
        <f t="shared" si="25"/>
        <v>585.5625</v>
      </c>
      <c r="I446" s="47">
        <v>93.69</v>
      </c>
      <c r="J446" s="3"/>
      <c r="K446" s="3"/>
    </row>
    <row r="447" spans="1:11">
      <c r="A447" t="s">
        <v>6716</v>
      </c>
      <c r="B447" s="1">
        <v>41639</v>
      </c>
      <c r="C447" t="s">
        <v>6717</v>
      </c>
      <c r="D447">
        <v>1</v>
      </c>
      <c r="E447" t="s">
        <v>6718</v>
      </c>
      <c r="F447" s="81" t="s">
        <v>1613</v>
      </c>
      <c r="G447" s="81" t="s">
        <v>2298</v>
      </c>
      <c r="H447" s="82">
        <f t="shared" si="25"/>
        <v>209.125</v>
      </c>
      <c r="I447" s="82">
        <v>33.46</v>
      </c>
      <c r="J447" s="3">
        <f>1606.63-H443-H444-H445-H447-H446</f>
        <v>5.0000000001091394E-3</v>
      </c>
      <c r="K447" s="3">
        <f>257.06-I443-I444-I446-I445-I447</f>
        <v>0</v>
      </c>
    </row>
    <row r="448" spans="1:11">
      <c r="A448" t="s">
        <v>6570</v>
      </c>
      <c r="B448" s="1">
        <v>41639</v>
      </c>
      <c r="C448" t="s">
        <v>6571</v>
      </c>
      <c r="D448">
        <v>1</v>
      </c>
      <c r="E448" t="s">
        <v>6572</v>
      </c>
      <c r="F448" t="s">
        <v>946</v>
      </c>
      <c r="G448" t="s">
        <v>947</v>
      </c>
      <c r="H448" s="46">
        <f t="shared" ref="H448:H450" si="26">I448/0.16</f>
        <v>244.875</v>
      </c>
      <c r="I448" s="56">
        <v>39.18</v>
      </c>
      <c r="J448" s="3"/>
      <c r="K448" s="3"/>
    </row>
    <row r="449" spans="1:11">
      <c r="A449" t="s">
        <v>6570</v>
      </c>
      <c r="B449" s="1">
        <v>41639</v>
      </c>
      <c r="C449" t="s">
        <v>6571</v>
      </c>
      <c r="D449">
        <v>1</v>
      </c>
      <c r="E449" t="s">
        <v>6572</v>
      </c>
      <c r="F449" s="81" t="s">
        <v>3377</v>
      </c>
      <c r="G449" s="81" t="s">
        <v>7032</v>
      </c>
      <c r="H449" s="82">
        <f t="shared" si="26"/>
        <v>334.5</v>
      </c>
      <c r="I449" s="132">
        <v>53.52</v>
      </c>
    </row>
    <row r="450" spans="1:11">
      <c r="A450" t="s">
        <v>6570</v>
      </c>
      <c r="B450" s="1">
        <v>41639</v>
      </c>
      <c r="C450" t="s">
        <v>6571</v>
      </c>
      <c r="D450">
        <v>1</v>
      </c>
      <c r="E450" t="s">
        <v>6572</v>
      </c>
      <c r="F450" s="81" t="s">
        <v>933</v>
      </c>
      <c r="G450" s="81" t="s">
        <v>934</v>
      </c>
      <c r="H450" s="82">
        <f t="shared" si="26"/>
        <v>65</v>
      </c>
      <c r="I450" s="132">
        <v>10.4</v>
      </c>
      <c r="J450" s="14">
        <f>644.38-H448-H449-H450</f>
        <v>4.9999999999954525E-3</v>
      </c>
      <c r="K450" s="14">
        <f>103.1-I448-I449-I450</f>
        <v>0</v>
      </c>
    </row>
    <row r="451" spans="1:11">
      <c r="A451" t="s">
        <v>6573</v>
      </c>
      <c r="B451" s="1">
        <v>41639</v>
      </c>
      <c r="C451" t="s">
        <v>6574</v>
      </c>
      <c r="D451">
        <v>1</v>
      </c>
      <c r="E451" t="s">
        <v>6575</v>
      </c>
      <c r="F451" t="s">
        <v>946</v>
      </c>
      <c r="G451" t="s">
        <v>947</v>
      </c>
      <c r="H451" s="46">
        <f t="shared" ref="H451:H456" si="27">I451/0.16</f>
        <v>244.875</v>
      </c>
      <c r="I451" s="46">
        <v>39.18</v>
      </c>
      <c r="J451" s="3"/>
      <c r="K451" s="3"/>
    </row>
    <row r="452" spans="1:11">
      <c r="A452" t="s">
        <v>6573</v>
      </c>
      <c r="B452" s="1">
        <v>41639</v>
      </c>
      <c r="C452" t="s">
        <v>6574</v>
      </c>
      <c r="D452">
        <v>1</v>
      </c>
      <c r="E452" t="s">
        <v>6575</v>
      </c>
      <c r="F452" s="81" t="s">
        <v>3377</v>
      </c>
      <c r="G452" s="81" t="s">
        <v>7032</v>
      </c>
      <c r="H452" s="82">
        <f t="shared" si="27"/>
        <v>334.5</v>
      </c>
      <c r="I452" s="82">
        <v>53.52</v>
      </c>
    </row>
    <row r="453" spans="1:11">
      <c r="A453" t="s">
        <v>6573</v>
      </c>
      <c r="B453" s="1">
        <v>41639</v>
      </c>
      <c r="C453" t="s">
        <v>6574</v>
      </c>
      <c r="D453">
        <v>1</v>
      </c>
      <c r="E453" t="s">
        <v>6575</v>
      </c>
      <c r="F453" s="81" t="s">
        <v>933</v>
      </c>
      <c r="G453" s="81" t="s">
        <v>934</v>
      </c>
      <c r="H453" s="82">
        <f t="shared" si="27"/>
        <v>65</v>
      </c>
      <c r="I453" s="82">
        <v>10.4</v>
      </c>
      <c r="J453" s="14">
        <f>644.38-H451-H452-H453</f>
        <v>4.9999999999954525E-3</v>
      </c>
      <c r="K453" s="14">
        <f>103.1-I451-I452-I453</f>
        <v>0</v>
      </c>
    </row>
    <row r="454" spans="1:11">
      <c r="A454" t="s">
        <v>6722</v>
      </c>
      <c r="B454" s="1">
        <v>41639</v>
      </c>
      <c r="C454" t="s">
        <v>6723</v>
      </c>
      <c r="D454">
        <v>1</v>
      </c>
      <c r="E454" t="s">
        <v>6724</v>
      </c>
      <c r="F454" s="28" t="s">
        <v>2277</v>
      </c>
      <c r="G454" s="28" t="s">
        <v>2278</v>
      </c>
      <c r="H454" s="47">
        <f t="shared" si="27"/>
        <v>58.625000000000007</v>
      </c>
      <c r="I454" s="47">
        <v>9.3800000000000008</v>
      </c>
      <c r="J454" s="3"/>
      <c r="K454" s="3"/>
    </row>
    <row r="455" spans="1:11">
      <c r="A455" t="s">
        <v>6722</v>
      </c>
      <c r="B455" s="1">
        <v>41639</v>
      </c>
      <c r="C455" t="s">
        <v>6723</v>
      </c>
      <c r="D455">
        <v>1</v>
      </c>
      <c r="E455" t="s">
        <v>6724</v>
      </c>
      <c r="F455" s="28" t="s">
        <v>7033</v>
      </c>
      <c r="G455" s="28" t="s">
        <v>7034</v>
      </c>
      <c r="H455" s="47">
        <f t="shared" si="27"/>
        <v>330.25</v>
      </c>
      <c r="I455" s="47">
        <v>52.84</v>
      </c>
      <c r="J455" s="3"/>
      <c r="K455" s="3"/>
    </row>
    <row r="456" spans="1:11">
      <c r="A456" t="s">
        <v>6722</v>
      </c>
      <c r="B456" s="1">
        <v>41639</v>
      </c>
      <c r="C456" t="s">
        <v>6723</v>
      </c>
      <c r="D456">
        <v>1</v>
      </c>
      <c r="E456" t="s">
        <v>6724</v>
      </c>
      <c r="F456" t="s">
        <v>946</v>
      </c>
      <c r="G456" s="33" t="s">
        <v>947</v>
      </c>
      <c r="H456" s="46">
        <f t="shared" si="27"/>
        <v>176.8125</v>
      </c>
      <c r="I456" s="46">
        <v>28.29</v>
      </c>
      <c r="J456" s="3">
        <f>565.69-H454-H455-H456</f>
        <v>2.5000000000545697E-3</v>
      </c>
      <c r="K456" s="3">
        <f>90.51-I454-I455-I456</f>
        <v>0</v>
      </c>
    </row>
    <row r="457" spans="1:11">
      <c r="A457" t="s">
        <v>6549</v>
      </c>
      <c r="B457" s="1">
        <v>41639</v>
      </c>
      <c r="C457" t="s">
        <v>6550</v>
      </c>
      <c r="D457">
        <v>1</v>
      </c>
      <c r="E457" t="s">
        <v>6551</v>
      </c>
      <c r="F457" s="81" t="s">
        <v>1649</v>
      </c>
      <c r="G457" s="81" t="s">
        <v>1650</v>
      </c>
      <c r="H457" s="82">
        <f t="shared" ref="H457:H461" si="28">I457/0.16</f>
        <v>94.8125</v>
      </c>
      <c r="I457" s="82">
        <v>15.17</v>
      </c>
      <c r="J457" s="3"/>
      <c r="K457" s="3"/>
    </row>
    <row r="458" spans="1:11">
      <c r="A458" t="s">
        <v>6549</v>
      </c>
      <c r="B458" s="1">
        <v>41639</v>
      </c>
      <c r="C458" t="s">
        <v>6550</v>
      </c>
      <c r="D458">
        <v>1</v>
      </c>
      <c r="E458" t="s">
        <v>6551</v>
      </c>
      <c r="F458" s="28" t="s">
        <v>1698</v>
      </c>
      <c r="G458" s="28" t="s">
        <v>1699</v>
      </c>
      <c r="H458" s="47">
        <f t="shared" si="28"/>
        <v>359.3125</v>
      </c>
      <c r="I458" s="47">
        <v>57.49</v>
      </c>
      <c r="J458" s="3"/>
      <c r="K458" s="3"/>
    </row>
    <row r="459" spans="1:11">
      <c r="A459" t="s">
        <v>6549</v>
      </c>
      <c r="B459" s="1">
        <v>41639</v>
      </c>
      <c r="C459" t="s">
        <v>6550</v>
      </c>
      <c r="D459">
        <v>1</v>
      </c>
      <c r="E459" t="s">
        <v>6551</v>
      </c>
      <c r="F459" s="28" t="s">
        <v>1700</v>
      </c>
      <c r="G459" s="28" t="s">
        <v>7031</v>
      </c>
      <c r="H459" s="47">
        <f t="shared" si="28"/>
        <v>585.5625</v>
      </c>
      <c r="I459" s="47">
        <v>93.69</v>
      </c>
      <c r="J459" s="3"/>
      <c r="K459" s="3"/>
    </row>
    <row r="460" spans="1:11">
      <c r="A460" t="s">
        <v>6549</v>
      </c>
      <c r="B460" s="1">
        <v>41639</v>
      </c>
      <c r="C460" t="s">
        <v>6550</v>
      </c>
      <c r="D460">
        <v>1</v>
      </c>
      <c r="E460" t="s">
        <v>6551</v>
      </c>
      <c r="F460" s="28" t="s">
        <v>1704</v>
      </c>
      <c r="G460" s="28" t="s">
        <v>7035</v>
      </c>
      <c r="H460" s="47">
        <f t="shared" si="28"/>
        <v>209.125</v>
      </c>
      <c r="I460" s="47">
        <v>33.46</v>
      </c>
      <c r="J460" s="3"/>
      <c r="K460" s="3"/>
    </row>
    <row r="461" spans="1:11">
      <c r="A461" t="s">
        <v>6549</v>
      </c>
      <c r="B461" s="1">
        <v>41639</v>
      </c>
      <c r="C461" t="s">
        <v>6550</v>
      </c>
      <c r="D461">
        <v>1</v>
      </c>
      <c r="E461" t="s">
        <v>6551</v>
      </c>
      <c r="F461" t="s">
        <v>946</v>
      </c>
      <c r="G461" s="33" t="s">
        <v>947</v>
      </c>
      <c r="H461" s="46">
        <f t="shared" si="28"/>
        <v>305.25</v>
      </c>
      <c r="I461" s="46">
        <v>48.84</v>
      </c>
      <c r="J461" s="3">
        <f>1554.06-H457-H458-H459-H460-H461</f>
        <v>-2.5000000000545697E-3</v>
      </c>
      <c r="K461" s="3">
        <f>248.65-I457-I458-I459-I460-I461</f>
        <v>0</v>
      </c>
    </row>
    <row r="462" spans="1:11">
      <c r="A462" t="s">
        <v>6600</v>
      </c>
      <c r="B462" s="1">
        <v>41639</v>
      </c>
      <c r="C462" t="s">
        <v>6601</v>
      </c>
      <c r="D462">
        <v>1</v>
      </c>
      <c r="E462" t="s">
        <v>6602</v>
      </c>
      <c r="F462" s="28" t="s">
        <v>2277</v>
      </c>
      <c r="G462" s="28" t="s">
        <v>2278</v>
      </c>
      <c r="H462" s="47">
        <f t="shared" ref="H462:H468" si="29">I462/0.16</f>
        <v>62.9375</v>
      </c>
      <c r="I462" s="47">
        <v>10.07</v>
      </c>
      <c r="J462" s="3"/>
      <c r="K462" s="3"/>
    </row>
    <row r="463" spans="1:11">
      <c r="A463" t="s">
        <v>6600</v>
      </c>
      <c r="B463" s="1">
        <v>41639</v>
      </c>
      <c r="C463" t="s">
        <v>6601</v>
      </c>
      <c r="D463">
        <v>1</v>
      </c>
      <c r="E463" t="s">
        <v>6602</v>
      </c>
      <c r="F463" s="28" t="s">
        <v>7036</v>
      </c>
      <c r="G463" s="28" t="s">
        <v>7037</v>
      </c>
      <c r="H463" s="47">
        <f t="shared" si="29"/>
        <v>418.125</v>
      </c>
      <c r="I463" s="47">
        <v>66.900000000000006</v>
      </c>
    </row>
    <row r="464" spans="1:11">
      <c r="A464" t="s">
        <v>6600</v>
      </c>
      <c r="B464" s="1">
        <v>41639</v>
      </c>
      <c r="C464" t="s">
        <v>6601</v>
      </c>
      <c r="D464">
        <v>1</v>
      </c>
      <c r="E464" t="s">
        <v>6602</v>
      </c>
      <c r="F464" t="s">
        <v>946</v>
      </c>
      <c r="G464" s="33" t="s">
        <v>947</v>
      </c>
      <c r="H464" s="46">
        <f t="shared" si="29"/>
        <v>176.8125</v>
      </c>
      <c r="I464" s="46">
        <v>28.29</v>
      </c>
      <c r="J464" s="14">
        <f>657.88-H462-H463-H464</f>
        <v>4.9999999999954525E-3</v>
      </c>
      <c r="K464" s="14">
        <f>105.26-I462-I463-I464</f>
        <v>0</v>
      </c>
    </row>
    <row r="465" spans="1:12">
      <c r="A465" t="s">
        <v>6701</v>
      </c>
      <c r="B465" s="1">
        <v>41639</v>
      </c>
      <c r="C465" t="s">
        <v>6702</v>
      </c>
      <c r="D465">
        <v>1</v>
      </c>
      <c r="E465" t="s">
        <v>6703</v>
      </c>
      <c r="F465" t="s">
        <v>946</v>
      </c>
      <c r="G465" t="s">
        <v>947</v>
      </c>
      <c r="H465" s="3">
        <f t="shared" si="29"/>
        <v>124.25000000000001</v>
      </c>
      <c r="I465" s="46">
        <f>19.87+0.01</f>
        <v>19.880000000000003</v>
      </c>
      <c r="J465" s="3"/>
      <c r="K465" s="3"/>
    </row>
    <row r="466" spans="1:12">
      <c r="A466" t="s">
        <v>6701</v>
      </c>
      <c r="B466" s="1">
        <v>41639</v>
      </c>
      <c r="C466" t="s">
        <v>6702</v>
      </c>
      <c r="D466">
        <v>1</v>
      </c>
      <c r="E466" t="s">
        <v>6703</v>
      </c>
      <c r="F466" s="28" t="s">
        <v>6312</v>
      </c>
      <c r="G466" s="28" t="s">
        <v>6313</v>
      </c>
      <c r="H466" s="47">
        <f t="shared" si="29"/>
        <v>247.75</v>
      </c>
      <c r="I466" s="47">
        <v>39.64</v>
      </c>
      <c r="J466" s="3"/>
      <c r="K466" s="3"/>
    </row>
    <row r="467" spans="1:12">
      <c r="A467" t="s">
        <v>6701</v>
      </c>
      <c r="B467" s="1">
        <v>41639</v>
      </c>
      <c r="C467" t="s">
        <v>6702</v>
      </c>
      <c r="D467">
        <v>1</v>
      </c>
      <c r="E467" t="s">
        <v>6703</v>
      </c>
      <c r="F467" s="81" t="s">
        <v>1702</v>
      </c>
      <c r="G467" s="81" t="s">
        <v>7038</v>
      </c>
      <c r="H467" s="82">
        <f t="shared" si="29"/>
        <v>96.5625</v>
      </c>
      <c r="I467" s="82">
        <v>15.45</v>
      </c>
      <c r="J467" s="3"/>
      <c r="K467" s="3"/>
    </row>
    <row r="468" spans="1:12">
      <c r="A468" t="s">
        <v>6701</v>
      </c>
      <c r="B468" s="1">
        <v>41639</v>
      </c>
      <c r="C468" t="s">
        <v>6702</v>
      </c>
      <c r="D468">
        <v>1</v>
      </c>
      <c r="E468" t="s">
        <v>6703</v>
      </c>
      <c r="F468" s="28" t="s">
        <v>905</v>
      </c>
      <c r="G468" s="28" t="s">
        <v>906</v>
      </c>
      <c r="H468" s="47">
        <f t="shared" si="29"/>
        <v>405.875</v>
      </c>
      <c r="I468" s="47">
        <v>64.94</v>
      </c>
      <c r="J468" s="3">
        <f>874.44-H465-H466-H467-H468</f>
        <v>2.5000000000545697E-3</v>
      </c>
      <c r="K468" s="3">
        <f>139.91-I465-I466-I467-I468</f>
        <v>0</v>
      </c>
      <c r="L468" t="s">
        <v>900</v>
      </c>
    </row>
    <row r="469" spans="1:12">
      <c r="A469" t="s">
        <v>6719</v>
      </c>
      <c r="B469" s="1">
        <v>41639</v>
      </c>
      <c r="C469" t="s">
        <v>6720</v>
      </c>
      <c r="D469">
        <v>1</v>
      </c>
      <c r="E469" t="s">
        <v>6721</v>
      </c>
      <c r="F469" t="s">
        <v>946</v>
      </c>
      <c r="G469" t="s">
        <v>947</v>
      </c>
      <c r="H469" s="46">
        <f t="shared" ref="H469:H471" si="30">I469/0.16</f>
        <v>124.1875</v>
      </c>
      <c r="I469" s="46">
        <v>19.87</v>
      </c>
      <c r="J469" s="3"/>
      <c r="K469" s="3"/>
    </row>
    <row r="470" spans="1:12">
      <c r="A470" t="s">
        <v>6719</v>
      </c>
      <c r="B470" s="1">
        <v>41639</v>
      </c>
      <c r="C470" t="s">
        <v>6720</v>
      </c>
      <c r="D470">
        <v>1</v>
      </c>
      <c r="E470" t="s">
        <v>6721</v>
      </c>
      <c r="F470" s="81" t="s">
        <v>7039</v>
      </c>
      <c r="G470" s="81" t="s">
        <v>7040</v>
      </c>
      <c r="H470" s="82">
        <f t="shared" si="30"/>
        <v>250.9375</v>
      </c>
      <c r="I470" s="82">
        <v>40.15</v>
      </c>
      <c r="J470" s="3"/>
      <c r="K470" s="3"/>
    </row>
    <row r="471" spans="1:12">
      <c r="A471" t="s">
        <v>6719</v>
      </c>
      <c r="B471" s="1">
        <v>41639</v>
      </c>
      <c r="C471" t="s">
        <v>6720</v>
      </c>
      <c r="D471">
        <v>1</v>
      </c>
      <c r="E471" t="s">
        <v>6721</v>
      </c>
      <c r="F471" s="28" t="s">
        <v>3777</v>
      </c>
      <c r="G471" s="28" t="s">
        <v>3778</v>
      </c>
      <c r="H471" s="47">
        <f t="shared" si="30"/>
        <v>485.18749999999994</v>
      </c>
      <c r="I471" s="47">
        <v>77.63</v>
      </c>
      <c r="J471" s="3">
        <f>860.31-H469-H470-H471</f>
        <v>-2.4999999999977263E-3</v>
      </c>
      <c r="K471" s="3">
        <f>137.65-I469-I470-I471</f>
        <v>0</v>
      </c>
    </row>
    <row r="472" spans="1:12">
      <c r="A472" t="s">
        <v>6696</v>
      </c>
      <c r="B472" s="1">
        <v>41639</v>
      </c>
      <c r="C472" t="s">
        <v>6697</v>
      </c>
      <c r="D472">
        <v>1</v>
      </c>
      <c r="E472" t="s">
        <v>6698</v>
      </c>
      <c r="F472" t="s">
        <v>946</v>
      </c>
      <c r="G472" t="s">
        <v>947</v>
      </c>
      <c r="H472" s="46">
        <f t="shared" ref="H472:H476" si="31">I472/0.16</f>
        <v>599.3125</v>
      </c>
      <c r="I472" s="46">
        <f>95.88+0.01</f>
        <v>95.89</v>
      </c>
      <c r="J472" s="3"/>
      <c r="K472" s="3"/>
    </row>
    <row r="473" spans="1:12">
      <c r="A473" t="s">
        <v>6696</v>
      </c>
      <c r="B473" s="1">
        <v>41639</v>
      </c>
      <c r="C473" t="s">
        <v>6697</v>
      </c>
      <c r="D473">
        <v>1</v>
      </c>
      <c r="E473" t="s">
        <v>6698</v>
      </c>
      <c r="F473" s="28" t="s">
        <v>1655</v>
      </c>
      <c r="G473" s="28" t="s">
        <v>7041</v>
      </c>
      <c r="H473" s="47">
        <f t="shared" si="31"/>
        <v>583</v>
      </c>
      <c r="I473" s="47">
        <v>93.28</v>
      </c>
      <c r="J473" s="3"/>
      <c r="K473" s="3"/>
    </row>
    <row r="474" spans="1:12">
      <c r="A474" t="s">
        <v>6696</v>
      </c>
      <c r="B474" s="1">
        <v>41639</v>
      </c>
      <c r="C474" t="s">
        <v>6697</v>
      </c>
      <c r="D474">
        <v>1</v>
      </c>
      <c r="E474" t="s">
        <v>6698</v>
      </c>
      <c r="F474" t="s">
        <v>2903</v>
      </c>
      <c r="G474" t="s">
        <v>2904</v>
      </c>
      <c r="H474" s="46">
        <f t="shared" si="31"/>
        <v>552.75</v>
      </c>
      <c r="I474" s="3">
        <v>88.44</v>
      </c>
      <c r="J474" s="3"/>
      <c r="K474" s="3"/>
    </row>
    <row r="475" spans="1:12">
      <c r="A475" t="s">
        <v>6696</v>
      </c>
      <c r="B475" s="1">
        <v>41639</v>
      </c>
      <c r="C475" t="s">
        <v>6697</v>
      </c>
      <c r="D475">
        <v>1</v>
      </c>
      <c r="E475" t="s">
        <v>6698</v>
      </c>
      <c r="F475" s="28" t="s">
        <v>923</v>
      </c>
      <c r="G475" s="28" t="s">
        <v>924</v>
      </c>
      <c r="H475" s="47">
        <f t="shared" si="31"/>
        <v>167.25</v>
      </c>
      <c r="I475" s="47">
        <v>26.76</v>
      </c>
      <c r="J475" s="3"/>
      <c r="K475" s="3"/>
    </row>
    <row r="476" spans="1:12">
      <c r="A476" t="s">
        <v>6696</v>
      </c>
      <c r="B476" s="1">
        <v>41639</v>
      </c>
      <c r="C476" t="s">
        <v>6697</v>
      </c>
      <c r="D476">
        <v>1</v>
      </c>
      <c r="E476" t="s">
        <v>6698</v>
      </c>
      <c r="F476" s="81" t="s">
        <v>4717</v>
      </c>
      <c r="G476" s="81" t="s">
        <v>4718</v>
      </c>
      <c r="H476" s="82">
        <f t="shared" si="31"/>
        <v>66.375</v>
      </c>
      <c r="I476" s="82">
        <v>10.62</v>
      </c>
      <c r="J476" s="3">
        <f>1968.69-H472-H473-H474-H475-H476</f>
        <v>2.5000000000545697E-3</v>
      </c>
      <c r="K476" s="3">
        <f>314.99-I473-I474-I472-I475-I476</f>
        <v>0</v>
      </c>
      <c r="L476" t="s">
        <v>900</v>
      </c>
    </row>
    <row r="477" spans="1:12">
      <c r="A477" t="s">
        <v>6537</v>
      </c>
      <c r="B477" s="1">
        <v>41639</v>
      </c>
      <c r="C477" t="s">
        <v>6538</v>
      </c>
      <c r="D477">
        <v>1</v>
      </c>
      <c r="E477" t="s">
        <v>6539</v>
      </c>
      <c r="F477" t="s">
        <v>946</v>
      </c>
      <c r="G477" t="s">
        <v>947</v>
      </c>
      <c r="H477" s="46">
        <f t="shared" ref="H477:H483" si="32">I477/0.16</f>
        <v>388</v>
      </c>
      <c r="I477" s="46">
        <v>62.08</v>
      </c>
      <c r="J477" s="3"/>
      <c r="K477" s="3"/>
    </row>
    <row r="478" spans="1:12">
      <c r="A478" t="s">
        <v>6537</v>
      </c>
      <c r="B478" s="1">
        <v>41639</v>
      </c>
      <c r="C478" t="s">
        <v>6538</v>
      </c>
      <c r="D478">
        <v>1</v>
      </c>
      <c r="E478" t="s">
        <v>6539</v>
      </c>
      <c r="F478" s="28" t="s">
        <v>1651</v>
      </c>
      <c r="G478" s="28" t="s">
        <v>3782</v>
      </c>
      <c r="H478" s="47">
        <f t="shared" si="32"/>
        <v>334.5625</v>
      </c>
      <c r="I478" s="47">
        <v>53.53</v>
      </c>
      <c r="J478" s="3"/>
      <c r="K478" s="3"/>
    </row>
    <row r="479" spans="1:12">
      <c r="A479" t="s">
        <v>6537</v>
      </c>
      <c r="B479" s="1">
        <v>41639</v>
      </c>
      <c r="C479" t="s">
        <v>6538</v>
      </c>
      <c r="D479">
        <v>1</v>
      </c>
      <c r="E479" t="s">
        <v>6539</v>
      </c>
      <c r="F479" s="81" t="s">
        <v>7042</v>
      </c>
      <c r="G479" s="81" t="s">
        <v>7043</v>
      </c>
      <c r="H479" s="82">
        <f t="shared" si="32"/>
        <v>64.6875</v>
      </c>
      <c r="I479" s="82">
        <v>10.35</v>
      </c>
      <c r="J479" s="3"/>
      <c r="K479" s="3"/>
    </row>
    <row r="480" spans="1:12">
      <c r="A480" t="s">
        <v>6537</v>
      </c>
      <c r="B480" s="1">
        <v>41639</v>
      </c>
      <c r="C480" t="s">
        <v>6538</v>
      </c>
      <c r="D480">
        <v>1</v>
      </c>
      <c r="E480" t="s">
        <v>6539</v>
      </c>
      <c r="F480" s="28" t="s">
        <v>7044</v>
      </c>
      <c r="G480" s="28" t="s">
        <v>7045</v>
      </c>
      <c r="H480" s="47">
        <f t="shared" si="32"/>
        <v>50.187499999999993</v>
      </c>
      <c r="I480" s="47">
        <v>8.0299999999999994</v>
      </c>
      <c r="J480" s="3">
        <f>837.44-H477-H478-H479-H480</f>
        <v>2.5000000000616751E-3</v>
      </c>
      <c r="K480" s="3">
        <f>133.99-I477-I478-I479-I480</f>
        <v>0</v>
      </c>
    </row>
    <row r="481" spans="1:11">
      <c r="A481" t="s">
        <v>6519</v>
      </c>
      <c r="B481" s="1">
        <v>41639</v>
      </c>
      <c r="C481" t="s">
        <v>6520</v>
      </c>
      <c r="D481">
        <v>1</v>
      </c>
      <c r="E481" t="s">
        <v>6521</v>
      </c>
      <c r="F481" s="81" t="s">
        <v>7046</v>
      </c>
      <c r="G481" s="81" t="s">
        <v>7047</v>
      </c>
      <c r="H481" s="82">
        <f t="shared" si="32"/>
        <v>97.4375</v>
      </c>
      <c r="I481" s="82">
        <v>15.59</v>
      </c>
      <c r="J481" s="3"/>
      <c r="K481" s="3"/>
    </row>
    <row r="482" spans="1:11">
      <c r="A482" t="s">
        <v>6519</v>
      </c>
      <c r="B482" s="1">
        <v>41639</v>
      </c>
      <c r="C482" t="s">
        <v>6520</v>
      </c>
      <c r="D482">
        <v>1</v>
      </c>
      <c r="E482" t="s">
        <v>6521</v>
      </c>
      <c r="F482" s="28" t="s">
        <v>2343</v>
      </c>
      <c r="G482" s="28" t="s">
        <v>2344</v>
      </c>
      <c r="H482" s="47">
        <f t="shared" si="32"/>
        <v>332.0625</v>
      </c>
      <c r="I482" s="47">
        <v>53.13</v>
      </c>
      <c r="J482" s="3"/>
      <c r="K482" s="3"/>
    </row>
    <row r="483" spans="1:11">
      <c r="A483" t="s">
        <v>6519</v>
      </c>
      <c r="B483" s="1">
        <v>41639</v>
      </c>
      <c r="C483" t="s">
        <v>6520</v>
      </c>
      <c r="D483">
        <v>1</v>
      </c>
      <c r="E483" t="s">
        <v>6521</v>
      </c>
      <c r="F483" t="s">
        <v>946</v>
      </c>
      <c r="G483" t="s">
        <v>947</v>
      </c>
      <c r="H483" s="46">
        <f t="shared" si="32"/>
        <v>176.8125</v>
      </c>
      <c r="I483" s="46">
        <v>28.29</v>
      </c>
      <c r="J483" s="3">
        <f>606.31-H481-H482-H483</f>
        <v>-2.5000000000545697E-3</v>
      </c>
      <c r="K483" s="3">
        <f>97.01-I481-I482-I483</f>
        <v>0</v>
      </c>
    </row>
    <row r="484" spans="1:11">
      <c r="A484" t="s">
        <v>6528</v>
      </c>
      <c r="B484" s="1">
        <v>41639</v>
      </c>
      <c r="C484" t="s">
        <v>6529</v>
      </c>
      <c r="D484">
        <v>1</v>
      </c>
      <c r="E484" t="s">
        <v>6530</v>
      </c>
      <c r="F484" s="28" t="s">
        <v>939</v>
      </c>
      <c r="G484" s="28" t="s">
        <v>940</v>
      </c>
      <c r="H484" s="47">
        <f t="shared" ref="H484:H487" si="33">I484/0.16</f>
        <v>292.75</v>
      </c>
      <c r="I484" s="47">
        <v>46.84</v>
      </c>
      <c r="J484" s="3"/>
      <c r="K484" s="3"/>
    </row>
    <row r="485" spans="1:11">
      <c r="A485" t="s">
        <v>6528</v>
      </c>
      <c r="B485" s="1">
        <v>41639</v>
      </c>
      <c r="C485" t="s">
        <v>6529</v>
      </c>
      <c r="D485">
        <v>1</v>
      </c>
      <c r="E485" t="s">
        <v>6530</v>
      </c>
      <c r="F485" s="81" t="s">
        <v>1582</v>
      </c>
      <c r="G485" s="81" t="s">
        <v>1583</v>
      </c>
      <c r="H485" s="82">
        <f t="shared" si="33"/>
        <v>90.5625</v>
      </c>
      <c r="I485" s="82">
        <v>14.49</v>
      </c>
      <c r="J485" s="3"/>
      <c r="K485" s="3"/>
    </row>
    <row r="486" spans="1:11">
      <c r="A486" t="s">
        <v>6528</v>
      </c>
      <c r="B486" s="1">
        <v>41639</v>
      </c>
      <c r="C486" t="s">
        <v>6529</v>
      </c>
      <c r="D486">
        <v>1</v>
      </c>
      <c r="E486" t="s">
        <v>6530</v>
      </c>
      <c r="F486" s="28" t="s">
        <v>913</v>
      </c>
      <c r="G486" s="28" t="s">
        <v>914</v>
      </c>
      <c r="H486" s="47">
        <f t="shared" si="33"/>
        <v>577.1875</v>
      </c>
      <c r="I486" s="47">
        <v>92.35</v>
      </c>
      <c r="J486" s="3"/>
      <c r="K486" s="3"/>
    </row>
    <row r="487" spans="1:11">
      <c r="A487" t="s">
        <v>6528</v>
      </c>
      <c r="B487" s="1">
        <v>41639</v>
      </c>
      <c r="C487" t="s">
        <v>6529</v>
      </c>
      <c r="D487">
        <v>1</v>
      </c>
      <c r="E487" t="s">
        <v>6530</v>
      </c>
      <c r="F487" t="s">
        <v>946</v>
      </c>
      <c r="G487" t="s">
        <v>947</v>
      </c>
      <c r="H487" s="3">
        <f t="shared" si="33"/>
        <v>661.3125</v>
      </c>
      <c r="I487" s="46">
        <v>105.81</v>
      </c>
      <c r="J487" s="3">
        <f>1621.81-H484-H485-H486-H487</f>
        <v>-2.5000000000545697E-3</v>
      </c>
      <c r="K487" s="3">
        <f>259.49-I484-I485-I486-I487</f>
        <v>0</v>
      </c>
    </row>
    <row r="488" spans="1:11">
      <c r="A488" t="s">
        <v>6707</v>
      </c>
      <c r="B488" s="1">
        <v>41639</v>
      </c>
      <c r="C488" t="s">
        <v>6708</v>
      </c>
      <c r="D488">
        <v>1</v>
      </c>
      <c r="E488" t="s">
        <v>6709</v>
      </c>
      <c r="F488" s="28" t="s">
        <v>1687</v>
      </c>
      <c r="G488" s="28" t="s">
        <v>1688</v>
      </c>
      <c r="H488" s="47">
        <f t="shared" ref="H488:H489" si="34">I488/0.16</f>
        <v>250.9375</v>
      </c>
      <c r="I488" s="47">
        <v>40.15</v>
      </c>
      <c r="J488" s="3"/>
      <c r="K488" s="3"/>
    </row>
    <row r="489" spans="1:11">
      <c r="A489" t="s">
        <v>6707</v>
      </c>
      <c r="B489" s="1">
        <v>41639</v>
      </c>
      <c r="C489" t="s">
        <v>6708</v>
      </c>
      <c r="D489">
        <v>1</v>
      </c>
      <c r="E489" t="s">
        <v>6709</v>
      </c>
      <c r="F489" t="s">
        <v>946</v>
      </c>
      <c r="G489" s="33" t="s">
        <v>947</v>
      </c>
      <c r="H489" s="46">
        <f t="shared" si="34"/>
        <v>150.875</v>
      </c>
      <c r="I489" s="46">
        <v>24.14</v>
      </c>
      <c r="J489" s="14">
        <f>401.81-H488-H489</f>
        <v>-2.4999999999977263E-3</v>
      </c>
      <c r="K489" s="14">
        <f>64.29-I488-I489</f>
        <v>0</v>
      </c>
    </row>
    <row r="490" spans="1:11">
      <c r="A490" t="s">
        <v>6710</v>
      </c>
      <c r="B490" s="1">
        <v>41639</v>
      </c>
      <c r="C490" t="s">
        <v>6711</v>
      </c>
      <c r="D490">
        <v>1</v>
      </c>
      <c r="E490" t="s">
        <v>6712</v>
      </c>
      <c r="F490" t="s">
        <v>946</v>
      </c>
      <c r="G490" s="33" t="s">
        <v>947</v>
      </c>
      <c r="H490" s="3">
        <f t="shared" si="9"/>
        <v>56.0625</v>
      </c>
      <c r="I490" s="3">
        <v>8.9700000000000006</v>
      </c>
    </row>
    <row r="491" spans="1:11">
      <c r="A491" t="s">
        <v>6758</v>
      </c>
      <c r="B491" s="1">
        <v>41639</v>
      </c>
      <c r="C491" t="s">
        <v>6759</v>
      </c>
      <c r="D491">
        <v>1</v>
      </c>
      <c r="E491" t="s">
        <v>6760</v>
      </c>
      <c r="F491" t="s">
        <v>946</v>
      </c>
      <c r="G491" t="s">
        <v>947</v>
      </c>
      <c r="H491" s="46">
        <f t="shared" ref="H491:H493" si="35">I491/0.16</f>
        <v>388</v>
      </c>
      <c r="I491" s="46">
        <v>62.08</v>
      </c>
      <c r="J491" s="3"/>
      <c r="K491" s="3"/>
    </row>
    <row r="492" spans="1:11">
      <c r="A492" t="s">
        <v>6758</v>
      </c>
      <c r="B492" s="1">
        <v>41639</v>
      </c>
      <c r="C492" t="s">
        <v>6759</v>
      </c>
      <c r="D492">
        <v>1</v>
      </c>
      <c r="E492" t="s">
        <v>6760</v>
      </c>
      <c r="F492" s="81" t="s">
        <v>941</v>
      </c>
      <c r="G492" s="81" t="s">
        <v>942</v>
      </c>
      <c r="H492" s="82">
        <f t="shared" si="35"/>
        <v>83.5625</v>
      </c>
      <c r="I492" s="82">
        <v>13.37</v>
      </c>
      <c r="J492" s="3"/>
      <c r="K492" s="3"/>
    </row>
    <row r="493" spans="1:11">
      <c r="A493" t="s">
        <v>6758</v>
      </c>
      <c r="B493" s="1">
        <v>41639</v>
      </c>
      <c r="C493" t="s">
        <v>6759</v>
      </c>
      <c r="D493">
        <v>1</v>
      </c>
      <c r="E493" t="s">
        <v>6760</v>
      </c>
      <c r="F493" s="28" t="s">
        <v>2882</v>
      </c>
      <c r="G493" s="28" t="s">
        <v>2883</v>
      </c>
      <c r="H493" s="47">
        <f t="shared" si="35"/>
        <v>385.5625</v>
      </c>
      <c r="I493" s="47">
        <v>61.69</v>
      </c>
      <c r="J493" s="3">
        <f>857.13-H491-H492-H493</f>
        <v>4.9999999999954525E-3</v>
      </c>
      <c r="K493" s="3">
        <f>137.14-I491-I492-I493</f>
        <v>0</v>
      </c>
    </row>
    <row r="494" spans="1:11">
      <c r="A494" t="s">
        <v>6767</v>
      </c>
      <c r="B494" s="1">
        <v>41639</v>
      </c>
      <c r="C494" t="s">
        <v>6768</v>
      </c>
      <c r="D494">
        <v>1</v>
      </c>
      <c r="E494" t="s">
        <v>6769</v>
      </c>
      <c r="F494" t="s">
        <v>946</v>
      </c>
      <c r="G494" t="s">
        <v>947</v>
      </c>
      <c r="H494" s="3">
        <f>I494/0.16</f>
        <v>339.75</v>
      </c>
      <c r="I494" s="46">
        <v>54.36</v>
      </c>
      <c r="J494" s="3"/>
      <c r="K494" s="3"/>
    </row>
    <row r="495" spans="1:11">
      <c r="A495" t="s">
        <v>6767</v>
      </c>
      <c r="B495" s="1">
        <v>41639</v>
      </c>
      <c r="C495" t="s">
        <v>6768</v>
      </c>
      <c r="D495">
        <v>1</v>
      </c>
      <c r="E495" t="s">
        <v>6769</v>
      </c>
      <c r="F495" s="28" t="s">
        <v>7001</v>
      </c>
      <c r="G495" s="28" t="s">
        <v>7002</v>
      </c>
      <c r="H495" s="47">
        <f t="shared" ref="H495:H497" si="36">I495/0.16</f>
        <v>50.249999999999993</v>
      </c>
      <c r="I495" s="47">
        <v>8.0399999999999991</v>
      </c>
      <c r="J495" s="3"/>
      <c r="K495" s="3"/>
    </row>
    <row r="496" spans="1:11">
      <c r="A496" t="s">
        <v>6767</v>
      </c>
      <c r="B496" s="1">
        <v>41639</v>
      </c>
      <c r="C496" t="s">
        <v>6768</v>
      </c>
      <c r="D496">
        <v>1</v>
      </c>
      <c r="E496" t="s">
        <v>6769</v>
      </c>
      <c r="F496" s="28" t="s">
        <v>1687</v>
      </c>
      <c r="G496" s="28" t="s">
        <v>1688</v>
      </c>
      <c r="H496" s="47">
        <f t="shared" si="36"/>
        <v>334.75</v>
      </c>
      <c r="I496" s="47">
        <v>53.56</v>
      </c>
      <c r="J496" s="3"/>
      <c r="K496" s="3"/>
    </row>
    <row r="497" spans="1:12">
      <c r="A497" t="s">
        <v>6767</v>
      </c>
      <c r="B497" s="1">
        <v>41639</v>
      </c>
      <c r="C497" t="s">
        <v>6768</v>
      </c>
      <c r="D497">
        <v>1</v>
      </c>
      <c r="E497" t="s">
        <v>6769</v>
      </c>
      <c r="F497" s="81" t="s">
        <v>933</v>
      </c>
      <c r="G497" s="81" t="s">
        <v>934</v>
      </c>
      <c r="H497" s="82">
        <f t="shared" si="36"/>
        <v>65</v>
      </c>
      <c r="I497" s="82">
        <v>10.4</v>
      </c>
      <c r="J497" s="3">
        <f>789.75-H494-H495-H496-H497</f>
        <v>0</v>
      </c>
      <c r="K497" s="3">
        <f>126.36-I494-I495-I496-I497</f>
        <v>0</v>
      </c>
    </row>
    <row r="498" spans="1:12">
      <c r="A498" t="s">
        <v>6564</v>
      </c>
      <c r="B498" s="1">
        <v>41639</v>
      </c>
      <c r="C498" t="s">
        <v>6565</v>
      </c>
      <c r="D498">
        <v>1</v>
      </c>
      <c r="E498" t="s">
        <v>6566</v>
      </c>
      <c r="F498" t="s">
        <v>946</v>
      </c>
      <c r="G498" t="s">
        <v>947</v>
      </c>
      <c r="H498" s="46">
        <f t="shared" ref="H498:H500" si="37">I498/0.16</f>
        <v>683.8125</v>
      </c>
      <c r="I498" s="46">
        <f>109.4+0.01</f>
        <v>109.41000000000001</v>
      </c>
      <c r="J498" s="3"/>
      <c r="K498" s="3"/>
    </row>
    <row r="499" spans="1:12">
      <c r="A499" t="s">
        <v>6564</v>
      </c>
      <c r="B499" s="1">
        <v>41639</v>
      </c>
      <c r="C499" t="s">
        <v>6565</v>
      </c>
      <c r="D499">
        <v>1</v>
      </c>
      <c r="E499" t="s">
        <v>6566</v>
      </c>
      <c r="F499" s="28" t="s">
        <v>939</v>
      </c>
      <c r="G499" s="28" t="s">
        <v>940</v>
      </c>
      <c r="H499" s="47">
        <f t="shared" si="37"/>
        <v>167.25</v>
      </c>
      <c r="I499" s="47">
        <v>26.76</v>
      </c>
      <c r="J499" s="3"/>
      <c r="K499" s="3"/>
    </row>
    <row r="500" spans="1:12">
      <c r="A500" t="s">
        <v>6564</v>
      </c>
      <c r="B500" s="1">
        <v>41639</v>
      </c>
      <c r="C500" t="s">
        <v>6565</v>
      </c>
      <c r="D500">
        <v>1</v>
      </c>
      <c r="E500" t="s">
        <v>6566</v>
      </c>
      <c r="F500" s="81" t="s">
        <v>2345</v>
      </c>
      <c r="G500" s="81" t="s">
        <v>7048</v>
      </c>
      <c r="H500" s="82">
        <f t="shared" si="37"/>
        <v>536.8125</v>
      </c>
      <c r="I500" s="82">
        <v>85.89</v>
      </c>
      <c r="J500" s="3">
        <f>1387.88-H498-H499-H500</f>
        <v>5.0000000001091394E-3</v>
      </c>
      <c r="K500" s="3">
        <f>222.06-I498-I499-I500</f>
        <v>0</v>
      </c>
      <c r="L500" t="s">
        <v>900</v>
      </c>
    </row>
    <row r="501" spans="1:12">
      <c r="A501" t="s">
        <v>6734</v>
      </c>
      <c r="B501" s="1">
        <v>41639</v>
      </c>
      <c r="C501" t="s">
        <v>6735</v>
      </c>
      <c r="D501">
        <v>1</v>
      </c>
      <c r="E501" t="s">
        <v>6736</v>
      </c>
      <c r="F501" t="s">
        <v>946</v>
      </c>
      <c r="G501" t="s">
        <v>947</v>
      </c>
      <c r="H501" s="46">
        <f t="shared" ref="H501:H503" si="38">I501/0.16</f>
        <v>226.8125</v>
      </c>
      <c r="I501" s="46">
        <v>36.29</v>
      </c>
      <c r="J501" s="3"/>
      <c r="K501" s="3"/>
    </row>
    <row r="502" spans="1:12">
      <c r="A502" t="s">
        <v>6734</v>
      </c>
      <c r="B502" s="1">
        <v>41639</v>
      </c>
      <c r="C502" t="s">
        <v>6735</v>
      </c>
      <c r="D502">
        <v>1</v>
      </c>
      <c r="E502" t="s">
        <v>6736</v>
      </c>
      <c r="F502" s="81" t="s">
        <v>1649</v>
      </c>
      <c r="G502" s="81" t="s">
        <v>1650</v>
      </c>
      <c r="H502" s="82">
        <f t="shared" si="38"/>
        <v>76.75</v>
      </c>
      <c r="I502" s="82">
        <v>12.28</v>
      </c>
    </row>
    <row r="503" spans="1:12">
      <c r="A503" t="s">
        <v>6734</v>
      </c>
      <c r="B503" s="1">
        <v>41639</v>
      </c>
      <c r="C503" t="s">
        <v>6735</v>
      </c>
      <c r="D503">
        <v>1</v>
      </c>
      <c r="E503" t="s">
        <v>6736</v>
      </c>
      <c r="F503" s="81" t="s">
        <v>4349</v>
      </c>
      <c r="G503" s="81" t="s">
        <v>4720</v>
      </c>
      <c r="H503" s="82">
        <f t="shared" si="38"/>
        <v>459.9375</v>
      </c>
      <c r="I503" s="82">
        <v>73.59</v>
      </c>
      <c r="J503" s="14">
        <f>763.5-H501-H502-H503</f>
        <v>0</v>
      </c>
      <c r="K503" s="14">
        <f>122.16-I501-I502-I503</f>
        <v>0</v>
      </c>
    </row>
    <row r="504" spans="1:12">
      <c r="A504" t="s">
        <v>6422</v>
      </c>
      <c r="B504" s="1">
        <v>41628</v>
      </c>
      <c r="C504" t="s">
        <v>6423</v>
      </c>
      <c r="D504">
        <v>1</v>
      </c>
      <c r="E504" t="s">
        <v>5961</v>
      </c>
      <c r="F504" s="129" t="s">
        <v>892</v>
      </c>
      <c r="G504" s="81" t="s">
        <v>893</v>
      </c>
      <c r="H504" s="3">
        <f t="shared" si="9"/>
        <v>297961.625</v>
      </c>
      <c r="I504" s="3">
        <v>47673.86</v>
      </c>
    </row>
    <row r="505" spans="1:12">
      <c r="A505" t="s">
        <v>6334</v>
      </c>
      <c r="B505" s="1">
        <v>41610</v>
      </c>
      <c r="C505" t="s">
        <v>6335</v>
      </c>
      <c r="D505">
        <v>1</v>
      </c>
      <c r="E505" t="s">
        <v>6336</v>
      </c>
      <c r="F505" s="87" t="s">
        <v>4377</v>
      </c>
      <c r="G505" s="81" t="s">
        <v>4006</v>
      </c>
      <c r="H505" s="3">
        <f t="shared" si="9"/>
        <v>233454.37499999997</v>
      </c>
      <c r="I505" s="3">
        <v>37352.699999999997</v>
      </c>
    </row>
    <row r="506" spans="1:12">
      <c r="A506" t="s">
        <v>1335</v>
      </c>
      <c r="B506" s="1">
        <v>41636</v>
      </c>
      <c r="C506" t="s">
        <v>6903</v>
      </c>
      <c r="D506">
        <v>1</v>
      </c>
      <c r="E506" t="s">
        <v>118</v>
      </c>
      <c r="F506" s="41" t="s">
        <v>889</v>
      </c>
      <c r="G506" t="s">
        <v>118</v>
      </c>
      <c r="H506" s="3">
        <f t="shared" si="9"/>
        <v>1800</v>
      </c>
      <c r="I506" s="3">
        <v>288</v>
      </c>
    </row>
    <row r="507" spans="1:12">
      <c r="A507" t="s">
        <v>6667</v>
      </c>
      <c r="B507" s="1">
        <v>41639</v>
      </c>
      <c r="C507">
        <v>9499</v>
      </c>
      <c r="D507">
        <v>1</v>
      </c>
      <c r="E507" t="s">
        <v>4040</v>
      </c>
      <c r="F507" t="s">
        <v>4376</v>
      </c>
      <c r="G507" t="s">
        <v>4040</v>
      </c>
      <c r="H507" s="3">
        <f t="shared" si="9"/>
        <v>905.18750000000011</v>
      </c>
      <c r="I507" s="3">
        <v>144.83000000000001</v>
      </c>
    </row>
    <row r="508" spans="1:12">
      <c r="A508" t="s">
        <v>285</v>
      </c>
      <c r="B508" s="1">
        <v>41631</v>
      </c>
      <c r="C508" t="s">
        <v>6883</v>
      </c>
      <c r="D508">
        <v>1</v>
      </c>
      <c r="E508" t="s">
        <v>1287</v>
      </c>
      <c r="F508" t="s">
        <v>1728</v>
      </c>
      <c r="G508" t="s">
        <v>1287</v>
      </c>
      <c r="H508" s="3">
        <f t="shared" si="9"/>
        <v>1294.875</v>
      </c>
      <c r="I508" s="3">
        <v>207.18</v>
      </c>
    </row>
    <row r="510" spans="1:12">
      <c r="H510" s="3">
        <f>SUM(H7:H509)</f>
        <v>-217977357.6875</v>
      </c>
      <c r="I510" s="3">
        <f>SUM(I7:I509)</f>
        <v>-34876377.229999982</v>
      </c>
    </row>
    <row r="512" spans="1:12">
      <c r="H512" s="3">
        <f>4390448.97-39266826.2</f>
        <v>-34876377.230000004</v>
      </c>
      <c r="I512" s="3">
        <f>+H512-I510</f>
        <v>0</v>
      </c>
    </row>
    <row r="515" spans="1:10">
      <c r="A515" s="151"/>
      <c r="B515" s="151"/>
      <c r="C515" s="151"/>
      <c r="D515" s="151"/>
      <c r="E515" s="151"/>
      <c r="F515" s="151" t="s">
        <v>724</v>
      </c>
      <c r="G515" s="151" t="s">
        <v>725</v>
      </c>
      <c r="H515" s="152" t="s">
        <v>732</v>
      </c>
      <c r="I515" s="151" t="s">
        <v>726</v>
      </c>
      <c r="J515" s="151" t="s">
        <v>7073</v>
      </c>
    </row>
    <row r="516" spans="1:10">
      <c r="A516" s="175" t="s">
        <v>7099</v>
      </c>
      <c r="B516" s="173">
        <v>85</v>
      </c>
      <c r="C516" s="156"/>
      <c r="D516" s="156"/>
      <c r="E516" s="156"/>
      <c r="F516">
        <v>1</v>
      </c>
      <c r="G516">
        <v>1</v>
      </c>
      <c r="H516" s="158">
        <f>+I516/0.16</f>
        <v>-242671109.375</v>
      </c>
      <c r="I516" s="157">
        <f>+I8</f>
        <v>-38827377.5</v>
      </c>
    </row>
    <row r="517" spans="1:10">
      <c r="A517" s="175" t="s">
        <v>7099</v>
      </c>
      <c r="B517" s="173">
        <v>85</v>
      </c>
      <c r="F517" s="81" t="s">
        <v>7012</v>
      </c>
      <c r="G517" s="81" t="s">
        <v>7013</v>
      </c>
      <c r="H517" s="3">
        <f>+I517/0.16</f>
        <v>200</v>
      </c>
      <c r="I517" s="3">
        <f>+SUMIF($F$7:$F$508,F517,$I$7:$I$508)</f>
        <v>32</v>
      </c>
    </row>
    <row r="518" spans="1:10">
      <c r="A518" s="175" t="s">
        <v>7099</v>
      </c>
      <c r="B518" s="173">
        <v>85</v>
      </c>
      <c r="F518" s="81" t="s">
        <v>5719</v>
      </c>
      <c r="G518" s="81" t="s">
        <v>5612</v>
      </c>
      <c r="H518" s="3">
        <f t="shared" ref="H518:H581" si="39">+I518/0.16</f>
        <v>25450</v>
      </c>
      <c r="I518" s="3">
        <f t="shared" ref="I518:I581" si="40">+SUMIF($F$7:$F$508,F518,$I$7:$I$508)</f>
        <v>4072</v>
      </c>
    </row>
    <row r="519" spans="1:10">
      <c r="A519" s="175" t="s">
        <v>7099</v>
      </c>
      <c r="B519" s="173">
        <v>85</v>
      </c>
      <c r="F519" s="84" t="s">
        <v>1571</v>
      </c>
      <c r="G519" s="81" t="s">
        <v>1285</v>
      </c>
      <c r="H519" s="3">
        <f t="shared" si="39"/>
        <v>6034.5</v>
      </c>
      <c r="I519" s="3">
        <f t="shared" si="40"/>
        <v>965.52</v>
      </c>
    </row>
    <row r="520" spans="1:10">
      <c r="A520" s="175" t="s">
        <v>7099</v>
      </c>
      <c r="B520" s="173">
        <v>85</v>
      </c>
      <c r="F520" s="88" t="s">
        <v>1578</v>
      </c>
      <c r="G520" s="89" t="s">
        <v>1579</v>
      </c>
      <c r="H520" s="3">
        <f t="shared" si="39"/>
        <v>1202</v>
      </c>
      <c r="I520" s="3">
        <f t="shared" si="40"/>
        <v>192.32</v>
      </c>
    </row>
    <row r="521" spans="1:10">
      <c r="A521" s="175" t="s">
        <v>7099</v>
      </c>
      <c r="B521" s="173">
        <v>85</v>
      </c>
      <c r="F521" s="28" t="s">
        <v>939</v>
      </c>
      <c r="G521" s="28" t="s">
        <v>940</v>
      </c>
      <c r="H521" s="3">
        <f t="shared" si="39"/>
        <v>1547.25</v>
      </c>
      <c r="I521" s="3">
        <f t="shared" si="40"/>
        <v>247.56</v>
      </c>
    </row>
    <row r="522" spans="1:10">
      <c r="A522" s="175" t="s">
        <v>7099</v>
      </c>
      <c r="B522" s="173">
        <v>85</v>
      </c>
      <c r="F522" s="28" t="s">
        <v>1671</v>
      </c>
      <c r="G522" s="28" t="s">
        <v>5739</v>
      </c>
      <c r="H522" s="3">
        <f t="shared" si="39"/>
        <v>292.9375</v>
      </c>
      <c r="I522" s="3">
        <f t="shared" si="40"/>
        <v>46.87</v>
      </c>
    </row>
    <row r="523" spans="1:10">
      <c r="A523" s="175" t="s">
        <v>7099</v>
      </c>
      <c r="B523" s="173">
        <v>85</v>
      </c>
      <c r="F523" s="124" t="s">
        <v>5722</v>
      </c>
      <c r="G523" s="81" t="s">
        <v>6227</v>
      </c>
      <c r="H523" s="3">
        <f t="shared" si="39"/>
        <v>14300</v>
      </c>
      <c r="I523" s="3">
        <f t="shared" si="40"/>
        <v>2288</v>
      </c>
    </row>
    <row r="524" spans="1:10">
      <c r="A524" s="175" t="s">
        <v>7099</v>
      </c>
      <c r="B524" s="173">
        <v>85</v>
      </c>
      <c r="F524" s="28" t="s">
        <v>6999</v>
      </c>
      <c r="G524" s="28" t="s">
        <v>7000</v>
      </c>
      <c r="H524" s="3">
        <f t="shared" si="39"/>
        <v>750.875</v>
      </c>
      <c r="I524" s="3">
        <f t="shared" si="40"/>
        <v>120.14</v>
      </c>
    </row>
    <row r="525" spans="1:10">
      <c r="A525" s="175" t="s">
        <v>7099</v>
      </c>
      <c r="B525" s="173">
        <v>85</v>
      </c>
      <c r="F525" s="81" t="s">
        <v>1649</v>
      </c>
      <c r="G525" s="81" t="s">
        <v>1650</v>
      </c>
      <c r="H525" s="3">
        <f t="shared" si="39"/>
        <v>612.12500000000011</v>
      </c>
      <c r="I525" s="3">
        <f t="shared" si="40"/>
        <v>97.940000000000012</v>
      </c>
    </row>
    <row r="526" spans="1:10">
      <c r="A526" s="175" t="s">
        <v>7099</v>
      </c>
      <c r="B526" s="173">
        <v>85</v>
      </c>
      <c r="F526" s="81" t="s">
        <v>941</v>
      </c>
      <c r="G526" s="81" t="s">
        <v>942</v>
      </c>
      <c r="H526" s="3">
        <f t="shared" si="39"/>
        <v>363.6875</v>
      </c>
      <c r="I526" s="3">
        <f t="shared" si="40"/>
        <v>58.19</v>
      </c>
    </row>
    <row r="527" spans="1:10">
      <c r="A527" s="175" t="s">
        <v>7099</v>
      </c>
      <c r="B527" s="173">
        <v>85</v>
      </c>
      <c r="F527" s="81" t="s">
        <v>736</v>
      </c>
      <c r="G527" s="81" t="s">
        <v>6497</v>
      </c>
      <c r="H527" s="3">
        <f t="shared" si="39"/>
        <v>511509.0625</v>
      </c>
      <c r="I527" s="3">
        <f t="shared" si="40"/>
        <v>81841.45</v>
      </c>
    </row>
    <row r="528" spans="1:10">
      <c r="A528" s="175" t="s">
        <v>7099</v>
      </c>
      <c r="B528" s="173">
        <v>85</v>
      </c>
      <c r="F528" s="84" t="s">
        <v>734</v>
      </c>
      <c r="G528" s="81" t="s">
        <v>735</v>
      </c>
      <c r="H528" s="3">
        <f t="shared" si="39"/>
        <v>1005466.875</v>
      </c>
      <c r="I528" s="3">
        <f t="shared" si="40"/>
        <v>160874.70000000001</v>
      </c>
    </row>
    <row r="529" spans="1:10">
      <c r="A529" s="175" t="s">
        <v>7099</v>
      </c>
      <c r="B529" s="173">
        <v>85</v>
      </c>
      <c r="F529" s="28" t="s">
        <v>1651</v>
      </c>
      <c r="G529" s="28" t="s">
        <v>3782</v>
      </c>
      <c r="H529" s="3">
        <f t="shared" si="39"/>
        <v>334.5625</v>
      </c>
      <c r="I529" s="3">
        <f t="shared" si="40"/>
        <v>53.53</v>
      </c>
    </row>
    <row r="530" spans="1:10">
      <c r="A530" s="175" t="s">
        <v>7099</v>
      </c>
      <c r="B530" s="173">
        <v>85</v>
      </c>
      <c r="F530" s="91" t="s">
        <v>4702</v>
      </c>
      <c r="G530" s="81" t="s">
        <v>4524</v>
      </c>
      <c r="H530" s="3">
        <f t="shared" si="39"/>
        <v>217444.0625</v>
      </c>
      <c r="I530" s="3">
        <f t="shared" si="40"/>
        <v>34791.050000000003</v>
      </c>
    </row>
    <row r="531" spans="1:10">
      <c r="A531" s="175" t="s">
        <v>7099</v>
      </c>
      <c r="B531" s="173">
        <v>85</v>
      </c>
      <c r="F531" s="87" t="s">
        <v>4377</v>
      </c>
      <c r="G531" s="81" t="s">
        <v>4006</v>
      </c>
      <c r="H531" s="3">
        <f t="shared" si="39"/>
        <v>233454.37499999997</v>
      </c>
      <c r="I531" s="3">
        <f t="shared" si="40"/>
        <v>37352.699999999997</v>
      </c>
    </row>
    <row r="532" spans="1:10">
      <c r="A532" s="175" t="s">
        <v>7099</v>
      </c>
      <c r="B532" s="173">
        <v>85</v>
      </c>
      <c r="F532" s="87" t="s">
        <v>4703</v>
      </c>
      <c r="G532" s="81" t="s">
        <v>4520</v>
      </c>
      <c r="H532" s="3">
        <f t="shared" si="39"/>
        <v>587068.87499999988</v>
      </c>
      <c r="I532" s="3">
        <f t="shared" si="40"/>
        <v>93931.01999999999</v>
      </c>
    </row>
    <row r="533" spans="1:10">
      <c r="A533" s="175" t="s">
        <v>7099</v>
      </c>
      <c r="B533" s="173">
        <v>85</v>
      </c>
      <c r="F533" s="81" t="s">
        <v>6962</v>
      </c>
      <c r="G533" s="81" t="s">
        <v>6829</v>
      </c>
      <c r="H533" s="3">
        <f t="shared" si="39"/>
        <v>5165.5625</v>
      </c>
      <c r="I533" s="3">
        <f t="shared" si="40"/>
        <v>826.49</v>
      </c>
    </row>
    <row r="534" spans="1:10">
      <c r="A534" s="175" t="s">
        <v>7099</v>
      </c>
      <c r="B534" s="173">
        <v>6</v>
      </c>
      <c r="F534" s="81" t="s">
        <v>6964</v>
      </c>
      <c r="G534" s="81" t="s">
        <v>6809</v>
      </c>
      <c r="H534" s="3">
        <f t="shared" si="39"/>
        <v>4770.3125</v>
      </c>
      <c r="I534" s="3">
        <f t="shared" si="40"/>
        <v>763.25</v>
      </c>
      <c r="J534">
        <v>508.82</v>
      </c>
    </row>
    <row r="535" spans="1:10">
      <c r="A535" s="175" t="s">
        <v>7099</v>
      </c>
      <c r="B535" s="173">
        <v>85</v>
      </c>
      <c r="F535" s="87" t="s">
        <v>4715</v>
      </c>
      <c r="G535" s="81" t="s">
        <v>828</v>
      </c>
      <c r="H535" s="3">
        <f t="shared" si="39"/>
        <v>13098.0625</v>
      </c>
      <c r="I535" s="3">
        <f t="shared" si="40"/>
        <v>2095.69</v>
      </c>
    </row>
    <row r="536" spans="1:10">
      <c r="A536" s="175" t="s">
        <v>7099</v>
      </c>
      <c r="B536" s="173">
        <v>85</v>
      </c>
      <c r="F536" s="87" t="s">
        <v>821</v>
      </c>
      <c r="G536" s="87" t="s">
        <v>2272</v>
      </c>
      <c r="H536" s="3">
        <f t="shared" si="39"/>
        <v>265</v>
      </c>
      <c r="I536" s="3">
        <f t="shared" si="40"/>
        <v>42.4</v>
      </c>
    </row>
    <row r="537" spans="1:10">
      <c r="A537" s="175" t="s">
        <v>7099</v>
      </c>
      <c r="B537" s="173">
        <v>85</v>
      </c>
      <c r="F537" s="81" t="s">
        <v>6963</v>
      </c>
      <c r="G537" s="81" t="s">
        <v>6670</v>
      </c>
      <c r="H537" s="3">
        <f t="shared" si="39"/>
        <v>125</v>
      </c>
      <c r="I537" s="3">
        <f t="shared" si="40"/>
        <v>20</v>
      </c>
    </row>
    <row r="538" spans="1:10">
      <c r="A538" s="175" t="s">
        <v>7099</v>
      </c>
      <c r="B538" s="173">
        <v>85</v>
      </c>
      <c r="F538" s="81" t="s">
        <v>2855</v>
      </c>
      <c r="G538" s="81" t="s">
        <v>2724</v>
      </c>
      <c r="H538" s="3">
        <f t="shared" si="39"/>
        <v>3500</v>
      </c>
      <c r="I538" s="3">
        <f t="shared" si="40"/>
        <v>560</v>
      </c>
    </row>
    <row r="539" spans="1:10">
      <c r="A539" s="175" t="s">
        <v>7099</v>
      </c>
      <c r="B539" s="173">
        <v>85</v>
      </c>
      <c r="F539" s="87" t="s">
        <v>823</v>
      </c>
      <c r="G539" s="90" t="s">
        <v>824</v>
      </c>
      <c r="H539" s="3">
        <f t="shared" si="39"/>
        <v>297</v>
      </c>
      <c r="I539" s="3">
        <f t="shared" si="40"/>
        <v>47.52</v>
      </c>
    </row>
    <row r="540" spans="1:10">
      <c r="A540" s="175" t="s">
        <v>7099</v>
      </c>
      <c r="B540" s="173">
        <v>85</v>
      </c>
      <c r="F540" s="123" t="s">
        <v>950</v>
      </c>
      <c r="G540" s="90" t="s">
        <v>951</v>
      </c>
      <c r="H540" s="3">
        <f t="shared" si="39"/>
        <v>10043.5625</v>
      </c>
      <c r="I540" s="3">
        <f t="shared" si="40"/>
        <v>1606.97</v>
      </c>
    </row>
    <row r="541" spans="1:10">
      <c r="A541" s="175" t="s">
        <v>7099</v>
      </c>
      <c r="B541" s="173">
        <v>85</v>
      </c>
      <c r="F541" s="81" t="s">
        <v>5162</v>
      </c>
      <c r="G541" s="81" t="s">
        <v>4899</v>
      </c>
      <c r="H541" s="3">
        <f t="shared" si="39"/>
        <v>525</v>
      </c>
      <c r="I541" s="3">
        <f t="shared" si="40"/>
        <v>84</v>
      </c>
    </row>
    <row r="542" spans="1:10">
      <c r="A542" s="175" t="s">
        <v>7099</v>
      </c>
      <c r="B542" s="173">
        <v>85</v>
      </c>
      <c r="F542" s="87" t="s">
        <v>825</v>
      </c>
      <c r="G542" s="90" t="s">
        <v>826</v>
      </c>
      <c r="H542" s="3">
        <f t="shared" si="39"/>
        <v>326</v>
      </c>
      <c r="I542" s="3">
        <f t="shared" si="40"/>
        <v>52.16</v>
      </c>
    </row>
    <row r="543" spans="1:10">
      <c r="A543" s="175" t="s">
        <v>7099</v>
      </c>
      <c r="B543" s="173">
        <v>85</v>
      </c>
      <c r="F543" s="84" t="s">
        <v>772</v>
      </c>
      <c r="G543" s="81" t="s">
        <v>29</v>
      </c>
      <c r="H543" s="3">
        <f t="shared" si="39"/>
        <v>1618694.8124999998</v>
      </c>
      <c r="I543" s="3">
        <f t="shared" si="40"/>
        <v>258991.16999999998</v>
      </c>
    </row>
    <row r="544" spans="1:10">
      <c r="A544" s="175" t="s">
        <v>7099</v>
      </c>
      <c r="B544" s="173">
        <v>6</v>
      </c>
      <c r="F544" s="87" t="s">
        <v>6982</v>
      </c>
      <c r="G544" s="81" t="s">
        <v>6983</v>
      </c>
      <c r="H544" s="3">
        <f t="shared" si="39"/>
        <v>32144</v>
      </c>
      <c r="I544" s="3">
        <f t="shared" si="40"/>
        <v>5143.04</v>
      </c>
      <c r="J544">
        <v>3429.76</v>
      </c>
    </row>
    <row r="545" spans="1:9">
      <c r="A545" s="175" t="s">
        <v>7099</v>
      </c>
      <c r="B545" s="173">
        <v>85</v>
      </c>
      <c r="F545" s="81" t="s">
        <v>6969</v>
      </c>
      <c r="G545" s="81" t="s">
        <v>6844</v>
      </c>
      <c r="H545" s="3">
        <f t="shared" si="39"/>
        <v>70905.1875</v>
      </c>
      <c r="I545" s="3">
        <f t="shared" si="40"/>
        <v>11344.83</v>
      </c>
    </row>
    <row r="546" spans="1:9">
      <c r="A546" s="175" t="s">
        <v>7099</v>
      </c>
      <c r="B546" s="173">
        <v>85</v>
      </c>
      <c r="F546" s="28" t="s">
        <v>3395</v>
      </c>
      <c r="G546" s="28" t="s">
        <v>4340</v>
      </c>
      <c r="H546" s="3">
        <f t="shared" si="39"/>
        <v>334.625</v>
      </c>
      <c r="I546" s="3">
        <f t="shared" si="40"/>
        <v>53.54</v>
      </c>
    </row>
    <row r="547" spans="1:9">
      <c r="A547" s="175" t="s">
        <v>7099</v>
      </c>
      <c r="B547" s="173">
        <v>85</v>
      </c>
      <c r="F547" s="81" t="s">
        <v>5770</v>
      </c>
      <c r="G547" s="81" t="s">
        <v>5490</v>
      </c>
      <c r="H547" s="3">
        <f t="shared" si="39"/>
        <v>301.75</v>
      </c>
      <c r="I547" s="3">
        <f t="shared" si="40"/>
        <v>48.28</v>
      </c>
    </row>
    <row r="548" spans="1:9">
      <c r="A548" s="175" t="s">
        <v>7099</v>
      </c>
      <c r="B548" s="173">
        <v>85</v>
      </c>
      <c r="F548" s="87" t="s">
        <v>755</v>
      </c>
      <c r="G548" s="81" t="s">
        <v>756</v>
      </c>
      <c r="H548" s="3">
        <f t="shared" si="39"/>
        <v>679928.1875</v>
      </c>
      <c r="I548" s="3">
        <f t="shared" si="40"/>
        <v>108788.51</v>
      </c>
    </row>
    <row r="549" spans="1:9">
      <c r="A549" s="175" t="s">
        <v>7099</v>
      </c>
      <c r="B549" s="173">
        <v>85</v>
      </c>
      <c r="F549" s="81" t="s">
        <v>2878</v>
      </c>
      <c r="G549" s="81" t="s">
        <v>2879</v>
      </c>
      <c r="H549" s="3">
        <f t="shared" si="39"/>
        <v>93.0625</v>
      </c>
      <c r="I549" s="3">
        <f t="shared" si="40"/>
        <v>14.89</v>
      </c>
    </row>
    <row r="550" spans="1:9">
      <c r="A550" s="175" t="s">
        <v>7099</v>
      </c>
      <c r="B550" s="173">
        <v>85</v>
      </c>
      <c r="F550" s="81" t="s">
        <v>6294</v>
      </c>
      <c r="G550" s="81" t="s">
        <v>6007</v>
      </c>
      <c r="H550" s="3">
        <f t="shared" si="39"/>
        <v>1150</v>
      </c>
      <c r="I550" s="3">
        <f t="shared" si="40"/>
        <v>184</v>
      </c>
    </row>
    <row r="551" spans="1:9">
      <c r="A551" s="175" t="s">
        <v>7099</v>
      </c>
      <c r="B551" s="173">
        <v>85</v>
      </c>
      <c r="F551" s="81" t="s">
        <v>6284</v>
      </c>
      <c r="G551" s="81" t="s">
        <v>5661</v>
      </c>
      <c r="H551" s="3">
        <f t="shared" si="39"/>
        <v>280696.5</v>
      </c>
      <c r="I551" s="3">
        <f t="shared" si="40"/>
        <v>44911.44</v>
      </c>
    </row>
    <row r="552" spans="1:9">
      <c r="A552" s="175" t="s">
        <v>7099</v>
      </c>
      <c r="B552" s="173">
        <v>85</v>
      </c>
      <c r="F552" s="81" t="s">
        <v>5728</v>
      </c>
      <c r="G552" s="81" t="s">
        <v>6965</v>
      </c>
      <c r="H552" s="3">
        <f t="shared" si="39"/>
        <v>116.375</v>
      </c>
      <c r="I552" s="3">
        <f t="shared" si="40"/>
        <v>18.62</v>
      </c>
    </row>
    <row r="553" spans="1:9">
      <c r="A553" s="175" t="s">
        <v>7099</v>
      </c>
      <c r="B553" s="173">
        <v>85</v>
      </c>
      <c r="F553" s="81" t="s">
        <v>3389</v>
      </c>
      <c r="G553" s="81" t="s">
        <v>4336</v>
      </c>
      <c r="H553" s="3">
        <f t="shared" si="39"/>
        <v>17.25</v>
      </c>
      <c r="I553" s="3">
        <f t="shared" si="40"/>
        <v>2.76</v>
      </c>
    </row>
    <row r="554" spans="1:9">
      <c r="A554" s="175" t="s">
        <v>7099</v>
      </c>
      <c r="B554" s="173">
        <v>85</v>
      </c>
      <c r="F554" s="81" t="s">
        <v>6968</v>
      </c>
      <c r="G554" s="81" t="s">
        <v>100</v>
      </c>
      <c r="H554" s="3">
        <f t="shared" si="39"/>
        <v>23019.8125</v>
      </c>
      <c r="I554" s="3">
        <f t="shared" si="40"/>
        <v>3683.17</v>
      </c>
    </row>
    <row r="555" spans="1:9">
      <c r="A555" s="175" t="s">
        <v>7099</v>
      </c>
      <c r="B555" s="173">
        <v>85</v>
      </c>
      <c r="F555" t="s">
        <v>6984</v>
      </c>
      <c r="G555" t="s">
        <v>6985</v>
      </c>
      <c r="H555" s="3">
        <f t="shared" si="39"/>
        <v>215517.25</v>
      </c>
      <c r="I555" s="3">
        <f t="shared" si="40"/>
        <v>34482.76</v>
      </c>
    </row>
    <row r="556" spans="1:9">
      <c r="A556" s="175" t="s">
        <v>7099</v>
      </c>
      <c r="B556" s="173">
        <v>85</v>
      </c>
      <c r="F556" s="81" t="s">
        <v>770</v>
      </c>
      <c r="G556" s="81" t="s">
        <v>1142</v>
      </c>
      <c r="H556" s="3">
        <f t="shared" si="39"/>
        <v>18589</v>
      </c>
      <c r="I556" s="3">
        <f t="shared" si="40"/>
        <v>2974.24</v>
      </c>
    </row>
    <row r="557" spans="1:9">
      <c r="A557" s="175" t="s">
        <v>7099</v>
      </c>
      <c r="B557" s="173">
        <v>85</v>
      </c>
      <c r="F557" s="81" t="s">
        <v>757</v>
      </c>
      <c r="G557" s="81" t="s">
        <v>6652</v>
      </c>
      <c r="H557" s="3">
        <f t="shared" si="39"/>
        <v>56.937499999999993</v>
      </c>
      <c r="I557" s="3">
        <f t="shared" si="40"/>
        <v>9.11</v>
      </c>
    </row>
    <row r="558" spans="1:9">
      <c r="A558" s="175" t="s">
        <v>7099</v>
      </c>
      <c r="B558" s="173">
        <v>85</v>
      </c>
      <c r="F558" s="81" t="s">
        <v>1585</v>
      </c>
      <c r="G558" s="81" t="s">
        <v>999</v>
      </c>
      <c r="H558" s="3">
        <f t="shared" si="39"/>
        <v>10753.375</v>
      </c>
      <c r="I558" s="3">
        <f t="shared" si="40"/>
        <v>1720.54</v>
      </c>
    </row>
    <row r="559" spans="1:9">
      <c r="A559" s="175" t="s">
        <v>7099</v>
      </c>
      <c r="B559" s="173">
        <v>85</v>
      </c>
      <c r="F559" s="81" t="s">
        <v>773</v>
      </c>
      <c r="G559" s="81" t="s">
        <v>514</v>
      </c>
      <c r="H559" s="3">
        <f t="shared" si="39"/>
        <v>1277.75</v>
      </c>
      <c r="I559" s="3">
        <f t="shared" si="40"/>
        <v>204.44</v>
      </c>
    </row>
    <row r="560" spans="1:9">
      <c r="A560" s="175" t="s">
        <v>7099</v>
      </c>
      <c r="B560" s="173">
        <v>85</v>
      </c>
      <c r="F560" s="81" t="s">
        <v>767</v>
      </c>
      <c r="G560" s="81" t="s">
        <v>768</v>
      </c>
      <c r="H560" s="3">
        <f t="shared" si="39"/>
        <v>1079.25</v>
      </c>
      <c r="I560" s="3">
        <f t="shared" si="40"/>
        <v>172.68</v>
      </c>
    </row>
    <row r="561" spans="1:9">
      <c r="A561" s="175" t="s">
        <v>7099</v>
      </c>
      <c r="B561" s="173">
        <v>85</v>
      </c>
      <c r="F561" s="81" t="s">
        <v>1601</v>
      </c>
      <c r="G561" s="81" t="s">
        <v>6300</v>
      </c>
      <c r="H561" s="3">
        <f t="shared" si="39"/>
        <v>7474.8125</v>
      </c>
      <c r="I561" s="3">
        <f t="shared" si="40"/>
        <v>1195.97</v>
      </c>
    </row>
    <row r="562" spans="1:9">
      <c r="A562" s="175" t="s">
        <v>7099</v>
      </c>
      <c r="B562" s="173">
        <v>85</v>
      </c>
      <c r="F562" s="81" t="s">
        <v>1587</v>
      </c>
      <c r="G562" s="81" t="s">
        <v>5484</v>
      </c>
      <c r="H562" s="3">
        <f t="shared" si="39"/>
        <v>400</v>
      </c>
      <c r="I562" s="3">
        <f t="shared" si="40"/>
        <v>64</v>
      </c>
    </row>
    <row r="563" spans="1:9">
      <c r="A563" s="175" t="s">
        <v>7099</v>
      </c>
      <c r="B563" s="173">
        <v>85</v>
      </c>
      <c r="F563" s="28" t="s">
        <v>937</v>
      </c>
      <c r="G563" s="28" t="s">
        <v>938</v>
      </c>
      <c r="H563" s="3">
        <f t="shared" si="39"/>
        <v>250.9375</v>
      </c>
      <c r="I563" s="3">
        <f t="shared" si="40"/>
        <v>40.15</v>
      </c>
    </row>
    <row r="564" spans="1:9">
      <c r="A564" s="175" t="s">
        <v>7099</v>
      </c>
      <c r="B564" s="173">
        <v>85</v>
      </c>
      <c r="F564" s="81" t="s">
        <v>1576</v>
      </c>
      <c r="G564" s="81" t="s">
        <v>1059</v>
      </c>
      <c r="H564" s="3">
        <f t="shared" si="39"/>
        <v>827.62499999999989</v>
      </c>
      <c r="I564" s="3">
        <f t="shared" si="40"/>
        <v>132.41999999999999</v>
      </c>
    </row>
    <row r="565" spans="1:9">
      <c r="A565" s="175" t="s">
        <v>7099</v>
      </c>
      <c r="B565" s="173">
        <v>85</v>
      </c>
      <c r="F565" s="84" t="s">
        <v>761</v>
      </c>
      <c r="G565" s="81" t="s">
        <v>762</v>
      </c>
      <c r="H565" s="3">
        <f t="shared" si="39"/>
        <v>224993.125</v>
      </c>
      <c r="I565" s="3">
        <f t="shared" si="40"/>
        <v>35998.9</v>
      </c>
    </row>
    <row r="566" spans="1:9">
      <c r="A566" s="175" t="s">
        <v>7099</v>
      </c>
      <c r="B566" s="173">
        <v>85</v>
      </c>
      <c r="F566" s="81" t="s">
        <v>777</v>
      </c>
      <c r="G566" s="81" t="s">
        <v>296</v>
      </c>
      <c r="H566" s="3">
        <f t="shared" si="39"/>
        <v>10702</v>
      </c>
      <c r="I566" s="3">
        <f t="shared" si="40"/>
        <v>1712.3200000000002</v>
      </c>
    </row>
    <row r="567" spans="1:9">
      <c r="A567" s="175" t="s">
        <v>7099</v>
      </c>
      <c r="B567" s="173">
        <v>85</v>
      </c>
      <c r="F567" s="81" t="s">
        <v>2290</v>
      </c>
      <c r="G567" s="81" t="s">
        <v>2064</v>
      </c>
      <c r="H567" s="3">
        <f t="shared" si="39"/>
        <v>425</v>
      </c>
      <c r="I567" s="3">
        <f t="shared" si="40"/>
        <v>68</v>
      </c>
    </row>
    <row r="568" spans="1:9">
      <c r="A568" s="175" t="s">
        <v>7099</v>
      </c>
      <c r="B568" s="173">
        <v>85</v>
      </c>
      <c r="F568" s="81" t="s">
        <v>6322</v>
      </c>
      <c r="G568" s="81" t="s">
        <v>6323</v>
      </c>
      <c r="H568" s="3">
        <f t="shared" si="39"/>
        <v>402.0625</v>
      </c>
      <c r="I568" s="3">
        <f t="shared" si="40"/>
        <v>64.33</v>
      </c>
    </row>
    <row r="569" spans="1:9">
      <c r="A569" s="175" t="s">
        <v>7099</v>
      </c>
      <c r="B569" s="173">
        <v>85</v>
      </c>
      <c r="F569" s="81" t="s">
        <v>775</v>
      </c>
      <c r="G569" s="81" t="s">
        <v>2504</v>
      </c>
      <c r="H569" s="3">
        <f t="shared" si="39"/>
        <v>429524.25</v>
      </c>
      <c r="I569" s="3">
        <f t="shared" si="40"/>
        <v>68723.88</v>
      </c>
    </row>
    <row r="570" spans="1:9">
      <c r="A570" s="175" t="s">
        <v>7099</v>
      </c>
      <c r="B570" s="173">
        <v>85</v>
      </c>
      <c r="F570" s="84" t="s">
        <v>6971</v>
      </c>
      <c r="G570" s="81" t="s">
        <v>6442</v>
      </c>
      <c r="H570" s="3">
        <f t="shared" si="39"/>
        <v>309447.5</v>
      </c>
      <c r="I570" s="3">
        <f t="shared" si="40"/>
        <v>49511.6</v>
      </c>
    </row>
    <row r="571" spans="1:9">
      <c r="A571" s="175" t="s">
        <v>7099</v>
      </c>
      <c r="B571" s="173">
        <v>85</v>
      </c>
      <c r="F571" s="81" t="s">
        <v>6970</v>
      </c>
      <c r="G571" s="81" t="s">
        <v>6483</v>
      </c>
      <c r="H571" s="3">
        <f t="shared" si="39"/>
        <v>224993.125</v>
      </c>
      <c r="I571" s="3">
        <f t="shared" si="40"/>
        <v>35998.9</v>
      </c>
    </row>
    <row r="572" spans="1:9">
      <c r="A572" s="175" t="s">
        <v>7099</v>
      </c>
      <c r="B572" s="173">
        <v>85</v>
      </c>
      <c r="F572" s="87" t="s">
        <v>5163</v>
      </c>
      <c r="G572" s="81" t="s">
        <v>4847</v>
      </c>
      <c r="H572" s="3">
        <f t="shared" si="39"/>
        <v>259056.9375</v>
      </c>
      <c r="I572" s="3">
        <f t="shared" si="40"/>
        <v>41449.11</v>
      </c>
    </row>
    <row r="573" spans="1:9">
      <c r="A573" s="175" t="s">
        <v>7099</v>
      </c>
      <c r="B573" s="173">
        <v>85</v>
      </c>
      <c r="F573" s="81" t="s">
        <v>6972</v>
      </c>
      <c r="G573" s="81" t="s">
        <v>5614</v>
      </c>
      <c r="H573" s="3">
        <f t="shared" si="39"/>
        <v>34890</v>
      </c>
      <c r="I573" s="3">
        <f t="shared" si="40"/>
        <v>5582.4</v>
      </c>
    </row>
    <row r="574" spans="1:9">
      <c r="A574" s="175" t="s">
        <v>7099</v>
      </c>
      <c r="B574" s="173">
        <v>85</v>
      </c>
      <c r="F574" s="81" t="s">
        <v>781</v>
      </c>
      <c r="G574" s="81" t="s">
        <v>80</v>
      </c>
      <c r="H574" s="3">
        <f t="shared" si="39"/>
        <v>2660.4999999999995</v>
      </c>
      <c r="I574" s="3">
        <f t="shared" si="40"/>
        <v>425.67999999999995</v>
      </c>
    </row>
    <row r="575" spans="1:9">
      <c r="A575" s="175" t="s">
        <v>7099</v>
      </c>
      <c r="B575" s="173">
        <v>85</v>
      </c>
      <c r="F575" s="81" t="s">
        <v>6992</v>
      </c>
      <c r="G575" s="81" t="s">
        <v>6662</v>
      </c>
      <c r="H575" s="3">
        <f t="shared" si="39"/>
        <v>29.749999999999996</v>
      </c>
      <c r="I575" s="3">
        <f t="shared" si="40"/>
        <v>4.76</v>
      </c>
    </row>
    <row r="576" spans="1:9">
      <c r="A576" s="175" t="s">
        <v>7099</v>
      </c>
      <c r="B576" s="173">
        <v>85</v>
      </c>
      <c r="F576" s="81" t="s">
        <v>1593</v>
      </c>
      <c r="G576" s="81" t="s">
        <v>1446</v>
      </c>
      <c r="H576" s="3">
        <f t="shared" si="39"/>
        <v>157.25</v>
      </c>
      <c r="I576" s="3">
        <f t="shared" si="40"/>
        <v>25.16</v>
      </c>
    </row>
    <row r="577" spans="1:9">
      <c r="A577" s="175" t="s">
        <v>7099</v>
      </c>
      <c r="B577" s="173">
        <v>85</v>
      </c>
      <c r="F577" s="81" t="s">
        <v>780</v>
      </c>
      <c r="G577" s="81" t="s">
        <v>373</v>
      </c>
      <c r="H577" s="3">
        <f t="shared" si="39"/>
        <v>96475</v>
      </c>
      <c r="I577" s="3">
        <f t="shared" si="40"/>
        <v>15436</v>
      </c>
    </row>
    <row r="578" spans="1:9">
      <c r="A578" s="175" t="s">
        <v>7099</v>
      </c>
      <c r="B578" s="173">
        <v>85</v>
      </c>
      <c r="F578" s="28" t="s">
        <v>935</v>
      </c>
      <c r="G578" s="28" t="s">
        <v>936</v>
      </c>
      <c r="H578" s="3">
        <f t="shared" si="39"/>
        <v>83.625</v>
      </c>
      <c r="I578" s="3">
        <f t="shared" si="40"/>
        <v>13.38</v>
      </c>
    </row>
    <row r="579" spans="1:9">
      <c r="A579" s="175" t="s">
        <v>7099</v>
      </c>
      <c r="B579" s="173">
        <v>85</v>
      </c>
      <c r="F579" s="81" t="s">
        <v>784</v>
      </c>
      <c r="G579" s="81" t="s">
        <v>618</v>
      </c>
      <c r="H579" s="3">
        <f t="shared" si="39"/>
        <v>172.4375</v>
      </c>
      <c r="I579" s="3">
        <f t="shared" si="40"/>
        <v>27.59</v>
      </c>
    </row>
    <row r="580" spans="1:9">
      <c r="A580" s="175" t="s">
        <v>7099</v>
      </c>
      <c r="B580" s="173">
        <v>85</v>
      </c>
      <c r="F580" s="81" t="s">
        <v>739</v>
      </c>
      <c r="G580" s="81" t="s">
        <v>469</v>
      </c>
      <c r="H580" s="3">
        <f t="shared" si="39"/>
        <v>1077.4999999999998</v>
      </c>
      <c r="I580" s="3">
        <f t="shared" si="40"/>
        <v>172.39999999999998</v>
      </c>
    </row>
    <row r="581" spans="1:9">
      <c r="A581" s="175" t="s">
        <v>7099</v>
      </c>
      <c r="B581" s="173">
        <v>85</v>
      </c>
      <c r="F581" s="81" t="s">
        <v>788</v>
      </c>
      <c r="G581" s="81" t="s">
        <v>6691</v>
      </c>
      <c r="H581" s="3">
        <f t="shared" si="39"/>
        <v>81.875</v>
      </c>
      <c r="I581" s="3">
        <f t="shared" si="40"/>
        <v>13.1</v>
      </c>
    </row>
    <row r="582" spans="1:9">
      <c r="A582" s="175" t="s">
        <v>7099</v>
      </c>
      <c r="B582" s="173">
        <v>85</v>
      </c>
      <c r="F582" s="81" t="s">
        <v>791</v>
      </c>
      <c r="G582" s="81" t="s">
        <v>6875</v>
      </c>
      <c r="H582" s="3">
        <f t="shared" ref="H582:H645" si="41">+I582/0.16</f>
        <v>1657.2500000000002</v>
      </c>
      <c r="I582" s="3">
        <f t="shared" ref="I582:I645" si="42">+SUMIF($F$7:$F$508,F582,$I$7:$I$508)</f>
        <v>265.16000000000003</v>
      </c>
    </row>
    <row r="583" spans="1:9">
      <c r="A583" s="175" t="s">
        <v>7099</v>
      </c>
      <c r="B583" s="173">
        <v>85</v>
      </c>
      <c r="F583" s="81" t="s">
        <v>4349</v>
      </c>
      <c r="G583" s="81" t="s">
        <v>4720</v>
      </c>
      <c r="H583" s="3">
        <f t="shared" si="41"/>
        <v>459.9375</v>
      </c>
      <c r="I583" s="3">
        <f t="shared" si="42"/>
        <v>73.59</v>
      </c>
    </row>
    <row r="584" spans="1:9">
      <c r="A584" s="175" t="s">
        <v>7099</v>
      </c>
      <c r="B584" s="173">
        <v>85</v>
      </c>
      <c r="F584" s="28" t="s">
        <v>5756</v>
      </c>
      <c r="G584" s="28" t="s">
        <v>7003</v>
      </c>
      <c r="H584" s="3">
        <f t="shared" si="41"/>
        <v>669.25</v>
      </c>
      <c r="I584" s="3">
        <f t="shared" si="42"/>
        <v>107.08</v>
      </c>
    </row>
    <row r="585" spans="1:9">
      <c r="A585" s="175" t="s">
        <v>7099</v>
      </c>
      <c r="B585" s="173">
        <v>85</v>
      </c>
      <c r="F585" s="84" t="s">
        <v>954</v>
      </c>
      <c r="G585" s="81" t="s">
        <v>2276</v>
      </c>
      <c r="H585" s="3">
        <f t="shared" si="41"/>
        <v>172.4375</v>
      </c>
      <c r="I585" s="3">
        <f t="shared" si="42"/>
        <v>27.59</v>
      </c>
    </row>
    <row r="586" spans="1:9">
      <c r="A586" s="175" t="s">
        <v>7099</v>
      </c>
      <c r="B586" s="173">
        <v>85</v>
      </c>
      <c r="F586" s="28" t="s">
        <v>1655</v>
      </c>
      <c r="G586" s="28" t="s">
        <v>7041</v>
      </c>
      <c r="H586" s="3">
        <f t="shared" si="41"/>
        <v>583</v>
      </c>
      <c r="I586" s="3">
        <f t="shared" si="42"/>
        <v>93.28</v>
      </c>
    </row>
    <row r="587" spans="1:9">
      <c r="A587" s="175" t="s">
        <v>7099</v>
      </c>
      <c r="B587" s="173">
        <v>85</v>
      </c>
      <c r="F587" s="81" t="s">
        <v>7039</v>
      </c>
      <c r="G587" s="81" t="s">
        <v>7040</v>
      </c>
      <c r="H587" s="3">
        <f t="shared" si="41"/>
        <v>250.9375</v>
      </c>
      <c r="I587" s="3">
        <f t="shared" si="42"/>
        <v>40.15</v>
      </c>
    </row>
    <row r="588" spans="1:9">
      <c r="A588" s="175" t="s">
        <v>7099</v>
      </c>
      <c r="B588" s="173">
        <v>85</v>
      </c>
      <c r="F588" s="81" t="s">
        <v>3377</v>
      </c>
      <c r="G588" s="81" t="s">
        <v>7032</v>
      </c>
      <c r="H588" s="3">
        <f t="shared" si="41"/>
        <v>669</v>
      </c>
      <c r="I588" s="3">
        <f t="shared" si="42"/>
        <v>107.04</v>
      </c>
    </row>
    <row r="589" spans="1:9">
      <c r="A589" s="175" t="s">
        <v>7099</v>
      </c>
      <c r="B589" s="173">
        <v>85</v>
      </c>
      <c r="F589" s="81" t="s">
        <v>5166</v>
      </c>
      <c r="G589" s="81" t="s">
        <v>6457</v>
      </c>
      <c r="H589" s="3">
        <f t="shared" si="41"/>
        <v>1173.4375</v>
      </c>
      <c r="I589" s="3">
        <f t="shared" si="42"/>
        <v>187.75</v>
      </c>
    </row>
    <row r="590" spans="1:9">
      <c r="A590" s="175" t="s">
        <v>7099</v>
      </c>
      <c r="B590" s="173">
        <v>85</v>
      </c>
      <c r="F590" s="81" t="s">
        <v>794</v>
      </c>
      <c r="G590" s="81" t="s">
        <v>612</v>
      </c>
      <c r="H590" s="3">
        <f t="shared" si="41"/>
        <v>590.375</v>
      </c>
      <c r="I590" s="3">
        <f t="shared" si="42"/>
        <v>94.46</v>
      </c>
    </row>
    <row r="591" spans="1:9">
      <c r="A591" s="175" t="s">
        <v>7099</v>
      </c>
      <c r="B591" s="173">
        <v>85</v>
      </c>
      <c r="F591" s="28" t="s">
        <v>7015</v>
      </c>
      <c r="G591" s="28" t="s">
        <v>7016</v>
      </c>
      <c r="H591" s="3">
        <f t="shared" si="41"/>
        <v>476.9375</v>
      </c>
      <c r="I591" s="3">
        <f t="shared" si="42"/>
        <v>76.31</v>
      </c>
    </row>
    <row r="592" spans="1:9">
      <c r="A592" s="175" t="s">
        <v>7099</v>
      </c>
      <c r="B592" s="173">
        <v>85</v>
      </c>
      <c r="F592" s="88" t="s">
        <v>1598</v>
      </c>
      <c r="G592" s="81" t="s">
        <v>1599</v>
      </c>
      <c r="H592" s="3">
        <f t="shared" si="41"/>
        <v>440664.31250000006</v>
      </c>
      <c r="I592" s="3">
        <f t="shared" si="42"/>
        <v>70506.290000000008</v>
      </c>
    </row>
    <row r="593" spans="1:9">
      <c r="A593" s="175" t="s">
        <v>7099</v>
      </c>
      <c r="B593" s="173">
        <v>85</v>
      </c>
      <c r="F593" s="81" t="s">
        <v>793</v>
      </c>
      <c r="G593" s="81" t="s">
        <v>22</v>
      </c>
      <c r="H593" s="3">
        <f t="shared" si="41"/>
        <v>40597.6875</v>
      </c>
      <c r="I593" s="3">
        <f t="shared" si="42"/>
        <v>6495.63</v>
      </c>
    </row>
    <row r="594" spans="1:9">
      <c r="A594" s="175" t="s">
        <v>7099</v>
      </c>
      <c r="B594" s="173">
        <v>85</v>
      </c>
      <c r="F594" s="81" t="s">
        <v>5197</v>
      </c>
      <c r="G594" s="81" t="s">
        <v>5198</v>
      </c>
      <c r="H594" s="3">
        <f t="shared" si="41"/>
        <v>94.8125</v>
      </c>
      <c r="I594" s="3">
        <f t="shared" si="42"/>
        <v>15.17</v>
      </c>
    </row>
    <row r="595" spans="1:9">
      <c r="A595" s="175" t="s">
        <v>7099</v>
      </c>
      <c r="B595" s="173">
        <v>85</v>
      </c>
      <c r="F595" s="81" t="s">
        <v>778</v>
      </c>
      <c r="G595" s="81" t="s">
        <v>6986</v>
      </c>
      <c r="H595" s="3">
        <f t="shared" si="41"/>
        <v>1150</v>
      </c>
      <c r="I595" s="3">
        <f t="shared" si="42"/>
        <v>184</v>
      </c>
    </row>
    <row r="596" spans="1:9">
      <c r="A596" s="175" t="s">
        <v>7099</v>
      </c>
      <c r="B596" s="173">
        <v>85</v>
      </c>
      <c r="F596" s="81" t="s">
        <v>3347</v>
      </c>
      <c r="G596" s="81" t="s">
        <v>3606</v>
      </c>
      <c r="H596" s="3">
        <f t="shared" si="41"/>
        <v>99.1875</v>
      </c>
      <c r="I596" s="3">
        <f t="shared" si="42"/>
        <v>15.87</v>
      </c>
    </row>
    <row r="597" spans="1:9">
      <c r="A597" s="175" t="s">
        <v>7099</v>
      </c>
      <c r="B597" s="173">
        <v>85</v>
      </c>
      <c r="F597" s="28" t="s">
        <v>2352</v>
      </c>
      <c r="G597" s="28" t="s">
        <v>2353</v>
      </c>
      <c r="H597" s="3">
        <f t="shared" si="41"/>
        <v>192.375</v>
      </c>
      <c r="I597" s="3">
        <f t="shared" si="42"/>
        <v>30.78</v>
      </c>
    </row>
    <row r="598" spans="1:9">
      <c r="A598" s="175" t="s">
        <v>7099</v>
      </c>
      <c r="B598" s="173">
        <v>85</v>
      </c>
      <c r="F598" s="81" t="s">
        <v>7042</v>
      </c>
      <c r="G598" s="81" t="s">
        <v>7043</v>
      </c>
      <c r="H598" s="3">
        <f t="shared" si="41"/>
        <v>64.6875</v>
      </c>
      <c r="I598" s="3">
        <f t="shared" si="42"/>
        <v>10.35</v>
      </c>
    </row>
    <row r="599" spans="1:9">
      <c r="A599" s="175" t="s">
        <v>7099</v>
      </c>
      <c r="B599" s="173">
        <v>85</v>
      </c>
      <c r="F599" s="81" t="s">
        <v>798</v>
      </c>
      <c r="G599" s="81" t="s">
        <v>77</v>
      </c>
      <c r="H599" s="3">
        <f t="shared" si="41"/>
        <v>7121.1250000000009</v>
      </c>
      <c r="I599" s="3">
        <f t="shared" si="42"/>
        <v>1139.3800000000001</v>
      </c>
    </row>
    <row r="600" spans="1:9">
      <c r="A600" s="175" t="s">
        <v>7099</v>
      </c>
      <c r="B600" s="173">
        <v>85</v>
      </c>
      <c r="F600" s="81" t="s">
        <v>2901</v>
      </c>
      <c r="G600" s="81" t="s">
        <v>6976</v>
      </c>
      <c r="H600" s="3">
        <f t="shared" si="41"/>
        <v>103.4375</v>
      </c>
      <c r="I600" s="3">
        <f t="shared" si="42"/>
        <v>16.55</v>
      </c>
    </row>
    <row r="601" spans="1:9">
      <c r="A601" s="175" t="s">
        <v>7099</v>
      </c>
      <c r="B601" s="173">
        <v>85</v>
      </c>
      <c r="F601" s="81" t="s">
        <v>7029</v>
      </c>
      <c r="G601" s="81" t="s">
        <v>2355</v>
      </c>
      <c r="H601" s="3">
        <f t="shared" si="41"/>
        <v>502.25</v>
      </c>
      <c r="I601" s="3">
        <f t="shared" si="42"/>
        <v>80.36</v>
      </c>
    </row>
    <row r="602" spans="1:9">
      <c r="A602" s="175" t="s">
        <v>7099</v>
      </c>
      <c r="B602" s="173">
        <v>85</v>
      </c>
      <c r="F602" s="28" t="s">
        <v>1698</v>
      </c>
      <c r="G602" s="28" t="s">
        <v>1699</v>
      </c>
      <c r="H602" s="3">
        <f t="shared" si="41"/>
        <v>755.6875</v>
      </c>
      <c r="I602" s="3">
        <f t="shared" si="42"/>
        <v>120.91</v>
      </c>
    </row>
    <row r="603" spans="1:9">
      <c r="A603" s="175" t="s">
        <v>7099</v>
      </c>
      <c r="B603" s="173">
        <v>85</v>
      </c>
      <c r="F603" t="s">
        <v>6979</v>
      </c>
      <c r="G603" t="s">
        <v>6980</v>
      </c>
      <c r="H603" s="3">
        <f t="shared" si="41"/>
        <v>167.3125</v>
      </c>
      <c r="I603" s="3">
        <f t="shared" si="42"/>
        <v>26.77</v>
      </c>
    </row>
    <row r="604" spans="1:9">
      <c r="A604" s="175" t="s">
        <v>7099</v>
      </c>
      <c r="B604" s="173">
        <v>85</v>
      </c>
      <c r="F604" s="28" t="s">
        <v>7010</v>
      </c>
      <c r="G604" s="28" t="s">
        <v>7011</v>
      </c>
      <c r="H604" s="3">
        <f t="shared" si="41"/>
        <v>120.625</v>
      </c>
      <c r="I604" s="3">
        <f t="shared" si="42"/>
        <v>19.3</v>
      </c>
    </row>
    <row r="605" spans="1:9">
      <c r="A605" s="175" t="s">
        <v>7099</v>
      </c>
      <c r="B605" s="173">
        <v>85</v>
      </c>
      <c r="F605" s="28" t="s">
        <v>7001</v>
      </c>
      <c r="G605" s="28" t="s">
        <v>7002</v>
      </c>
      <c r="H605" s="3">
        <f t="shared" si="41"/>
        <v>100.4375</v>
      </c>
      <c r="I605" s="3">
        <f t="shared" si="42"/>
        <v>16.07</v>
      </c>
    </row>
    <row r="606" spans="1:9">
      <c r="A606" s="175" t="s">
        <v>7099</v>
      </c>
      <c r="B606" s="173">
        <v>85</v>
      </c>
      <c r="F606" t="s">
        <v>7027</v>
      </c>
      <c r="G606" t="s">
        <v>7028</v>
      </c>
      <c r="H606" s="3">
        <f t="shared" si="41"/>
        <v>418.25</v>
      </c>
      <c r="I606" s="3">
        <f t="shared" si="42"/>
        <v>66.92</v>
      </c>
    </row>
    <row r="607" spans="1:9">
      <c r="A607" s="175" t="s">
        <v>7099</v>
      </c>
      <c r="B607" s="173">
        <v>85</v>
      </c>
      <c r="F607" s="41" t="s">
        <v>6973</v>
      </c>
      <c r="G607" s="33" t="s">
        <v>6974</v>
      </c>
      <c r="H607" s="3">
        <f t="shared" si="41"/>
        <v>2394</v>
      </c>
      <c r="I607" s="3">
        <f t="shared" si="42"/>
        <v>383.04</v>
      </c>
    </row>
    <row r="608" spans="1:9">
      <c r="A608" s="175" t="s">
        <v>7099</v>
      </c>
      <c r="B608" s="173">
        <v>85</v>
      </c>
      <c r="F608" t="s">
        <v>946</v>
      </c>
      <c r="G608" t="s">
        <v>947</v>
      </c>
      <c r="H608" s="3">
        <f t="shared" si="41"/>
        <v>36050.625000000029</v>
      </c>
      <c r="I608" s="3">
        <f t="shared" si="42"/>
        <v>5768.1000000000049</v>
      </c>
    </row>
    <row r="609" spans="1:9">
      <c r="A609" s="175" t="s">
        <v>7099</v>
      </c>
      <c r="B609" s="173">
        <v>85</v>
      </c>
      <c r="F609" s="28" t="s">
        <v>1687</v>
      </c>
      <c r="G609" s="28" t="s">
        <v>1688</v>
      </c>
      <c r="H609" s="3">
        <f t="shared" si="41"/>
        <v>1213</v>
      </c>
      <c r="I609" s="3">
        <f t="shared" si="42"/>
        <v>194.08</v>
      </c>
    </row>
    <row r="610" spans="1:9">
      <c r="A610" s="175" t="s">
        <v>7099</v>
      </c>
      <c r="B610" s="173">
        <v>85</v>
      </c>
      <c r="F610" t="s">
        <v>5736</v>
      </c>
      <c r="G610" t="s">
        <v>5569</v>
      </c>
      <c r="H610" s="3">
        <f t="shared" si="41"/>
        <v>10700</v>
      </c>
      <c r="I610" s="3">
        <f t="shared" si="42"/>
        <v>1712</v>
      </c>
    </row>
    <row r="611" spans="1:9">
      <c r="A611" s="175" t="s">
        <v>7099</v>
      </c>
      <c r="B611" s="173">
        <v>85</v>
      </c>
      <c r="F611" s="33" t="s">
        <v>2285</v>
      </c>
      <c r="G611" s="33" t="s">
        <v>3820</v>
      </c>
      <c r="H611" s="3">
        <f t="shared" si="41"/>
        <v>217444.0625</v>
      </c>
      <c r="I611" s="3">
        <f t="shared" si="42"/>
        <v>34791.050000000003</v>
      </c>
    </row>
    <row r="612" spans="1:9">
      <c r="A612" s="175" t="s">
        <v>7099</v>
      </c>
      <c r="B612" s="173">
        <v>85</v>
      </c>
      <c r="F612" s="28" t="s">
        <v>2277</v>
      </c>
      <c r="G612" s="28" t="s">
        <v>2278</v>
      </c>
      <c r="H612" s="3">
        <f t="shared" si="41"/>
        <v>121.56250000000001</v>
      </c>
      <c r="I612" s="3">
        <f t="shared" si="42"/>
        <v>19.450000000000003</v>
      </c>
    </row>
    <row r="613" spans="1:9">
      <c r="A613" s="175" t="s">
        <v>7099</v>
      </c>
      <c r="B613" s="173">
        <v>85</v>
      </c>
      <c r="F613" s="32" t="s">
        <v>1600</v>
      </c>
      <c r="G613" t="s">
        <v>1011</v>
      </c>
      <c r="H613" s="3">
        <f t="shared" si="41"/>
        <v>10379.375</v>
      </c>
      <c r="I613" s="3">
        <f t="shared" si="42"/>
        <v>1660.7</v>
      </c>
    </row>
    <row r="614" spans="1:9">
      <c r="A614" s="175" t="s">
        <v>7099</v>
      </c>
      <c r="B614" s="173">
        <v>85</v>
      </c>
      <c r="F614" s="28" t="s">
        <v>7017</v>
      </c>
      <c r="G614" s="28" t="s">
        <v>7018</v>
      </c>
      <c r="H614" s="3">
        <f t="shared" si="41"/>
        <v>418.25</v>
      </c>
      <c r="I614" s="3">
        <f t="shared" si="42"/>
        <v>66.92</v>
      </c>
    </row>
    <row r="615" spans="1:9">
      <c r="A615" s="175" t="s">
        <v>7099</v>
      </c>
      <c r="B615" s="173">
        <v>85</v>
      </c>
      <c r="F615" s="81" t="s">
        <v>2853</v>
      </c>
      <c r="G615" s="81" t="s">
        <v>6660</v>
      </c>
      <c r="H615" s="3">
        <f t="shared" si="41"/>
        <v>24.5</v>
      </c>
      <c r="I615" s="3">
        <f t="shared" si="42"/>
        <v>3.92</v>
      </c>
    </row>
    <row r="616" spans="1:9">
      <c r="A616" s="175" t="s">
        <v>7099</v>
      </c>
      <c r="B616" s="173">
        <v>85</v>
      </c>
      <c r="F616" s="81" t="s">
        <v>6996</v>
      </c>
      <c r="G616" s="81" t="s">
        <v>6689</v>
      </c>
      <c r="H616" s="3">
        <f t="shared" si="41"/>
        <v>68.9375</v>
      </c>
      <c r="I616" s="3">
        <f t="shared" si="42"/>
        <v>11.03</v>
      </c>
    </row>
    <row r="617" spans="1:9">
      <c r="A617" s="175" t="s">
        <v>7099</v>
      </c>
      <c r="B617" s="173">
        <v>85</v>
      </c>
      <c r="F617" s="81" t="s">
        <v>7004</v>
      </c>
      <c r="G617" s="81" t="s">
        <v>7005</v>
      </c>
      <c r="H617" s="3">
        <f t="shared" si="41"/>
        <v>237.25</v>
      </c>
      <c r="I617" s="3">
        <f t="shared" si="42"/>
        <v>37.96</v>
      </c>
    </row>
    <row r="618" spans="1:9">
      <c r="A618" s="175" t="s">
        <v>7099</v>
      </c>
      <c r="B618" s="173">
        <v>85</v>
      </c>
      <c r="F618" s="81" t="s">
        <v>803</v>
      </c>
      <c r="G618" s="81" t="s">
        <v>74</v>
      </c>
      <c r="H618" s="3">
        <f t="shared" si="41"/>
        <v>15001.6875</v>
      </c>
      <c r="I618" s="3">
        <f t="shared" si="42"/>
        <v>2400.27</v>
      </c>
    </row>
    <row r="619" spans="1:9">
      <c r="A619" s="175" t="s">
        <v>7099</v>
      </c>
      <c r="B619" s="173">
        <v>85</v>
      </c>
      <c r="F619" s="81" t="s">
        <v>801</v>
      </c>
      <c r="G619" s="81" t="s">
        <v>215</v>
      </c>
      <c r="H619" s="3">
        <f t="shared" si="41"/>
        <v>1550</v>
      </c>
      <c r="I619" s="3">
        <f t="shared" si="42"/>
        <v>248</v>
      </c>
    </row>
    <row r="620" spans="1:9">
      <c r="A620" s="175" t="s">
        <v>7099</v>
      </c>
      <c r="B620" s="173">
        <v>85</v>
      </c>
      <c r="F620" s="81" t="s">
        <v>5737</v>
      </c>
      <c r="G620" s="81" t="s">
        <v>6093</v>
      </c>
      <c r="H620" s="3">
        <f t="shared" si="41"/>
        <v>1724.0625</v>
      </c>
      <c r="I620" s="3">
        <f t="shared" si="42"/>
        <v>275.85000000000002</v>
      </c>
    </row>
    <row r="621" spans="1:9">
      <c r="A621" s="175" t="s">
        <v>7099</v>
      </c>
      <c r="B621" s="173">
        <v>85</v>
      </c>
      <c r="F621" s="81" t="s">
        <v>2922</v>
      </c>
      <c r="G621" s="81" t="s">
        <v>2923</v>
      </c>
      <c r="H621" s="3">
        <f t="shared" si="41"/>
        <v>2773.125</v>
      </c>
      <c r="I621" s="3">
        <f t="shared" si="42"/>
        <v>443.70000000000005</v>
      </c>
    </row>
    <row r="622" spans="1:9">
      <c r="A622" s="175" t="s">
        <v>7099</v>
      </c>
      <c r="B622" s="173">
        <v>85</v>
      </c>
      <c r="F622" s="28" t="s">
        <v>7036</v>
      </c>
      <c r="G622" s="28" t="s">
        <v>7037</v>
      </c>
      <c r="H622" s="3">
        <f t="shared" si="41"/>
        <v>418.125</v>
      </c>
      <c r="I622" s="3">
        <f t="shared" si="42"/>
        <v>66.900000000000006</v>
      </c>
    </row>
    <row r="623" spans="1:9">
      <c r="A623" s="175" t="s">
        <v>7099</v>
      </c>
      <c r="B623" s="173">
        <v>85</v>
      </c>
      <c r="F623" s="11" t="s">
        <v>802</v>
      </c>
      <c r="G623" s="11" t="s">
        <v>3370</v>
      </c>
      <c r="H623" s="3">
        <f t="shared" si="41"/>
        <v>187</v>
      </c>
      <c r="I623" s="3">
        <f t="shared" si="42"/>
        <v>29.92</v>
      </c>
    </row>
    <row r="624" spans="1:9">
      <c r="A624" s="175" t="s">
        <v>7099</v>
      </c>
      <c r="B624" s="173">
        <v>85</v>
      </c>
      <c r="F624" s="81" t="s">
        <v>806</v>
      </c>
      <c r="G624" s="81" t="s">
        <v>207</v>
      </c>
      <c r="H624" s="3">
        <f t="shared" si="41"/>
        <v>5460</v>
      </c>
      <c r="I624" s="3">
        <f t="shared" si="42"/>
        <v>873.6</v>
      </c>
    </row>
    <row r="625" spans="1:10">
      <c r="A625" s="175" t="s">
        <v>7099</v>
      </c>
      <c r="B625" s="173">
        <v>85</v>
      </c>
      <c r="F625" s="81" t="s">
        <v>811</v>
      </c>
      <c r="G625" s="81" t="s">
        <v>6981</v>
      </c>
      <c r="H625" s="3">
        <f t="shared" si="41"/>
        <v>33.125</v>
      </c>
      <c r="I625" s="3">
        <f t="shared" si="42"/>
        <v>5.3</v>
      </c>
    </row>
    <row r="626" spans="1:10">
      <c r="A626" s="175" t="s">
        <v>7099</v>
      </c>
      <c r="B626" s="173">
        <v>85</v>
      </c>
      <c r="F626" s="124" t="s">
        <v>814</v>
      </c>
      <c r="G626" s="81" t="s">
        <v>815</v>
      </c>
      <c r="H626" s="3">
        <f t="shared" si="41"/>
        <v>869329.5</v>
      </c>
      <c r="I626" s="3">
        <f t="shared" si="42"/>
        <v>139092.72</v>
      </c>
    </row>
    <row r="627" spans="1:10">
      <c r="A627" s="175" t="s">
        <v>7099</v>
      </c>
      <c r="B627" s="173">
        <v>85</v>
      </c>
      <c r="F627" s="81" t="s">
        <v>2299</v>
      </c>
      <c r="G627" s="81" t="s">
        <v>6637</v>
      </c>
      <c r="H627" s="3">
        <f t="shared" si="41"/>
        <v>612.25</v>
      </c>
      <c r="I627" s="3">
        <f t="shared" si="42"/>
        <v>97.96</v>
      </c>
    </row>
    <row r="628" spans="1:10">
      <c r="A628" s="175" t="s">
        <v>7099</v>
      </c>
      <c r="B628" s="173">
        <v>6</v>
      </c>
      <c r="F628" s="18" t="s">
        <v>816</v>
      </c>
      <c r="G628" s="19" t="s">
        <v>817</v>
      </c>
      <c r="H628" s="3">
        <f t="shared" si="41"/>
        <v>107142.875</v>
      </c>
      <c r="I628" s="3">
        <f t="shared" si="42"/>
        <v>17142.86</v>
      </c>
      <c r="J628">
        <v>11428.57</v>
      </c>
    </row>
    <row r="629" spans="1:10">
      <c r="A629" s="175" t="s">
        <v>7099</v>
      </c>
      <c r="B629" s="173">
        <v>85</v>
      </c>
      <c r="F629" s="81" t="s">
        <v>2856</v>
      </c>
      <c r="G629" s="81" t="s">
        <v>2827</v>
      </c>
      <c r="H629" s="3">
        <f t="shared" si="41"/>
        <v>32000</v>
      </c>
      <c r="I629" s="3">
        <f t="shared" si="42"/>
        <v>5120</v>
      </c>
    </row>
    <row r="630" spans="1:10">
      <c r="A630" s="175" t="s">
        <v>7099</v>
      </c>
      <c r="B630" s="173">
        <v>85</v>
      </c>
      <c r="F630" s="81" t="s">
        <v>1582</v>
      </c>
      <c r="G630" s="81" t="s">
        <v>1583</v>
      </c>
      <c r="H630" s="3">
        <f t="shared" si="41"/>
        <v>90.5625</v>
      </c>
      <c r="I630" s="3">
        <f t="shared" si="42"/>
        <v>14.49</v>
      </c>
    </row>
    <row r="631" spans="1:10">
      <c r="A631" s="175" t="s">
        <v>7099</v>
      </c>
      <c r="B631" s="173">
        <v>85</v>
      </c>
      <c r="F631" s="81" t="s">
        <v>6994</v>
      </c>
      <c r="G631" s="81" t="s">
        <v>6449</v>
      </c>
      <c r="H631" s="3">
        <f t="shared" si="41"/>
        <v>603</v>
      </c>
      <c r="I631" s="3">
        <f t="shared" si="42"/>
        <v>96.48</v>
      </c>
    </row>
    <row r="632" spans="1:10">
      <c r="A632" s="175" t="s">
        <v>7099</v>
      </c>
      <c r="B632" s="173">
        <v>85</v>
      </c>
      <c r="F632" s="81" t="s">
        <v>7019</v>
      </c>
      <c r="G632" s="81" t="s">
        <v>7020</v>
      </c>
      <c r="H632" s="3">
        <f t="shared" si="41"/>
        <v>84.4375</v>
      </c>
      <c r="I632" s="3">
        <f t="shared" si="42"/>
        <v>13.51</v>
      </c>
    </row>
    <row r="633" spans="1:10">
      <c r="A633" s="175" t="s">
        <v>7099</v>
      </c>
      <c r="B633" s="173">
        <v>85</v>
      </c>
      <c r="F633" s="81" t="s">
        <v>6966</v>
      </c>
      <c r="G633" s="81" t="s">
        <v>6967</v>
      </c>
      <c r="H633" s="3">
        <f t="shared" si="41"/>
        <v>85.3125</v>
      </c>
      <c r="I633" s="3">
        <f t="shared" si="42"/>
        <v>13.65</v>
      </c>
    </row>
    <row r="634" spans="1:10">
      <c r="A634" s="175" t="s">
        <v>7099</v>
      </c>
      <c r="B634" s="173">
        <v>85</v>
      </c>
      <c r="F634" s="81" t="s">
        <v>7006</v>
      </c>
      <c r="G634" s="81" t="s">
        <v>7007</v>
      </c>
      <c r="H634" s="3">
        <f t="shared" si="41"/>
        <v>107.8125</v>
      </c>
      <c r="I634" s="3">
        <f t="shared" si="42"/>
        <v>17.25</v>
      </c>
    </row>
    <row r="635" spans="1:10">
      <c r="A635" s="175" t="s">
        <v>7099</v>
      </c>
      <c r="B635" s="173">
        <v>85</v>
      </c>
      <c r="F635" s="81" t="s">
        <v>7046</v>
      </c>
      <c r="G635" s="81" t="s">
        <v>7047</v>
      </c>
      <c r="H635" s="3">
        <f t="shared" si="41"/>
        <v>97.4375</v>
      </c>
      <c r="I635" s="3">
        <f t="shared" si="42"/>
        <v>15.59</v>
      </c>
    </row>
    <row r="636" spans="1:10">
      <c r="A636" s="175" t="s">
        <v>7099</v>
      </c>
      <c r="B636" s="173">
        <v>85</v>
      </c>
      <c r="F636" s="81" t="s">
        <v>6991</v>
      </c>
      <c r="G636" s="81" t="s">
        <v>6873</v>
      </c>
      <c r="H636" s="3">
        <f t="shared" si="41"/>
        <v>4000</v>
      </c>
      <c r="I636" s="3">
        <f t="shared" si="42"/>
        <v>640</v>
      </c>
    </row>
    <row r="637" spans="1:10">
      <c r="A637" s="175" t="s">
        <v>7099</v>
      </c>
      <c r="B637" s="173">
        <v>85</v>
      </c>
      <c r="F637" s="81" t="s">
        <v>1615</v>
      </c>
      <c r="G637" s="81" t="s">
        <v>1449</v>
      </c>
      <c r="H637" s="3">
        <f t="shared" si="41"/>
        <v>274</v>
      </c>
      <c r="I637" s="3">
        <f t="shared" si="42"/>
        <v>43.84</v>
      </c>
    </row>
    <row r="638" spans="1:10">
      <c r="A638" s="175" t="s">
        <v>7099</v>
      </c>
      <c r="B638" s="173">
        <v>85</v>
      </c>
      <c r="F638" s="81" t="s">
        <v>2345</v>
      </c>
      <c r="G638" s="81" t="s">
        <v>7048</v>
      </c>
      <c r="H638" s="3">
        <f t="shared" si="41"/>
        <v>536.8125</v>
      </c>
      <c r="I638" s="3">
        <f t="shared" si="42"/>
        <v>85.89</v>
      </c>
    </row>
    <row r="639" spans="1:10">
      <c r="A639" s="175" t="s">
        <v>7099</v>
      </c>
      <c r="B639" s="173">
        <v>85</v>
      </c>
      <c r="F639" s="81" t="s">
        <v>818</v>
      </c>
      <c r="G639" s="81" t="s">
        <v>584</v>
      </c>
      <c r="H639" s="3">
        <f t="shared" si="41"/>
        <v>663.375</v>
      </c>
      <c r="I639" s="3">
        <f t="shared" si="42"/>
        <v>106.14</v>
      </c>
    </row>
    <row r="640" spans="1:10">
      <c r="A640" s="175" t="s">
        <v>7099</v>
      </c>
      <c r="B640" s="173">
        <v>85</v>
      </c>
      <c r="F640" s="81" t="s">
        <v>733</v>
      </c>
      <c r="G640" s="81" t="s">
        <v>124</v>
      </c>
      <c r="H640" s="3">
        <f t="shared" si="41"/>
        <v>6614.6874999999991</v>
      </c>
      <c r="I640" s="3">
        <f t="shared" si="42"/>
        <v>1058.3499999999999</v>
      </c>
    </row>
    <row r="641" spans="1:10">
      <c r="A641" s="175" t="s">
        <v>7099</v>
      </c>
      <c r="B641" s="173">
        <v>85</v>
      </c>
      <c r="F641" s="81" t="s">
        <v>839</v>
      </c>
      <c r="G641" s="81" t="s">
        <v>229</v>
      </c>
      <c r="H641" s="3">
        <f t="shared" si="41"/>
        <v>2479</v>
      </c>
      <c r="I641" s="3">
        <f t="shared" si="42"/>
        <v>396.64</v>
      </c>
    </row>
    <row r="642" spans="1:10">
      <c r="A642" s="175" t="s">
        <v>7099</v>
      </c>
      <c r="B642" s="173">
        <v>85</v>
      </c>
      <c r="F642" s="87" t="s">
        <v>6297</v>
      </c>
      <c r="G642" s="81" t="s">
        <v>6229</v>
      </c>
      <c r="H642" s="3">
        <f t="shared" si="41"/>
        <v>6322.4999999999991</v>
      </c>
      <c r="I642" s="3">
        <f t="shared" si="42"/>
        <v>1011.5999999999999</v>
      </c>
    </row>
    <row r="643" spans="1:10">
      <c r="A643" s="175" t="s">
        <v>7099</v>
      </c>
      <c r="B643" s="173">
        <v>85</v>
      </c>
      <c r="F643" s="81" t="s">
        <v>2888</v>
      </c>
      <c r="G643" s="81" t="s">
        <v>2889</v>
      </c>
      <c r="H643" s="3">
        <f t="shared" si="41"/>
        <v>94.8125</v>
      </c>
      <c r="I643" s="3">
        <f t="shared" si="42"/>
        <v>15.17</v>
      </c>
    </row>
    <row r="644" spans="1:10">
      <c r="A644" s="175" t="s">
        <v>7099</v>
      </c>
      <c r="B644" s="173">
        <v>85</v>
      </c>
      <c r="F644" s="84" t="s">
        <v>6993</v>
      </c>
      <c r="G644" s="81" t="s">
        <v>6847</v>
      </c>
      <c r="H644" s="3">
        <f t="shared" si="41"/>
        <v>298624</v>
      </c>
      <c r="I644" s="3">
        <f t="shared" si="42"/>
        <v>47779.839999999997</v>
      </c>
    </row>
    <row r="645" spans="1:10">
      <c r="A645" s="175" t="s">
        <v>7099</v>
      </c>
      <c r="B645" s="173">
        <v>85</v>
      </c>
      <c r="F645" s="28" t="s">
        <v>1700</v>
      </c>
      <c r="G645" s="28" t="s">
        <v>7031</v>
      </c>
      <c r="H645" s="3">
        <f t="shared" si="41"/>
        <v>1171.125</v>
      </c>
      <c r="I645" s="3">
        <f t="shared" si="42"/>
        <v>187.38</v>
      </c>
    </row>
    <row r="646" spans="1:10">
      <c r="A646" s="175" t="s">
        <v>7099</v>
      </c>
      <c r="B646" s="173">
        <v>85</v>
      </c>
      <c r="F646" s="81" t="s">
        <v>838</v>
      </c>
      <c r="G646" s="81" t="s">
        <v>49</v>
      </c>
      <c r="H646" s="3">
        <f t="shared" ref="H646:H709" si="43">+I646/0.16</f>
        <v>50.875</v>
      </c>
      <c r="I646" s="3">
        <f t="shared" ref="I646:I709" si="44">+SUMIF($F$7:$F$508,F646,$I$7:$I$508)</f>
        <v>8.14</v>
      </c>
    </row>
    <row r="647" spans="1:10">
      <c r="A647" s="175" t="s">
        <v>7099</v>
      </c>
      <c r="B647" s="173">
        <v>85</v>
      </c>
      <c r="F647" s="84" t="s">
        <v>2858</v>
      </c>
      <c r="G647" s="81" t="s">
        <v>2830</v>
      </c>
      <c r="H647" s="3">
        <f t="shared" si="43"/>
        <v>7175.8125000000009</v>
      </c>
      <c r="I647" s="3">
        <f t="shared" si="44"/>
        <v>1148.1300000000001</v>
      </c>
    </row>
    <row r="648" spans="1:10">
      <c r="A648" s="175" t="s">
        <v>7099</v>
      </c>
      <c r="B648" s="173">
        <v>6</v>
      </c>
      <c r="F648" s="18" t="s">
        <v>843</v>
      </c>
      <c r="G648" s="19" t="s">
        <v>844</v>
      </c>
      <c r="H648" s="3">
        <f t="shared" si="43"/>
        <v>107142.875</v>
      </c>
      <c r="I648" s="3">
        <f t="shared" si="44"/>
        <v>17142.86</v>
      </c>
      <c r="J648">
        <v>11428.57</v>
      </c>
    </row>
    <row r="649" spans="1:10">
      <c r="A649" s="175" t="s">
        <v>7099</v>
      </c>
      <c r="B649" s="173">
        <v>85</v>
      </c>
      <c r="F649" s="81" t="s">
        <v>2924</v>
      </c>
      <c r="G649" s="81" t="s">
        <v>2925</v>
      </c>
      <c r="H649" s="3">
        <f t="shared" si="43"/>
        <v>89.6875</v>
      </c>
      <c r="I649" s="3">
        <f t="shared" si="44"/>
        <v>14.35</v>
      </c>
    </row>
    <row r="650" spans="1:10">
      <c r="A650" s="175" t="s">
        <v>7099</v>
      </c>
      <c r="B650" s="173">
        <v>85</v>
      </c>
      <c r="F650" s="84" t="s">
        <v>846</v>
      </c>
      <c r="G650" s="81" t="s">
        <v>287</v>
      </c>
      <c r="H650" s="3">
        <f t="shared" si="43"/>
        <v>445.875</v>
      </c>
      <c r="I650" s="3">
        <f t="shared" si="44"/>
        <v>71.34</v>
      </c>
    </row>
    <row r="651" spans="1:10">
      <c r="A651" s="175" t="s">
        <v>7099</v>
      </c>
      <c r="B651" s="173">
        <v>85</v>
      </c>
      <c r="F651" s="81" t="s">
        <v>847</v>
      </c>
      <c r="G651" s="81" t="s">
        <v>4570</v>
      </c>
      <c r="H651" s="3">
        <f t="shared" si="43"/>
        <v>695.25</v>
      </c>
      <c r="I651" s="3">
        <f t="shared" si="44"/>
        <v>111.24000000000001</v>
      </c>
    </row>
    <row r="652" spans="1:10">
      <c r="A652" s="175" t="s">
        <v>7099</v>
      </c>
      <c r="B652" s="173">
        <v>85</v>
      </c>
      <c r="F652" s="81" t="s">
        <v>931</v>
      </c>
      <c r="G652" s="81" t="s">
        <v>4895</v>
      </c>
      <c r="H652" s="3">
        <f t="shared" si="43"/>
        <v>18314.8125</v>
      </c>
      <c r="I652" s="3">
        <f t="shared" si="44"/>
        <v>2930.37</v>
      </c>
    </row>
    <row r="653" spans="1:10">
      <c r="A653" s="175" t="s">
        <v>7099</v>
      </c>
      <c r="B653" s="173">
        <v>85</v>
      </c>
      <c r="F653" s="87" t="s">
        <v>856</v>
      </c>
      <c r="G653" s="81" t="s">
        <v>857</v>
      </c>
      <c r="H653" s="3">
        <f t="shared" si="43"/>
        <v>539651.49999999988</v>
      </c>
      <c r="I653" s="3">
        <f t="shared" si="44"/>
        <v>86344.239999999991</v>
      </c>
    </row>
    <row r="654" spans="1:10">
      <c r="A654" s="175" t="s">
        <v>7099</v>
      </c>
      <c r="B654" s="173">
        <v>85</v>
      </c>
      <c r="F654" s="28" t="s">
        <v>7025</v>
      </c>
      <c r="G654" s="28" t="s">
        <v>7026</v>
      </c>
      <c r="H654" s="3">
        <f t="shared" si="43"/>
        <v>138.5</v>
      </c>
      <c r="I654" s="3">
        <f t="shared" si="44"/>
        <v>22.16</v>
      </c>
    </row>
    <row r="655" spans="1:10">
      <c r="A655" s="175" t="s">
        <v>7099</v>
      </c>
      <c r="B655" s="173">
        <v>85</v>
      </c>
      <c r="F655" s="81" t="s">
        <v>851</v>
      </c>
      <c r="G655" s="81" t="s">
        <v>86</v>
      </c>
      <c r="H655" s="3">
        <f t="shared" si="43"/>
        <v>3989.625</v>
      </c>
      <c r="I655" s="3">
        <f t="shared" si="44"/>
        <v>638.34</v>
      </c>
    </row>
    <row r="656" spans="1:10">
      <c r="A656" s="175" t="s">
        <v>7099</v>
      </c>
      <c r="B656" s="173">
        <v>85</v>
      </c>
      <c r="F656" s="81" t="s">
        <v>6977</v>
      </c>
      <c r="G656" s="81" t="s">
        <v>6978</v>
      </c>
      <c r="H656" s="3">
        <f t="shared" si="43"/>
        <v>225</v>
      </c>
      <c r="I656" s="3">
        <f t="shared" si="44"/>
        <v>36</v>
      </c>
    </row>
    <row r="657" spans="1:9">
      <c r="A657" s="175" t="s">
        <v>7099</v>
      </c>
      <c r="B657" s="173">
        <v>85</v>
      </c>
      <c r="F657" t="s">
        <v>2903</v>
      </c>
      <c r="G657" t="s">
        <v>2904</v>
      </c>
      <c r="H657" s="3">
        <f t="shared" si="43"/>
        <v>552.75</v>
      </c>
      <c r="I657" s="3">
        <f t="shared" si="44"/>
        <v>88.44</v>
      </c>
    </row>
    <row r="658" spans="1:9">
      <c r="A658" s="175" t="s">
        <v>7099</v>
      </c>
      <c r="B658" s="173">
        <v>85</v>
      </c>
      <c r="F658" t="s">
        <v>925</v>
      </c>
      <c r="G658" t="s">
        <v>926</v>
      </c>
      <c r="H658" s="3">
        <f t="shared" si="43"/>
        <v>501.875</v>
      </c>
      <c r="I658" s="3">
        <f t="shared" si="44"/>
        <v>80.3</v>
      </c>
    </row>
    <row r="659" spans="1:9">
      <c r="A659" s="175" t="s">
        <v>7099</v>
      </c>
      <c r="B659" s="173">
        <v>85</v>
      </c>
      <c r="F659" s="28" t="s">
        <v>6312</v>
      </c>
      <c r="G659" s="28" t="s">
        <v>6313</v>
      </c>
      <c r="H659" s="3">
        <f t="shared" si="43"/>
        <v>247.75</v>
      </c>
      <c r="I659" s="3">
        <f t="shared" si="44"/>
        <v>39.64</v>
      </c>
    </row>
    <row r="660" spans="1:9">
      <c r="A660" s="175" t="s">
        <v>7099</v>
      </c>
      <c r="B660" s="173">
        <v>85</v>
      </c>
      <c r="F660" s="81" t="s">
        <v>849</v>
      </c>
      <c r="G660" s="81" t="s">
        <v>127</v>
      </c>
      <c r="H660" s="3">
        <f t="shared" si="43"/>
        <v>1100</v>
      </c>
      <c r="I660" s="3">
        <f t="shared" si="44"/>
        <v>176</v>
      </c>
    </row>
    <row r="661" spans="1:9">
      <c r="A661" s="175" t="s">
        <v>7099</v>
      </c>
      <c r="B661" s="173">
        <v>85</v>
      </c>
      <c r="F661" s="81" t="s">
        <v>2308</v>
      </c>
      <c r="G661" s="81" t="s">
        <v>2309</v>
      </c>
      <c r="H661" s="3">
        <f t="shared" si="43"/>
        <v>25.6875</v>
      </c>
      <c r="I661" s="3">
        <f t="shared" si="44"/>
        <v>4.1100000000000003</v>
      </c>
    </row>
    <row r="662" spans="1:9">
      <c r="A662" s="175" t="s">
        <v>7099</v>
      </c>
      <c r="B662" s="173">
        <v>85</v>
      </c>
      <c r="F662" s="28" t="s">
        <v>2287</v>
      </c>
      <c r="G662" s="28" t="s">
        <v>2288</v>
      </c>
      <c r="H662" s="3">
        <f t="shared" si="43"/>
        <v>886.5625</v>
      </c>
      <c r="I662" s="3">
        <f t="shared" si="44"/>
        <v>141.85</v>
      </c>
    </row>
    <row r="663" spans="1:9">
      <c r="A663" s="175" t="s">
        <v>7099</v>
      </c>
      <c r="B663" s="173">
        <v>85</v>
      </c>
      <c r="F663" t="s">
        <v>929</v>
      </c>
      <c r="G663" t="s">
        <v>6456</v>
      </c>
      <c r="H663" s="3">
        <f t="shared" si="43"/>
        <v>41.8125</v>
      </c>
      <c r="I663" s="3">
        <f t="shared" si="44"/>
        <v>6.69</v>
      </c>
    </row>
    <row r="664" spans="1:9">
      <c r="A664" s="175" t="s">
        <v>7099</v>
      </c>
      <c r="B664" s="173">
        <v>85</v>
      </c>
      <c r="F664" s="28" t="s">
        <v>2882</v>
      </c>
      <c r="G664" s="28" t="s">
        <v>2883</v>
      </c>
      <c r="H664" s="3">
        <f t="shared" si="43"/>
        <v>385.5625</v>
      </c>
      <c r="I664" s="3">
        <f t="shared" si="44"/>
        <v>61.69</v>
      </c>
    </row>
    <row r="665" spans="1:9">
      <c r="A665" s="175" t="s">
        <v>7099</v>
      </c>
      <c r="B665" s="173">
        <v>85</v>
      </c>
      <c r="F665" s="84" t="s">
        <v>2861</v>
      </c>
      <c r="G665" s="81" t="s">
        <v>2750</v>
      </c>
      <c r="H665" s="3">
        <f t="shared" si="43"/>
        <v>6000</v>
      </c>
      <c r="I665" s="3">
        <f t="shared" si="44"/>
        <v>960</v>
      </c>
    </row>
    <row r="666" spans="1:9">
      <c r="A666" s="175" t="s">
        <v>7099</v>
      </c>
      <c r="B666" s="173">
        <v>85</v>
      </c>
      <c r="F666" s="88" t="s">
        <v>1626</v>
      </c>
      <c r="G666" s="81" t="s">
        <v>1627</v>
      </c>
      <c r="H666" s="3">
        <f t="shared" si="43"/>
        <v>224993.125</v>
      </c>
      <c r="I666" s="3">
        <f t="shared" si="44"/>
        <v>35998.9</v>
      </c>
    </row>
    <row r="667" spans="1:9">
      <c r="A667" s="175" t="s">
        <v>7099</v>
      </c>
      <c r="B667" s="173">
        <v>85</v>
      </c>
      <c r="F667" s="84" t="s">
        <v>858</v>
      </c>
      <c r="G667" s="81" t="s">
        <v>121</v>
      </c>
      <c r="H667" s="3">
        <f t="shared" si="43"/>
        <v>1400</v>
      </c>
      <c r="I667" s="3">
        <f t="shared" si="44"/>
        <v>224</v>
      </c>
    </row>
    <row r="668" spans="1:9">
      <c r="A668" s="175" t="s">
        <v>7099</v>
      </c>
      <c r="B668" s="173">
        <v>85</v>
      </c>
      <c r="F668" s="81" t="s">
        <v>2860</v>
      </c>
      <c r="G668" s="81" t="s">
        <v>2692</v>
      </c>
      <c r="H668" s="3">
        <f t="shared" si="43"/>
        <v>400</v>
      </c>
      <c r="I668" s="3">
        <f t="shared" si="44"/>
        <v>64</v>
      </c>
    </row>
    <row r="669" spans="1:9">
      <c r="A669" s="175" t="s">
        <v>7099</v>
      </c>
      <c r="B669" s="173">
        <v>85</v>
      </c>
      <c r="F669" s="81" t="s">
        <v>5759</v>
      </c>
      <c r="G669" s="81" t="s">
        <v>5760</v>
      </c>
      <c r="H669" s="3">
        <f t="shared" si="43"/>
        <v>67.25</v>
      </c>
      <c r="I669" s="3">
        <f t="shared" si="44"/>
        <v>10.76</v>
      </c>
    </row>
    <row r="670" spans="1:9">
      <c r="A670" s="175" t="s">
        <v>7099</v>
      </c>
      <c r="B670" s="173">
        <v>85</v>
      </c>
      <c r="F670" s="84" t="s">
        <v>859</v>
      </c>
      <c r="G670" s="81" t="s">
        <v>174</v>
      </c>
      <c r="H670" s="3">
        <f t="shared" si="43"/>
        <v>16980.125</v>
      </c>
      <c r="I670" s="3">
        <f t="shared" si="44"/>
        <v>2716.82</v>
      </c>
    </row>
    <row r="671" spans="1:9">
      <c r="A671" s="175" t="s">
        <v>7099</v>
      </c>
      <c r="B671" s="173">
        <v>85</v>
      </c>
      <c r="F671" s="28" t="s">
        <v>923</v>
      </c>
      <c r="G671" s="28" t="s">
        <v>924</v>
      </c>
      <c r="H671" s="3">
        <f t="shared" si="43"/>
        <v>669.1875</v>
      </c>
      <c r="I671" s="3">
        <f t="shared" si="44"/>
        <v>107.07000000000001</v>
      </c>
    </row>
    <row r="672" spans="1:9">
      <c r="A672" s="175" t="s">
        <v>7099</v>
      </c>
      <c r="B672" s="173">
        <v>85</v>
      </c>
      <c r="F672" s="81" t="s">
        <v>6995</v>
      </c>
      <c r="G672" s="81" t="s">
        <v>6674</v>
      </c>
      <c r="H672" s="3">
        <f t="shared" si="43"/>
        <v>140.4375</v>
      </c>
      <c r="I672" s="3">
        <f t="shared" si="44"/>
        <v>22.47</v>
      </c>
    </row>
    <row r="673" spans="1:9">
      <c r="A673" s="175" t="s">
        <v>7099</v>
      </c>
      <c r="B673" s="173">
        <v>85</v>
      </c>
      <c r="F673" s="33" t="s">
        <v>7021</v>
      </c>
      <c r="G673" s="33" t="s">
        <v>7022</v>
      </c>
      <c r="H673" s="3">
        <f t="shared" si="43"/>
        <v>129.3125</v>
      </c>
      <c r="I673" s="3">
        <f t="shared" si="44"/>
        <v>20.69</v>
      </c>
    </row>
    <row r="674" spans="1:9">
      <c r="A674" s="175" t="s">
        <v>7099</v>
      </c>
      <c r="B674" s="173">
        <v>85</v>
      </c>
      <c r="F674" s="28" t="s">
        <v>3777</v>
      </c>
      <c r="G674" s="28" t="s">
        <v>3778</v>
      </c>
      <c r="H674" s="3">
        <f t="shared" si="43"/>
        <v>485.18749999999994</v>
      </c>
      <c r="I674" s="3">
        <f t="shared" si="44"/>
        <v>77.63</v>
      </c>
    </row>
    <row r="675" spans="1:9">
      <c r="A675" s="175" t="s">
        <v>7099</v>
      </c>
      <c r="B675" s="173">
        <v>85</v>
      </c>
      <c r="F675" s="28" t="s">
        <v>5212</v>
      </c>
      <c r="G675" s="28" t="s">
        <v>5213</v>
      </c>
      <c r="H675" s="3">
        <f t="shared" si="43"/>
        <v>502.125</v>
      </c>
      <c r="I675" s="3">
        <f t="shared" si="44"/>
        <v>80.34</v>
      </c>
    </row>
    <row r="676" spans="1:9">
      <c r="A676" s="175" t="s">
        <v>7099</v>
      </c>
      <c r="B676" s="173">
        <v>85</v>
      </c>
      <c r="F676" s="84" t="s">
        <v>6299</v>
      </c>
      <c r="G676" s="81" t="s">
        <v>6445</v>
      </c>
      <c r="H676" s="3">
        <f t="shared" si="43"/>
        <v>169608.1875</v>
      </c>
      <c r="I676" s="3">
        <f t="shared" si="44"/>
        <v>27137.31</v>
      </c>
    </row>
    <row r="677" spans="1:9">
      <c r="A677" s="175" t="s">
        <v>7099</v>
      </c>
      <c r="B677" s="173">
        <v>85</v>
      </c>
      <c r="F677" s="81" t="s">
        <v>5772</v>
      </c>
      <c r="G677" s="81" t="s">
        <v>5459</v>
      </c>
      <c r="H677" s="3">
        <f t="shared" si="43"/>
        <v>265.8125</v>
      </c>
      <c r="I677" s="3">
        <f t="shared" si="44"/>
        <v>42.53</v>
      </c>
    </row>
    <row r="678" spans="1:9">
      <c r="A678" s="175" t="s">
        <v>7099</v>
      </c>
      <c r="B678" s="173">
        <v>85</v>
      </c>
      <c r="F678" s="81" t="s">
        <v>1702</v>
      </c>
      <c r="G678" s="81" t="s">
        <v>7038</v>
      </c>
      <c r="H678" s="3">
        <f t="shared" si="43"/>
        <v>96.5625</v>
      </c>
      <c r="I678" s="3">
        <f t="shared" si="44"/>
        <v>15.45</v>
      </c>
    </row>
    <row r="679" spans="1:9">
      <c r="A679" s="175" t="s">
        <v>7099</v>
      </c>
      <c r="B679" s="173">
        <v>85</v>
      </c>
      <c r="F679" s="84" t="s">
        <v>921</v>
      </c>
      <c r="G679" s="81" t="s">
        <v>922</v>
      </c>
      <c r="H679" s="3">
        <f t="shared" si="43"/>
        <v>93090.125</v>
      </c>
      <c r="I679" s="3">
        <f t="shared" si="44"/>
        <v>14894.42</v>
      </c>
    </row>
    <row r="680" spans="1:9">
      <c r="A680" s="175" t="s">
        <v>7099</v>
      </c>
      <c r="B680" s="173">
        <v>85</v>
      </c>
      <c r="F680" s="81" t="s">
        <v>5191</v>
      </c>
      <c r="G680" s="81" t="s">
        <v>5114</v>
      </c>
      <c r="H680" s="3">
        <f t="shared" si="43"/>
        <v>1899.0000000000002</v>
      </c>
      <c r="I680" s="3">
        <f t="shared" si="44"/>
        <v>303.84000000000003</v>
      </c>
    </row>
    <row r="681" spans="1:9">
      <c r="A681" s="175" t="s">
        <v>7099</v>
      </c>
      <c r="B681" s="173">
        <v>85</v>
      </c>
      <c r="F681" s="81" t="s">
        <v>2358</v>
      </c>
      <c r="G681" s="81" t="s">
        <v>7008</v>
      </c>
      <c r="H681" s="3">
        <f t="shared" si="43"/>
        <v>80</v>
      </c>
      <c r="I681" s="3">
        <f t="shared" si="44"/>
        <v>12.8</v>
      </c>
    </row>
    <row r="682" spans="1:9">
      <c r="A682" s="175" t="s">
        <v>7099</v>
      </c>
      <c r="B682" s="173">
        <v>85</v>
      </c>
      <c r="F682" s="81" t="s">
        <v>6987</v>
      </c>
      <c r="G682" s="81" t="s">
        <v>6988</v>
      </c>
      <c r="H682" s="3">
        <f t="shared" si="43"/>
        <v>800000</v>
      </c>
      <c r="I682" s="3">
        <f t="shared" si="44"/>
        <v>128000</v>
      </c>
    </row>
    <row r="683" spans="1:9">
      <c r="A683" s="175" t="s">
        <v>7099</v>
      </c>
      <c r="B683" s="173">
        <v>85</v>
      </c>
      <c r="F683" s="81" t="s">
        <v>869</v>
      </c>
      <c r="G683" s="81" t="s">
        <v>1455</v>
      </c>
      <c r="H683" s="3">
        <f t="shared" si="43"/>
        <v>4061.3125000000005</v>
      </c>
      <c r="I683" s="3">
        <f t="shared" si="44"/>
        <v>649.81000000000006</v>
      </c>
    </row>
    <row r="684" spans="1:9">
      <c r="A684" s="175" t="s">
        <v>7099</v>
      </c>
      <c r="B684" s="173">
        <v>85</v>
      </c>
      <c r="F684" s="81" t="s">
        <v>868</v>
      </c>
      <c r="G684" s="81" t="s">
        <v>94</v>
      </c>
      <c r="H684" s="3">
        <f t="shared" si="43"/>
        <v>74900</v>
      </c>
      <c r="I684" s="3">
        <f t="shared" si="44"/>
        <v>11984</v>
      </c>
    </row>
    <row r="685" spans="1:9">
      <c r="A685" s="175" t="s">
        <v>7099</v>
      </c>
      <c r="B685" s="173">
        <v>85</v>
      </c>
      <c r="F685" s="81" t="s">
        <v>742</v>
      </c>
      <c r="G685" s="81" t="s">
        <v>602</v>
      </c>
      <c r="H685" s="3">
        <f t="shared" si="43"/>
        <v>325.3125</v>
      </c>
      <c r="I685" s="3">
        <f t="shared" si="44"/>
        <v>52.05</v>
      </c>
    </row>
    <row r="686" spans="1:9">
      <c r="A686" s="175" t="s">
        <v>7099</v>
      </c>
      <c r="B686" s="173">
        <v>85</v>
      </c>
      <c r="F686" s="81" t="s">
        <v>5203</v>
      </c>
      <c r="G686" s="81" t="s">
        <v>5204</v>
      </c>
      <c r="H686" s="3">
        <f t="shared" si="43"/>
        <v>120.75</v>
      </c>
      <c r="I686" s="3">
        <f t="shared" si="44"/>
        <v>19.32</v>
      </c>
    </row>
    <row r="687" spans="1:9">
      <c r="A687" s="175" t="s">
        <v>7099</v>
      </c>
      <c r="B687" s="173">
        <v>85</v>
      </c>
      <c r="F687" s="81" t="s">
        <v>4717</v>
      </c>
      <c r="G687" s="81" t="s">
        <v>4718</v>
      </c>
      <c r="H687" s="3">
        <f t="shared" si="43"/>
        <v>66.375</v>
      </c>
      <c r="I687" s="3">
        <f t="shared" si="44"/>
        <v>10.62</v>
      </c>
    </row>
    <row r="688" spans="1:9">
      <c r="A688" s="175" t="s">
        <v>7099</v>
      </c>
      <c r="B688" s="173">
        <v>85</v>
      </c>
      <c r="F688" s="81" t="s">
        <v>865</v>
      </c>
      <c r="G688" s="81" t="s">
        <v>158</v>
      </c>
      <c r="H688" s="3">
        <f t="shared" si="43"/>
        <v>2039.9999999999998</v>
      </c>
      <c r="I688" s="3">
        <f t="shared" si="44"/>
        <v>326.39999999999998</v>
      </c>
    </row>
    <row r="689" spans="1:9">
      <c r="A689" s="175" t="s">
        <v>7099</v>
      </c>
      <c r="B689" s="173">
        <v>85</v>
      </c>
      <c r="F689" s="28" t="s">
        <v>943</v>
      </c>
      <c r="G689" s="28" t="s">
        <v>3761</v>
      </c>
      <c r="H689" s="3">
        <f t="shared" si="43"/>
        <v>337.875</v>
      </c>
      <c r="I689" s="3">
        <f t="shared" si="44"/>
        <v>54.06</v>
      </c>
    </row>
    <row r="690" spans="1:9">
      <c r="A690" s="175" t="s">
        <v>7099</v>
      </c>
      <c r="B690" s="173">
        <v>85</v>
      </c>
      <c r="F690" t="s">
        <v>1684</v>
      </c>
      <c r="G690" t="s">
        <v>1685</v>
      </c>
      <c r="H690" s="3">
        <f t="shared" si="43"/>
        <v>501.875</v>
      </c>
      <c r="I690" s="3">
        <f t="shared" si="44"/>
        <v>80.3</v>
      </c>
    </row>
    <row r="691" spans="1:9">
      <c r="A691" s="175" t="s">
        <v>7099</v>
      </c>
      <c r="B691" s="173">
        <v>85</v>
      </c>
      <c r="F691" s="28" t="s">
        <v>7033</v>
      </c>
      <c r="G691" s="28" t="s">
        <v>7034</v>
      </c>
      <c r="H691" s="3">
        <f t="shared" si="43"/>
        <v>330.25</v>
      </c>
      <c r="I691" s="3">
        <f t="shared" si="44"/>
        <v>52.84</v>
      </c>
    </row>
    <row r="692" spans="1:9">
      <c r="A692" s="175" t="s">
        <v>7099</v>
      </c>
      <c r="B692" s="173">
        <v>85</v>
      </c>
      <c r="F692" s="28" t="s">
        <v>7023</v>
      </c>
      <c r="G692" s="28" t="s">
        <v>7024</v>
      </c>
      <c r="H692" s="3">
        <f t="shared" si="43"/>
        <v>409.9375</v>
      </c>
      <c r="I692" s="3">
        <f t="shared" si="44"/>
        <v>65.59</v>
      </c>
    </row>
    <row r="693" spans="1:9">
      <c r="A693" s="175" t="s">
        <v>7099</v>
      </c>
      <c r="B693" s="173">
        <v>85</v>
      </c>
      <c r="F693" s="33" t="s">
        <v>7050</v>
      </c>
      <c r="G693" s="33" t="s">
        <v>7051</v>
      </c>
      <c r="H693" s="3">
        <f t="shared" si="43"/>
        <v>26785.6875</v>
      </c>
      <c r="I693" s="3">
        <f t="shared" si="44"/>
        <v>4285.71</v>
      </c>
    </row>
    <row r="694" spans="1:9">
      <c r="A694" s="175" t="s">
        <v>7099</v>
      </c>
      <c r="B694" s="173">
        <v>85</v>
      </c>
      <c r="F694" s="28" t="s">
        <v>877</v>
      </c>
      <c r="G694" s="28" t="s">
        <v>223</v>
      </c>
      <c r="H694" s="3">
        <f t="shared" si="43"/>
        <v>67498.4375</v>
      </c>
      <c r="I694" s="3">
        <f t="shared" si="44"/>
        <v>10799.75</v>
      </c>
    </row>
    <row r="695" spans="1:9">
      <c r="A695" s="175" t="s">
        <v>7099</v>
      </c>
      <c r="B695" s="173">
        <v>85</v>
      </c>
      <c r="F695" s="28" t="s">
        <v>905</v>
      </c>
      <c r="G695" s="28" t="s">
        <v>906</v>
      </c>
      <c r="H695" s="3">
        <f t="shared" si="43"/>
        <v>1267.5</v>
      </c>
      <c r="I695" s="3">
        <f t="shared" si="44"/>
        <v>202.8</v>
      </c>
    </row>
    <row r="696" spans="1:9">
      <c r="A696" s="175" t="s">
        <v>7099</v>
      </c>
      <c r="B696" s="173">
        <v>85</v>
      </c>
      <c r="F696" s="41" t="s">
        <v>915</v>
      </c>
      <c r="G696" s="43" t="s">
        <v>916</v>
      </c>
      <c r="H696" s="3">
        <f t="shared" si="43"/>
        <v>190</v>
      </c>
      <c r="I696" s="3">
        <f t="shared" si="44"/>
        <v>30.4</v>
      </c>
    </row>
    <row r="697" spans="1:9">
      <c r="A697" s="175" t="s">
        <v>7099</v>
      </c>
      <c r="B697" s="173">
        <v>85</v>
      </c>
      <c r="F697" s="28" t="s">
        <v>4776</v>
      </c>
      <c r="G697" s="28" t="s">
        <v>4777</v>
      </c>
      <c r="H697" s="3">
        <f t="shared" si="43"/>
        <v>710.8125</v>
      </c>
      <c r="I697" s="3">
        <f t="shared" si="44"/>
        <v>113.73</v>
      </c>
    </row>
    <row r="698" spans="1:9">
      <c r="A698" s="175" t="s">
        <v>7099</v>
      </c>
      <c r="B698" s="173">
        <v>85</v>
      </c>
      <c r="F698" s="28" t="s">
        <v>913</v>
      </c>
      <c r="G698" s="28" t="s">
        <v>914</v>
      </c>
      <c r="H698" s="3">
        <f t="shared" si="43"/>
        <v>2178.125</v>
      </c>
      <c r="I698" s="3">
        <f t="shared" si="44"/>
        <v>348.5</v>
      </c>
    </row>
    <row r="699" spans="1:9">
      <c r="A699" s="175" t="s">
        <v>7099</v>
      </c>
      <c r="B699" s="173">
        <v>85</v>
      </c>
      <c r="F699" s="81" t="s">
        <v>4363</v>
      </c>
      <c r="G699" s="81" t="s">
        <v>3843</v>
      </c>
      <c r="H699" s="3">
        <f t="shared" si="43"/>
        <v>515405.6875</v>
      </c>
      <c r="I699" s="3">
        <f t="shared" si="44"/>
        <v>82464.91</v>
      </c>
    </row>
    <row r="700" spans="1:9">
      <c r="A700" s="175" t="s">
        <v>7099</v>
      </c>
      <c r="B700" s="173">
        <v>85</v>
      </c>
      <c r="F700" s="81" t="s">
        <v>933</v>
      </c>
      <c r="G700" s="81" t="s">
        <v>934</v>
      </c>
      <c r="H700" s="3">
        <f t="shared" si="43"/>
        <v>195</v>
      </c>
      <c r="I700" s="3">
        <f t="shared" si="44"/>
        <v>31.200000000000003</v>
      </c>
    </row>
    <row r="701" spans="1:9">
      <c r="A701" s="175" t="s">
        <v>7099</v>
      </c>
      <c r="B701" s="173">
        <v>85</v>
      </c>
      <c r="F701" s="84" t="s">
        <v>876</v>
      </c>
      <c r="G701" s="81" t="s">
        <v>306</v>
      </c>
      <c r="H701" s="3">
        <f t="shared" si="43"/>
        <v>33383.6875</v>
      </c>
      <c r="I701" s="3">
        <f t="shared" si="44"/>
        <v>5341.39</v>
      </c>
    </row>
    <row r="702" spans="1:9">
      <c r="A702" s="175" t="s">
        <v>7099</v>
      </c>
      <c r="B702" s="173">
        <v>85</v>
      </c>
      <c r="F702" s="81" t="s">
        <v>6997</v>
      </c>
      <c r="G702" s="81" t="s">
        <v>6936</v>
      </c>
      <c r="H702" s="3">
        <f t="shared" si="43"/>
        <v>10344.875</v>
      </c>
      <c r="I702" s="3">
        <f t="shared" si="44"/>
        <v>1655.18</v>
      </c>
    </row>
    <row r="703" spans="1:9">
      <c r="A703" s="175" t="s">
        <v>7099</v>
      </c>
      <c r="B703" s="173">
        <v>85</v>
      </c>
      <c r="F703" s="28" t="s">
        <v>4698</v>
      </c>
      <c r="G703" s="28" t="s">
        <v>4699</v>
      </c>
      <c r="H703" s="3">
        <f t="shared" si="43"/>
        <v>501.9375</v>
      </c>
      <c r="I703" s="3">
        <f t="shared" si="44"/>
        <v>80.31</v>
      </c>
    </row>
    <row r="704" spans="1:9">
      <c r="A704" s="175" t="s">
        <v>7099</v>
      </c>
      <c r="B704" s="173">
        <v>85</v>
      </c>
      <c r="F704" s="28" t="s">
        <v>1704</v>
      </c>
      <c r="G704" s="28" t="s">
        <v>7035</v>
      </c>
      <c r="H704" s="3">
        <f t="shared" si="43"/>
        <v>209.125</v>
      </c>
      <c r="I704" s="3">
        <f t="shared" si="44"/>
        <v>33.46</v>
      </c>
    </row>
    <row r="705" spans="1:9">
      <c r="A705" s="175" t="s">
        <v>7099</v>
      </c>
      <c r="B705" s="173">
        <v>85</v>
      </c>
      <c r="F705" s="28" t="s">
        <v>7044</v>
      </c>
      <c r="G705" s="28" t="s">
        <v>7045</v>
      </c>
      <c r="H705" s="3">
        <f t="shared" si="43"/>
        <v>50.187499999999993</v>
      </c>
      <c r="I705" s="3">
        <f t="shared" si="44"/>
        <v>8.0299999999999994</v>
      </c>
    </row>
    <row r="706" spans="1:9">
      <c r="A706" s="175" t="s">
        <v>7099</v>
      </c>
      <c r="B706" s="173">
        <v>85</v>
      </c>
      <c r="F706" s="28" t="s">
        <v>1676</v>
      </c>
      <c r="G706" s="28" t="s">
        <v>1677</v>
      </c>
      <c r="H706" s="3">
        <f t="shared" si="43"/>
        <v>334.5</v>
      </c>
      <c r="I706" s="3">
        <f t="shared" si="44"/>
        <v>53.52</v>
      </c>
    </row>
    <row r="707" spans="1:9">
      <c r="A707" s="175" t="s">
        <v>7099</v>
      </c>
      <c r="B707" s="173">
        <v>85</v>
      </c>
      <c r="F707" s="28" t="s">
        <v>2343</v>
      </c>
      <c r="G707" s="28" t="s">
        <v>2344</v>
      </c>
      <c r="H707" s="3">
        <f t="shared" si="43"/>
        <v>708.375</v>
      </c>
      <c r="I707" s="3">
        <f t="shared" si="44"/>
        <v>113.34</v>
      </c>
    </row>
    <row r="708" spans="1:9">
      <c r="A708" s="175" t="s">
        <v>7099</v>
      </c>
      <c r="B708" s="173">
        <v>85</v>
      </c>
      <c r="F708" s="28" t="s">
        <v>2884</v>
      </c>
      <c r="G708" s="28" t="s">
        <v>7014</v>
      </c>
      <c r="H708" s="3">
        <f t="shared" si="43"/>
        <v>543.75</v>
      </c>
      <c r="I708" s="3">
        <f t="shared" si="44"/>
        <v>87</v>
      </c>
    </row>
    <row r="709" spans="1:9">
      <c r="A709" s="175" t="s">
        <v>7099</v>
      </c>
      <c r="B709" s="173">
        <v>85</v>
      </c>
      <c r="F709" s="23" t="s">
        <v>829</v>
      </c>
      <c r="G709" s="24" t="s">
        <v>6</v>
      </c>
      <c r="H709" s="3">
        <f t="shared" si="43"/>
        <v>578433.0625</v>
      </c>
      <c r="I709" s="3">
        <f t="shared" si="44"/>
        <v>92549.290000000008</v>
      </c>
    </row>
    <row r="710" spans="1:9">
      <c r="A710" s="175" t="s">
        <v>7099</v>
      </c>
      <c r="B710" s="173">
        <v>85</v>
      </c>
      <c r="F710" s="32" t="s">
        <v>1632</v>
      </c>
      <c r="G710" t="s">
        <v>968</v>
      </c>
      <c r="H710" s="3">
        <f t="shared" ref="H710:H724" si="45">+I710/0.16</f>
        <v>20150</v>
      </c>
      <c r="I710" s="3">
        <f t="shared" ref="I710:I724" si="46">+SUMIF($F$7:$F$508,F710,$I$7:$I$508)</f>
        <v>3224</v>
      </c>
    </row>
    <row r="711" spans="1:9">
      <c r="A711" s="175" t="s">
        <v>7099</v>
      </c>
      <c r="B711" s="173">
        <v>85</v>
      </c>
      <c r="F711" s="30" t="s">
        <v>886</v>
      </c>
      <c r="G711" s="31" t="s">
        <v>887</v>
      </c>
      <c r="H711" s="3">
        <f t="shared" si="45"/>
        <v>10522529.249999994</v>
      </c>
      <c r="I711" s="3">
        <f t="shared" si="46"/>
        <v>1683604.6799999992</v>
      </c>
    </row>
    <row r="712" spans="1:9">
      <c r="A712" s="175" t="s">
        <v>7099</v>
      </c>
      <c r="B712" s="173">
        <v>85</v>
      </c>
      <c r="F712" s="84" t="s">
        <v>6998</v>
      </c>
      <c r="G712" s="81" t="s">
        <v>6431</v>
      </c>
      <c r="H712" s="3">
        <f t="shared" si="45"/>
        <v>277625.5625</v>
      </c>
      <c r="I712" s="3">
        <f t="shared" si="46"/>
        <v>44420.09</v>
      </c>
    </row>
    <row r="713" spans="1:9">
      <c r="A713" s="175" t="s">
        <v>7099</v>
      </c>
      <c r="B713" s="173">
        <v>85</v>
      </c>
      <c r="F713" s="81" t="s">
        <v>1637</v>
      </c>
      <c r="G713" s="81" t="s">
        <v>5418</v>
      </c>
      <c r="H713" s="3">
        <f t="shared" si="45"/>
        <v>703372.1875</v>
      </c>
      <c r="I713" s="3">
        <f t="shared" si="46"/>
        <v>112539.55</v>
      </c>
    </row>
    <row r="714" spans="1:9">
      <c r="A714" s="175" t="s">
        <v>7099</v>
      </c>
      <c r="B714" s="173">
        <v>85</v>
      </c>
      <c r="F714" s="81" t="s">
        <v>3751</v>
      </c>
      <c r="G714" s="81" t="s">
        <v>4343</v>
      </c>
      <c r="H714" s="3">
        <f t="shared" si="45"/>
        <v>258.5625</v>
      </c>
      <c r="I714" s="3">
        <f t="shared" si="46"/>
        <v>41.37</v>
      </c>
    </row>
    <row r="715" spans="1:9">
      <c r="A715" s="175" t="s">
        <v>7099</v>
      </c>
      <c r="B715" s="173">
        <v>85</v>
      </c>
      <c r="F715" s="81" t="s">
        <v>882</v>
      </c>
      <c r="G715" s="81" t="s">
        <v>590</v>
      </c>
      <c r="H715" s="3">
        <f t="shared" si="45"/>
        <v>148.25</v>
      </c>
      <c r="I715" s="3">
        <f t="shared" si="46"/>
        <v>23.72</v>
      </c>
    </row>
    <row r="716" spans="1:9">
      <c r="A716" s="175" t="s">
        <v>7099</v>
      </c>
      <c r="B716" s="173">
        <v>85</v>
      </c>
      <c r="F716" s="155" t="s">
        <v>892</v>
      </c>
      <c r="G716" s="81" t="s">
        <v>893</v>
      </c>
      <c r="H716" s="3">
        <f t="shared" si="45"/>
        <v>473543.9375</v>
      </c>
      <c r="I716" s="3">
        <f t="shared" si="46"/>
        <v>75767.03</v>
      </c>
    </row>
    <row r="717" spans="1:9">
      <c r="A717" s="175" t="s">
        <v>7099</v>
      </c>
      <c r="B717" s="173">
        <v>85</v>
      </c>
      <c r="F717" s="81" t="s">
        <v>1613</v>
      </c>
      <c r="G717" s="81" t="s">
        <v>2298</v>
      </c>
      <c r="H717" s="3">
        <f t="shared" si="45"/>
        <v>209.125</v>
      </c>
      <c r="I717" s="3">
        <f t="shared" si="46"/>
        <v>33.46</v>
      </c>
    </row>
    <row r="718" spans="1:9">
      <c r="A718" s="175" t="s">
        <v>7099</v>
      </c>
      <c r="B718" s="173">
        <v>85</v>
      </c>
      <c r="F718" s="81" t="s">
        <v>4339</v>
      </c>
      <c r="G718" s="81" t="s">
        <v>4310</v>
      </c>
      <c r="H718" s="3">
        <f t="shared" si="45"/>
        <v>31850</v>
      </c>
      <c r="I718" s="3">
        <f t="shared" si="46"/>
        <v>5096</v>
      </c>
    </row>
    <row r="719" spans="1:9">
      <c r="A719" s="175" t="s">
        <v>7099</v>
      </c>
      <c r="B719" s="173">
        <v>85</v>
      </c>
      <c r="F719" s="28" t="s">
        <v>894</v>
      </c>
      <c r="G719" s="28" t="s">
        <v>895</v>
      </c>
      <c r="H719" s="3">
        <f t="shared" si="45"/>
        <v>334.5</v>
      </c>
      <c r="I719" s="3">
        <f t="shared" si="46"/>
        <v>53.52</v>
      </c>
    </row>
    <row r="720" spans="1:9">
      <c r="A720" s="175" t="s">
        <v>7099</v>
      </c>
      <c r="B720" s="173">
        <v>85</v>
      </c>
      <c r="F720" s="41" t="s">
        <v>889</v>
      </c>
      <c r="G720" t="s">
        <v>118</v>
      </c>
      <c r="H720" s="3">
        <f t="shared" si="45"/>
        <v>1800</v>
      </c>
      <c r="I720" s="3">
        <f t="shared" si="46"/>
        <v>288</v>
      </c>
    </row>
    <row r="721" spans="1:10">
      <c r="A721" s="175" t="s">
        <v>7099</v>
      </c>
      <c r="B721" s="173">
        <v>85</v>
      </c>
      <c r="F721" s="33" t="s">
        <v>5765</v>
      </c>
      <c r="G721" s="33" t="s">
        <v>5766</v>
      </c>
      <c r="H721" s="3">
        <f t="shared" si="45"/>
        <v>228.87499999999997</v>
      </c>
      <c r="I721" s="3">
        <f t="shared" si="46"/>
        <v>36.619999999999997</v>
      </c>
    </row>
    <row r="722" spans="1:10">
      <c r="A722" s="175" t="s">
        <v>7099</v>
      </c>
      <c r="B722" s="173">
        <v>85</v>
      </c>
      <c r="F722" t="s">
        <v>4376</v>
      </c>
      <c r="G722" t="s">
        <v>4040</v>
      </c>
      <c r="H722" s="3">
        <f t="shared" si="45"/>
        <v>905.18750000000011</v>
      </c>
      <c r="I722" s="3">
        <f t="shared" si="46"/>
        <v>144.83000000000001</v>
      </c>
    </row>
    <row r="723" spans="1:10">
      <c r="A723" s="175" t="s">
        <v>7099</v>
      </c>
      <c r="B723" s="173">
        <v>85</v>
      </c>
      <c r="F723" s="41" t="s">
        <v>5776</v>
      </c>
      <c r="G723" s="33" t="s">
        <v>6975</v>
      </c>
      <c r="H723" s="3">
        <f t="shared" si="45"/>
        <v>264.625</v>
      </c>
      <c r="I723" s="3">
        <f t="shared" si="46"/>
        <v>42.34</v>
      </c>
    </row>
    <row r="724" spans="1:10">
      <c r="A724" s="175" t="s">
        <v>7099</v>
      </c>
      <c r="B724" s="173">
        <v>85</v>
      </c>
      <c r="F724" t="s">
        <v>1728</v>
      </c>
      <c r="G724" t="s">
        <v>1287</v>
      </c>
      <c r="H724" s="3">
        <f t="shared" si="45"/>
        <v>1294.875</v>
      </c>
      <c r="I724" s="3">
        <f t="shared" si="46"/>
        <v>207.18</v>
      </c>
    </row>
    <row r="726" spans="1:10">
      <c r="H726" s="3">
        <f>SUM(H516:H725)</f>
        <v>-217977357.6875</v>
      </c>
      <c r="I726" s="3">
        <f>SUM(I516:I725)</f>
        <v>-34876377.229999959</v>
      </c>
      <c r="J726" s="3">
        <f>SUM(J516:J724)</f>
        <v>26795.72</v>
      </c>
    </row>
    <row r="727" spans="1:10">
      <c r="H727" s="3">
        <f>+H510</f>
        <v>-217977357.6875</v>
      </c>
      <c r="I727" s="3">
        <f>+I510</f>
        <v>-34876377.229999982</v>
      </c>
      <c r="J727" s="14">
        <f>26286.9+84</f>
        <v>26370.9</v>
      </c>
    </row>
    <row r="728" spans="1:10">
      <c r="H728" s="3">
        <f>+H727-H726</f>
        <v>0</v>
      </c>
      <c r="I728" s="3">
        <f>+I727-I726</f>
        <v>0</v>
      </c>
      <c r="J728" s="14">
        <f>+J727-J726</f>
        <v>-424.81999999999971</v>
      </c>
    </row>
  </sheetData>
  <autoFilter ref="A6:I508"/>
  <sortState ref="A7:P386">
    <sortCondition ref="E7:E386"/>
  </sortState>
  <conditionalFormatting sqref="F516:G724">
    <cfRule type="duplicateValues" dxfId="0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6:P17"/>
  <sheetViews>
    <sheetView workbookViewId="0">
      <selection activeCell="K25" sqref="K25"/>
    </sheetView>
  </sheetViews>
  <sheetFormatPr baseColWidth="10" defaultRowHeight="15"/>
  <cols>
    <col min="2" max="2" width="12.7109375" bestFit="1" customWidth="1"/>
  </cols>
  <sheetData>
    <row r="6" spans="2:16">
      <c r="B6" t="s">
        <v>7082</v>
      </c>
      <c r="C6" s="165" t="s">
        <v>7085</v>
      </c>
      <c r="D6" s="165" t="s">
        <v>7080</v>
      </c>
      <c r="E6" s="165" t="s">
        <v>7086</v>
      </c>
      <c r="F6" s="165" t="s">
        <v>7087</v>
      </c>
      <c r="G6" s="165" t="s">
        <v>7088</v>
      </c>
      <c r="H6" s="165" t="s">
        <v>7089</v>
      </c>
      <c r="I6" s="165" t="s">
        <v>7090</v>
      </c>
      <c r="J6" s="165" t="s">
        <v>7091</v>
      </c>
      <c r="K6" s="165" t="s">
        <v>7092</v>
      </c>
      <c r="L6" s="165" t="s">
        <v>7093</v>
      </c>
      <c r="M6" s="165" t="s">
        <v>7094</v>
      </c>
      <c r="N6" s="165" t="s">
        <v>7095</v>
      </c>
    </row>
    <row r="7" spans="2:16">
      <c r="B7" t="s">
        <v>7083</v>
      </c>
      <c r="C7">
        <v>23447</v>
      </c>
      <c r="D7">
        <v>23161</v>
      </c>
      <c r="E7">
        <v>22987</v>
      </c>
      <c r="F7">
        <v>22857</v>
      </c>
      <c r="G7">
        <v>22877</v>
      </c>
      <c r="H7">
        <v>23200</v>
      </c>
      <c r="I7">
        <v>23292</v>
      </c>
      <c r="J7">
        <v>22941</v>
      </c>
      <c r="K7">
        <v>24929</v>
      </c>
      <c r="L7">
        <v>22920</v>
      </c>
      <c r="M7">
        <v>23407</v>
      </c>
      <c r="N7">
        <v>29228</v>
      </c>
      <c r="O7">
        <f>+SUM(C7:N7)</f>
        <v>285246</v>
      </c>
    </row>
    <row r="8" spans="2:16">
      <c r="B8" s="170" t="s">
        <v>7084</v>
      </c>
      <c r="C8" s="170">
        <v>23455.22</v>
      </c>
      <c r="D8" s="170">
        <v>22875.5</v>
      </c>
      <c r="E8" s="170">
        <v>23272.82</v>
      </c>
      <c r="F8" s="170">
        <v>22857.15</v>
      </c>
      <c r="G8" s="170">
        <v>22885.94</v>
      </c>
      <c r="H8" s="170">
        <v>22866.68</v>
      </c>
      <c r="I8" s="170">
        <v>23631.5</v>
      </c>
      <c r="J8" s="170">
        <v>32857.14</v>
      </c>
      <c r="K8" s="170">
        <v>24655.43</v>
      </c>
      <c r="L8" s="170">
        <v>22927.54</v>
      </c>
      <c r="M8" s="170">
        <v>22898.58</v>
      </c>
      <c r="N8" s="170">
        <v>26795.72</v>
      </c>
      <c r="O8">
        <f>+SUM(C8:N8)</f>
        <v>291979.21999999997</v>
      </c>
    </row>
    <row r="9" spans="2:16">
      <c r="B9" t="s">
        <v>7096</v>
      </c>
      <c r="C9">
        <f>22857+397</f>
        <v>23254</v>
      </c>
      <c r="E9">
        <f>590+304+22857+22857</f>
        <v>46608</v>
      </c>
      <c r="F9">
        <f>22857+130</f>
        <v>22987</v>
      </c>
      <c r="G9">
        <v>22857</v>
      </c>
      <c r="H9">
        <f>22858+19</f>
        <v>22877</v>
      </c>
      <c r="I9">
        <f>8.44+23200</f>
        <v>23208.44</v>
      </c>
      <c r="J9">
        <v>10000</v>
      </c>
      <c r="K9">
        <f>23292+22857+84</f>
        <v>46233</v>
      </c>
      <c r="L9">
        <f>24563+366</f>
        <v>24929</v>
      </c>
      <c r="M9">
        <f>22857+63</f>
        <v>22920</v>
      </c>
      <c r="N9">
        <f>23366+41</f>
        <v>23407</v>
      </c>
      <c r="O9">
        <f>+SUM(C9:N9)</f>
        <v>289280.44</v>
      </c>
      <c r="P9">
        <f>+O7-O9</f>
        <v>-4034.4400000000023</v>
      </c>
    </row>
    <row r="10" spans="2:16">
      <c r="B10" t="s">
        <v>7097</v>
      </c>
      <c r="C10" s="167">
        <f>+C7-C9</f>
        <v>193</v>
      </c>
      <c r="D10" s="167">
        <f>+D7-D9</f>
        <v>23161</v>
      </c>
      <c r="E10" s="167">
        <f>+E7-E9</f>
        <v>-23621</v>
      </c>
      <c r="F10" s="167">
        <f t="shared" ref="F10:N10" si="0">+F7-F9</f>
        <v>-130</v>
      </c>
      <c r="G10" s="167">
        <f t="shared" si="0"/>
        <v>20</v>
      </c>
      <c r="H10" s="167">
        <f t="shared" si="0"/>
        <v>323</v>
      </c>
      <c r="I10" s="167">
        <f t="shared" si="0"/>
        <v>83.56000000000131</v>
      </c>
      <c r="J10" s="167">
        <f t="shared" si="0"/>
        <v>12941</v>
      </c>
      <c r="K10" s="167">
        <f t="shared" si="0"/>
        <v>-21304</v>
      </c>
      <c r="L10" s="167">
        <f t="shared" si="0"/>
        <v>-2009</v>
      </c>
      <c r="M10" s="167">
        <f t="shared" si="0"/>
        <v>487</v>
      </c>
      <c r="N10" s="167">
        <f t="shared" si="0"/>
        <v>5821</v>
      </c>
    </row>
    <row r="11" spans="2:16"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>
        <f>+O7-O8</f>
        <v>-6733.2199999999721</v>
      </c>
    </row>
    <row r="12" spans="2:16">
      <c r="B12" s="166">
        <v>0.1</v>
      </c>
      <c r="C12">
        <f t="shared" ref="C12:H12" si="1">11428.57*2</f>
        <v>22857.14</v>
      </c>
      <c r="D12">
        <f t="shared" si="1"/>
        <v>22857.14</v>
      </c>
      <c r="E12">
        <f t="shared" si="1"/>
        <v>22857.14</v>
      </c>
      <c r="F12">
        <f t="shared" si="1"/>
        <v>22857.14</v>
      </c>
      <c r="G12">
        <f t="shared" si="1"/>
        <v>22857.14</v>
      </c>
      <c r="H12">
        <f t="shared" si="1"/>
        <v>22857.14</v>
      </c>
      <c r="I12">
        <f>11428.57+11428.57+435.12</f>
        <v>23292.26</v>
      </c>
      <c r="J12">
        <f>11428.57+11428.57+10000</f>
        <v>32857.14</v>
      </c>
      <c r="K12">
        <f>11428.57+11428.57+1714.29</f>
        <v>24571.43</v>
      </c>
      <c r="L12">
        <f>11428.57*2</f>
        <v>22857.14</v>
      </c>
      <c r="M12">
        <f>11428.57+11428.57+508.82</f>
        <v>23365.96</v>
      </c>
      <c r="N12">
        <f>11428.57+3429.76+11428.57</f>
        <v>26286.9</v>
      </c>
    </row>
    <row r="13" spans="2:16">
      <c r="B13" s="166">
        <v>0.04</v>
      </c>
      <c r="C13">
        <f>426.78+162.86+8.44</f>
        <v>598.08000000000004</v>
      </c>
      <c r="D13">
        <f>285.87+10.76+7.6</f>
        <v>304.23</v>
      </c>
      <c r="E13">
        <f>62.14+67.66</f>
        <v>129.80000000000001</v>
      </c>
      <c r="F13">
        <f>6.16+8.44+3.44</f>
        <v>18.04</v>
      </c>
      <c r="G13">
        <v>10.79</v>
      </c>
      <c r="H13">
        <f>5.64+163.34+170.26+9.54</f>
        <v>348.78000000000003</v>
      </c>
      <c r="J13">
        <v>84</v>
      </c>
      <c r="K13">
        <v>7.88</v>
      </c>
      <c r="L13">
        <f>10.73+51.79</f>
        <v>62.519999999999996</v>
      </c>
      <c r="M13">
        <f>10.36*4</f>
        <v>41.44</v>
      </c>
      <c r="N13">
        <v>84</v>
      </c>
    </row>
    <row r="14" spans="2:16">
      <c r="C14" s="167">
        <f>+C12+C13</f>
        <v>23455.22</v>
      </c>
      <c r="D14" s="167">
        <f t="shared" ref="D14:N14" si="2">+D12+D13</f>
        <v>23161.37</v>
      </c>
      <c r="E14" s="167">
        <f t="shared" si="2"/>
        <v>22986.94</v>
      </c>
      <c r="F14" s="167">
        <f t="shared" si="2"/>
        <v>22875.18</v>
      </c>
      <c r="G14" s="167">
        <f t="shared" si="2"/>
        <v>22867.93</v>
      </c>
      <c r="H14" s="167">
        <f t="shared" si="2"/>
        <v>23205.919999999998</v>
      </c>
      <c r="I14" s="167">
        <f t="shared" si="2"/>
        <v>23292.26</v>
      </c>
      <c r="J14" s="167">
        <f t="shared" si="2"/>
        <v>32941.14</v>
      </c>
      <c r="K14" s="167">
        <f t="shared" si="2"/>
        <v>24579.31</v>
      </c>
      <c r="L14" s="167">
        <f t="shared" si="2"/>
        <v>22919.66</v>
      </c>
      <c r="M14" s="167">
        <f t="shared" si="2"/>
        <v>23407.399999999998</v>
      </c>
      <c r="N14" s="167">
        <f t="shared" si="2"/>
        <v>26370.9</v>
      </c>
      <c r="O14" s="168">
        <f>+SUM(C14:N14)</f>
        <v>292063.23000000004</v>
      </c>
    </row>
    <row r="15" spans="2:16">
      <c r="C15" s="169">
        <f>+C8</f>
        <v>23455.22</v>
      </c>
      <c r="D15" s="169">
        <f t="shared" ref="D15:N15" si="3">+D8</f>
        <v>22875.5</v>
      </c>
      <c r="E15" s="169">
        <f t="shared" si="3"/>
        <v>23272.82</v>
      </c>
      <c r="F15" s="169">
        <f t="shared" si="3"/>
        <v>22857.15</v>
      </c>
      <c r="G15" s="169">
        <f t="shared" si="3"/>
        <v>22885.94</v>
      </c>
      <c r="H15" s="169">
        <f t="shared" si="3"/>
        <v>22866.68</v>
      </c>
      <c r="I15" s="169">
        <f t="shared" si="3"/>
        <v>23631.5</v>
      </c>
      <c r="J15" s="169">
        <f t="shared" si="3"/>
        <v>32857.14</v>
      </c>
      <c r="K15" s="169">
        <f t="shared" si="3"/>
        <v>24655.43</v>
      </c>
      <c r="L15" s="169">
        <f t="shared" si="3"/>
        <v>22927.54</v>
      </c>
      <c r="M15" s="169">
        <f t="shared" si="3"/>
        <v>22898.58</v>
      </c>
      <c r="N15" s="169">
        <f t="shared" si="3"/>
        <v>26795.72</v>
      </c>
      <c r="O15" s="168">
        <f>+SUM(C15:N15)</f>
        <v>291979.21999999997</v>
      </c>
    </row>
    <row r="16" spans="2:16">
      <c r="C16">
        <f>+C14-C15</f>
        <v>0</v>
      </c>
      <c r="D16">
        <f t="shared" ref="D16:N16" si="4">+D14-D15</f>
        <v>285.86999999999898</v>
      </c>
      <c r="E16">
        <f t="shared" si="4"/>
        <v>-285.88000000000102</v>
      </c>
      <c r="F16">
        <f t="shared" si="4"/>
        <v>18.029999999998836</v>
      </c>
      <c r="G16">
        <f t="shared" si="4"/>
        <v>-18.009999999998399</v>
      </c>
      <c r="H16">
        <f t="shared" si="4"/>
        <v>339.23999999999796</v>
      </c>
      <c r="I16">
        <f t="shared" si="4"/>
        <v>-339.2400000000016</v>
      </c>
      <c r="J16">
        <f t="shared" si="4"/>
        <v>84</v>
      </c>
      <c r="K16">
        <f t="shared" si="4"/>
        <v>-76.119999999998981</v>
      </c>
      <c r="L16">
        <f t="shared" si="4"/>
        <v>-7.8800000000010186</v>
      </c>
      <c r="M16">
        <f t="shared" si="4"/>
        <v>508.81999999999607</v>
      </c>
      <c r="N16">
        <f t="shared" si="4"/>
        <v>-424.81999999999971</v>
      </c>
      <c r="O16">
        <f>+O14-O15</f>
        <v>84.010000000067521</v>
      </c>
    </row>
    <row r="17" spans="4:14">
      <c r="D17" t="s">
        <v>7098</v>
      </c>
      <c r="E17" t="s">
        <v>7098</v>
      </c>
      <c r="F17" t="s">
        <v>7098</v>
      </c>
      <c r="G17" t="s">
        <v>7098</v>
      </c>
      <c r="H17" t="s">
        <v>7098</v>
      </c>
      <c r="I17" t="s">
        <v>7098</v>
      </c>
      <c r="J17" t="s">
        <v>7098</v>
      </c>
      <c r="K17" t="s">
        <v>7098</v>
      </c>
      <c r="L17" t="s">
        <v>7098</v>
      </c>
      <c r="N17">
        <f>+M16+N16</f>
        <v>83.999999999996362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66"/>
  <sheetViews>
    <sheetView zoomScale="90" zoomScaleNormal="90" workbookViewId="0">
      <pane ySplit="9" topLeftCell="A413" activePane="bottomLeft" state="frozen"/>
      <selection pane="bottomLeft" activeCell="G435" sqref="G435"/>
    </sheetView>
  </sheetViews>
  <sheetFormatPr baseColWidth="10" defaultRowHeight="15"/>
  <cols>
    <col min="4" max="4" width="6.5703125" bestFit="1" customWidth="1"/>
    <col min="5" max="5" width="40.140625" bestFit="1" customWidth="1"/>
    <col min="6" max="6" width="24.28515625" bestFit="1" customWidth="1"/>
    <col min="7" max="7" width="80.42578125" bestFit="1" customWidth="1"/>
    <col min="8" max="8" width="16.140625" bestFit="1" customWidth="1"/>
    <col min="9" max="10" width="13.85546875" bestFit="1" customWidth="1"/>
  </cols>
  <sheetData>
    <row r="1" spans="1:11">
      <c r="A1" t="s">
        <v>729</v>
      </c>
      <c r="H1" s="3"/>
    </row>
    <row r="2" spans="1:11">
      <c r="A2" t="s">
        <v>1567</v>
      </c>
      <c r="B2">
        <v>2013</v>
      </c>
      <c r="H2" s="3"/>
    </row>
    <row r="3" spans="1:11">
      <c r="A3" t="s">
        <v>731</v>
      </c>
      <c r="H3" s="3"/>
    </row>
    <row r="4" spans="1:11">
      <c r="H4" s="3"/>
    </row>
    <row r="5" spans="1:11">
      <c r="H5" s="3"/>
    </row>
    <row r="6" spans="1:11">
      <c r="H6" s="3"/>
    </row>
    <row r="7" spans="1:11">
      <c r="H7" s="3"/>
    </row>
    <row r="8" spans="1:11">
      <c r="H8" s="3"/>
    </row>
    <row r="9" spans="1:11">
      <c r="A9" s="6" t="s">
        <v>721</v>
      </c>
      <c r="B9" s="6" t="s">
        <v>722</v>
      </c>
      <c r="C9" s="6" t="s">
        <v>1568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6" t="s">
        <v>726</v>
      </c>
    </row>
    <row r="10" spans="1:11">
      <c r="A10" t="s">
        <v>1488</v>
      </c>
      <c r="B10" s="1">
        <v>41333</v>
      </c>
      <c r="C10" t="s">
        <v>1489</v>
      </c>
      <c r="D10">
        <v>1</v>
      </c>
      <c r="E10" t="s">
        <v>1490</v>
      </c>
      <c r="F10" t="s">
        <v>1569</v>
      </c>
      <c r="G10" t="s">
        <v>1490</v>
      </c>
      <c r="H10" s="3">
        <f>+I10/0.16</f>
        <v>86.187499999999986</v>
      </c>
      <c r="I10" s="3">
        <v>13.79</v>
      </c>
      <c r="K10" s="2"/>
    </row>
    <row r="11" spans="1:11">
      <c r="A11" t="s">
        <v>1459</v>
      </c>
      <c r="B11" s="1">
        <v>41333</v>
      </c>
      <c r="C11" t="s">
        <v>1417</v>
      </c>
      <c r="D11">
        <v>1</v>
      </c>
      <c r="E11" t="s">
        <v>517</v>
      </c>
      <c r="F11" s="33" t="s">
        <v>738</v>
      </c>
      <c r="G11" s="33" t="s">
        <v>517</v>
      </c>
      <c r="H11" s="3">
        <f t="shared" ref="H11:H44" si="0">+I11/0.16</f>
        <v>155.1875</v>
      </c>
      <c r="I11" s="3">
        <v>24.83</v>
      </c>
      <c r="K11" s="2"/>
    </row>
    <row r="12" spans="1:11">
      <c r="A12" t="s">
        <v>1158</v>
      </c>
      <c r="B12" s="1">
        <v>41321</v>
      </c>
      <c r="C12" t="s">
        <v>1159</v>
      </c>
      <c r="D12">
        <v>1</v>
      </c>
      <c r="E12" t="s">
        <v>1160</v>
      </c>
      <c r="F12" s="38" t="s">
        <v>1570</v>
      </c>
      <c r="G12" s="38" t="s">
        <v>1160</v>
      </c>
      <c r="H12" s="3">
        <f t="shared" si="0"/>
        <v>6650</v>
      </c>
      <c r="I12" s="3">
        <v>1064</v>
      </c>
      <c r="K12" s="2"/>
    </row>
    <row r="13" spans="1:11">
      <c r="A13" t="s">
        <v>1452</v>
      </c>
      <c r="B13" s="1">
        <v>41333</v>
      </c>
      <c r="C13" t="s">
        <v>1417</v>
      </c>
      <c r="D13">
        <v>1</v>
      </c>
      <c r="E13" t="s">
        <v>1453</v>
      </c>
      <c r="F13" s="33" t="s">
        <v>742</v>
      </c>
      <c r="G13" s="33" t="s">
        <v>1453</v>
      </c>
      <c r="H13" s="3">
        <f t="shared" si="0"/>
        <v>90.5</v>
      </c>
      <c r="I13" s="3">
        <v>14.48</v>
      </c>
      <c r="K13" s="2"/>
    </row>
    <row r="14" spans="1:11">
      <c r="A14" t="s">
        <v>335</v>
      </c>
      <c r="B14" s="1">
        <v>41330</v>
      </c>
      <c r="C14" t="s">
        <v>1284</v>
      </c>
      <c r="D14">
        <v>1</v>
      </c>
      <c r="E14" t="s">
        <v>1285</v>
      </c>
      <c r="F14" s="33" t="s">
        <v>1571</v>
      </c>
      <c r="G14" s="33" t="s">
        <v>1285</v>
      </c>
      <c r="H14" s="3">
        <f t="shared" si="0"/>
        <v>19000</v>
      </c>
      <c r="I14" s="3">
        <v>3040</v>
      </c>
      <c r="K14" s="2"/>
    </row>
    <row r="15" spans="1:11">
      <c r="A15" t="s">
        <v>161</v>
      </c>
      <c r="B15" s="1">
        <v>41320</v>
      </c>
      <c r="C15" t="s">
        <v>1114</v>
      </c>
      <c r="D15">
        <v>1</v>
      </c>
      <c r="E15" t="s">
        <v>210</v>
      </c>
      <c r="F15" s="39" t="s">
        <v>744</v>
      </c>
      <c r="G15" s="33" t="s">
        <v>210</v>
      </c>
      <c r="H15" s="3">
        <f t="shared" si="0"/>
        <v>4071.4374999999995</v>
      </c>
      <c r="I15" s="3">
        <v>651.42999999999995</v>
      </c>
      <c r="K15" s="2"/>
    </row>
    <row r="16" spans="1:11">
      <c r="A16" t="s">
        <v>1249</v>
      </c>
      <c r="B16" s="1">
        <v>41327</v>
      </c>
      <c r="C16" t="s">
        <v>1250</v>
      </c>
      <c r="D16">
        <v>1</v>
      </c>
      <c r="E16" t="s">
        <v>1251</v>
      </c>
      <c r="F16" s="40" t="s">
        <v>1572</v>
      </c>
      <c r="G16" s="40" t="s">
        <v>1573</v>
      </c>
      <c r="H16" s="3">
        <f t="shared" si="0"/>
        <v>278298.3125</v>
      </c>
      <c r="I16" s="3">
        <v>44527.73</v>
      </c>
      <c r="K16" s="2"/>
    </row>
    <row r="17" spans="1:11">
      <c r="A17" t="s">
        <v>1092</v>
      </c>
      <c r="B17" s="1">
        <v>41318</v>
      </c>
      <c r="C17" t="s">
        <v>1093</v>
      </c>
      <c r="D17">
        <v>1</v>
      </c>
      <c r="E17" t="s">
        <v>1094</v>
      </c>
      <c r="F17" s="40" t="s">
        <v>1572</v>
      </c>
      <c r="G17" s="40" t="s">
        <v>1573</v>
      </c>
      <c r="H17" s="3">
        <f t="shared" si="0"/>
        <v>176845.75</v>
      </c>
      <c r="I17" s="3">
        <v>28295.32</v>
      </c>
      <c r="K17" s="2"/>
    </row>
    <row r="18" spans="1:11">
      <c r="A18" t="s">
        <v>989</v>
      </c>
      <c r="B18" s="1">
        <v>41311</v>
      </c>
      <c r="C18" t="s">
        <v>990</v>
      </c>
      <c r="D18">
        <v>1</v>
      </c>
      <c r="E18" t="s">
        <v>991</v>
      </c>
      <c r="F18" s="33" t="s">
        <v>1574</v>
      </c>
      <c r="G18" s="33" t="s">
        <v>991</v>
      </c>
      <c r="H18" s="3">
        <f t="shared" si="0"/>
        <v>172553.9375</v>
      </c>
      <c r="I18" s="3">
        <v>27608.63</v>
      </c>
      <c r="K18" s="2"/>
    </row>
    <row r="19" spans="1:11">
      <c r="A19" t="s">
        <v>458</v>
      </c>
      <c r="B19" s="1">
        <v>41333</v>
      </c>
      <c r="C19" t="s">
        <v>1556</v>
      </c>
      <c r="D19">
        <v>1</v>
      </c>
      <c r="E19" t="s">
        <v>1557</v>
      </c>
      <c r="F19" s="33" t="s">
        <v>747</v>
      </c>
      <c r="G19" s="33" t="s">
        <v>1557</v>
      </c>
      <c r="H19" s="3">
        <f t="shared" si="0"/>
        <v>320.125</v>
      </c>
      <c r="I19" s="3">
        <v>51.22</v>
      </c>
      <c r="K19" s="2"/>
    </row>
    <row r="20" spans="1:11">
      <c r="A20" t="s">
        <v>438</v>
      </c>
      <c r="B20" s="1">
        <v>41333</v>
      </c>
      <c r="C20" t="s">
        <v>1500</v>
      </c>
      <c r="D20">
        <v>1</v>
      </c>
      <c r="E20" t="s">
        <v>1501</v>
      </c>
      <c r="F20" t="s">
        <v>948</v>
      </c>
      <c r="G20" t="s">
        <v>947</v>
      </c>
      <c r="H20" s="3">
        <f t="shared" si="0"/>
        <v>974.12500000000011</v>
      </c>
      <c r="I20" s="3">
        <v>155.86000000000001</v>
      </c>
      <c r="K20" s="2"/>
    </row>
    <row r="21" spans="1:11">
      <c r="A21" t="s">
        <v>1347</v>
      </c>
      <c r="B21" s="1">
        <v>41333</v>
      </c>
      <c r="C21" t="s">
        <v>1348</v>
      </c>
      <c r="D21">
        <v>1</v>
      </c>
      <c r="E21" t="s">
        <v>1349</v>
      </c>
      <c r="F21" s="41" t="s">
        <v>755</v>
      </c>
      <c r="G21" s="33" t="s">
        <v>756</v>
      </c>
      <c r="H21" s="3">
        <f t="shared" si="0"/>
        <v>253943.3125</v>
      </c>
      <c r="I21" s="3">
        <v>40630.93</v>
      </c>
      <c r="K21" s="2"/>
    </row>
    <row r="22" spans="1:11">
      <c r="A22" t="s">
        <v>1288</v>
      </c>
      <c r="B22" s="1">
        <v>41331</v>
      </c>
      <c r="C22" t="s">
        <v>1289</v>
      </c>
      <c r="D22">
        <v>1</v>
      </c>
      <c r="E22" t="s">
        <v>1290</v>
      </c>
      <c r="F22" s="41" t="s">
        <v>755</v>
      </c>
      <c r="G22" s="33" t="s">
        <v>756</v>
      </c>
      <c r="H22" s="3">
        <f t="shared" si="0"/>
        <v>300276.5</v>
      </c>
      <c r="I22" s="3">
        <v>48044.24</v>
      </c>
      <c r="K22" s="2"/>
    </row>
    <row r="23" spans="1:11">
      <c r="A23" t="s">
        <v>1244</v>
      </c>
      <c r="B23" s="1">
        <v>41327</v>
      </c>
      <c r="C23" t="s">
        <v>1245</v>
      </c>
      <c r="D23">
        <v>1</v>
      </c>
      <c r="E23" t="s">
        <v>1246</v>
      </c>
      <c r="F23" s="41" t="s">
        <v>755</v>
      </c>
      <c r="G23" s="33" t="s">
        <v>756</v>
      </c>
      <c r="H23" s="3">
        <f t="shared" si="0"/>
        <v>253943.3125</v>
      </c>
      <c r="I23" s="3">
        <v>40630.93</v>
      </c>
      <c r="K23" s="2"/>
    </row>
    <row r="24" spans="1:11">
      <c r="A24" t="s">
        <v>1350</v>
      </c>
      <c r="B24" s="1">
        <v>41333</v>
      </c>
      <c r="C24" t="s">
        <v>1245</v>
      </c>
      <c r="D24">
        <v>1</v>
      </c>
      <c r="E24" t="s">
        <v>1246</v>
      </c>
      <c r="F24" s="41" t="s">
        <v>755</v>
      </c>
      <c r="G24" s="33" t="s">
        <v>756</v>
      </c>
      <c r="H24" s="3">
        <f t="shared" si="0"/>
        <v>-253943.3125</v>
      </c>
      <c r="I24" s="3">
        <v>-40630.93</v>
      </c>
      <c r="J24" s="2"/>
      <c r="K24" s="2"/>
    </row>
    <row r="25" spans="1:11">
      <c r="A25" t="s">
        <v>1354</v>
      </c>
      <c r="B25" s="1">
        <v>41333</v>
      </c>
      <c r="C25" t="s">
        <v>1355</v>
      </c>
      <c r="D25">
        <v>1</v>
      </c>
      <c r="E25" t="s">
        <v>1356</v>
      </c>
      <c r="F25" s="41" t="s">
        <v>755</v>
      </c>
      <c r="G25" s="33" t="s">
        <v>756</v>
      </c>
      <c r="H25" s="3">
        <f t="shared" si="0"/>
        <v>277751.8125</v>
      </c>
      <c r="I25" s="3">
        <v>44440.29</v>
      </c>
      <c r="K25" s="2"/>
    </row>
    <row r="26" spans="1:11">
      <c r="A26" t="s">
        <v>1200</v>
      </c>
      <c r="B26" s="1">
        <v>41325</v>
      </c>
      <c r="C26" t="s">
        <v>1201</v>
      </c>
      <c r="D26">
        <v>1</v>
      </c>
      <c r="E26" t="s">
        <v>1202</v>
      </c>
      <c r="F26" s="41" t="s">
        <v>755</v>
      </c>
      <c r="G26" s="33" t="s">
        <v>756</v>
      </c>
      <c r="H26" s="3">
        <f t="shared" si="0"/>
        <v>277751.8125</v>
      </c>
      <c r="I26" s="3">
        <v>44440.29</v>
      </c>
      <c r="K26" s="2"/>
    </row>
    <row r="27" spans="1:11">
      <c r="A27" t="s">
        <v>1357</v>
      </c>
      <c r="B27" s="1">
        <v>41333</v>
      </c>
      <c r="C27" t="s">
        <v>1201</v>
      </c>
      <c r="D27">
        <v>1</v>
      </c>
      <c r="E27" t="s">
        <v>1202</v>
      </c>
      <c r="F27" s="41" t="s">
        <v>755</v>
      </c>
      <c r="G27" s="33" t="s">
        <v>756</v>
      </c>
      <c r="H27" s="3">
        <f t="shared" si="0"/>
        <v>-277751.8125</v>
      </c>
      <c r="I27" s="3">
        <v>-44440.29</v>
      </c>
      <c r="J27" s="2"/>
      <c r="K27" s="2"/>
    </row>
    <row r="28" spans="1:11">
      <c r="A28" t="s">
        <v>1099</v>
      </c>
      <c r="B28" s="1">
        <v>41319</v>
      </c>
      <c r="C28" t="s">
        <v>1100</v>
      </c>
      <c r="D28">
        <v>1</v>
      </c>
      <c r="E28" t="s">
        <v>1101</v>
      </c>
      <c r="F28" s="41" t="s">
        <v>755</v>
      </c>
      <c r="G28" s="33" t="s">
        <v>756</v>
      </c>
      <c r="H28" s="3">
        <f t="shared" si="0"/>
        <v>179602.875</v>
      </c>
      <c r="I28" s="3">
        <v>28736.46</v>
      </c>
      <c r="K28" s="2"/>
    </row>
    <row r="29" spans="1:11">
      <c r="A29" t="s">
        <v>1034</v>
      </c>
      <c r="B29" s="1">
        <v>41313</v>
      </c>
      <c r="C29" t="s">
        <v>1035</v>
      </c>
      <c r="D29">
        <v>1</v>
      </c>
      <c r="E29" t="s">
        <v>1036</v>
      </c>
      <c r="F29" s="41" t="s">
        <v>755</v>
      </c>
      <c r="G29" s="33" t="s">
        <v>756</v>
      </c>
      <c r="H29" s="3">
        <f t="shared" si="0"/>
        <v>179603.3125</v>
      </c>
      <c r="I29" s="3">
        <v>28736.53</v>
      </c>
      <c r="K29" s="2"/>
    </row>
    <row r="30" spans="1:11">
      <c r="A30" t="s">
        <v>1205</v>
      </c>
      <c r="B30" s="1">
        <v>41325</v>
      </c>
      <c r="C30" t="s">
        <v>1206</v>
      </c>
      <c r="D30">
        <v>1</v>
      </c>
      <c r="E30" t="s">
        <v>1207</v>
      </c>
      <c r="F30" s="41" t="s">
        <v>755</v>
      </c>
      <c r="G30" s="33" t="s">
        <v>756</v>
      </c>
      <c r="H30" s="3">
        <f t="shared" si="0"/>
        <v>211715.1875</v>
      </c>
      <c r="I30" s="3">
        <v>33874.43</v>
      </c>
      <c r="K30" s="2"/>
    </row>
    <row r="31" spans="1:11">
      <c r="A31" t="s">
        <v>1420</v>
      </c>
      <c r="B31" s="1">
        <v>41333</v>
      </c>
      <c r="C31" t="s">
        <v>1417</v>
      </c>
      <c r="D31">
        <v>1</v>
      </c>
      <c r="E31" t="s">
        <v>1421</v>
      </c>
      <c r="F31" s="33" t="s">
        <v>1575</v>
      </c>
      <c r="G31" s="33" t="s">
        <v>1421</v>
      </c>
      <c r="H31" s="3">
        <f t="shared" si="0"/>
        <v>31.874999999999996</v>
      </c>
      <c r="I31" s="3">
        <v>5.0999999999999996</v>
      </c>
      <c r="K31" s="2"/>
    </row>
    <row r="32" spans="1:11">
      <c r="A32" t="s">
        <v>985</v>
      </c>
      <c r="B32" s="1">
        <v>41311</v>
      </c>
      <c r="C32" t="s">
        <v>986</v>
      </c>
      <c r="D32">
        <v>1</v>
      </c>
      <c r="E32" t="s">
        <v>760</v>
      </c>
      <c r="F32" s="32" t="s">
        <v>759</v>
      </c>
      <c r="G32" s="33" t="s">
        <v>760</v>
      </c>
      <c r="H32" s="3">
        <f t="shared" si="0"/>
        <v>-210442.6875</v>
      </c>
      <c r="I32" s="3">
        <v>-33670.83</v>
      </c>
      <c r="J32" s="2"/>
      <c r="K32" s="2"/>
    </row>
    <row r="33" spans="1:12">
      <c r="A33" t="s">
        <v>1214</v>
      </c>
      <c r="B33" s="1">
        <v>41325</v>
      </c>
      <c r="C33" t="s">
        <v>1215</v>
      </c>
      <c r="D33">
        <v>1</v>
      </c>
      <c r="E33" t="s">
        <v>1216</v>
      </c>
      <c r="F33" s="32" t="s">
        <v>761</v>
      </c>
      <c r="G33" s="33" t="s">
        <v>762</v>
      </c>
      <c r="H33" s="3">
        <f t="shared" si="0"/>
        <v>211715.1875</v>
      </c>
      <c r="I33" s="3">
        <v>33874.43</v>
      </c>
      <c r="K33" s="2"/>
    </row>
    <row r="34" spans="1:12">
      <c r="A34" t="s">
        <v>976</v>
      </c>
      <c r="B34" s="1">
        <v>41310</v>
      </c>
      <c r="C34" t="s">
        <v>977</v>
      </c>
      <c r="D34">
        <v>1</v>
      </c>
      <c r="E34" t="s">
        <v>978</v>
      </c>
      <c r="F34" s="32" t="s">
        <v>761</v>
      </c>
      <c r="G34" s="33" t="s">
        <v>762</v>
      </c>
      <c r="H34" s="3">
        <f t="shared" si="0"/>
        <v>166888.25</v>
      </c>
      <c r="I34" s="3">
        <v>26702.12</v>
      </c>
      <c r="K34" s="2"/>
    </row>
    <row r="35" spans="1:12">
      <c r="A35" t="s">
        <v>1190</v>
      </c>
      <c r="B35" s="1">
        <v>41324</v>
      </c>
      <c r="C35" t="s">
        <v>1191</v>
      </c>
      <c r="D35">
        <v>1</v>
      </c>
      <c r="E35" t="s">
        <v>284</v>
      </c>
      <c r="F35" s="42" t="s">
        <v>763</v>
      </c>
      <c r="G35" s="33" t="s">
        <v>284</v>
      </c>
      <c r="H35" s="3">
        <f t="shared" si="0"/>
        <v>800</v>
      </c>
      <c r="I35" s="3">
        <v>128</v>
      </c>
      <c r="K35" s="2"/>
    </row>
    <row r="36" spans="1:12">
      <c r="A36" t="s">
        <v>87</v>
      </c>
      <c r="B36" s="1">
        <v>41316</v>
      </c>
      <c r="C36" t="s">
        <v>1058</v>
      </c>
      <c r="D36">
        <v>1</v>
      </c>
      <c r="E36" t="s">
        <v>1059</v>
      </c>
      <c r="F36" s="33" t="s">
        <v>1576</v>
      </c>
      <c r="G36" s="33" t="s">
        <v>1059</v>
      </c>
      <c r="H36" s="3">
        <f t="shared" si="0"/>
        <v>788</v>
      </c>
      <c r="I36" s="3">
        <v>126.08</v>
      </c>
      <c r="K36" s="2"/>
    </row>
    <row r="37" spans="1:12">
      <c r="A37" t="s">
        <v>92</v>
      </c>
      <c r="B37" s="1">
        <v>41316</v>
      </c>
      <c r="C37" t="s">
        <v>1061</v>
      </c>
      <c r="D37">
        <v>2</v>
      </c>
      <c r="E37" t="s">
        <v>1062</v>
      </c>
      <c r="F37" s="33" t="s">
        <v>1577</v>
      </c>
      <c r="G37" s="33" t="s">
        <v>1062</v>
      </c>
      <c r="H37" s="3">
        <f t="shared" si="0"/>
        <v>13331.062499999998</v>
      </c>
      <c r="I37" s="3">
        <v>2132.9699999999998</v>
      </c>
      <c r="K37" s="2"/>
    </row>
    <row r="38" spans="1:12">
      <c r="A38" t="s">
        <v>1393</v>
      </c>
      <c r="B38" s="1">
        <v>41333</v>
      </c>
      <c r="C38" t="s">
        <v>1394</v>
      </c>
      <c r="D38">
        <v>1</v>
      </c>
      <c r="E38" t="s">
        <v>1395</v>
      </c>
      <c r="F38" s="41" t="s">
        <v>830</v>
      </c>
      <c r="G38" s="43" t="s">
        <v>831</v>
      </c>
      <c r="H38" s="3">
        <f t="shared" si="0"/>
        <v>521</v>
      </c>
      <c r="I38" s="3">
        <v>83.36</v>
      </c>
      <c r="K38" s="2"/>
    </row>
    <row r="39" spans="1:12">
      <c r="A39" t="s">
        <v>400</v>
      </c>
      <c r="B39" s="1">
        <v>41333</v>
      </c>
      <c r="C39" t="s">
        <v>1391</v>
      </c>
      <c r="D39">
        <v>1</v>
      </c>
      <c r="E39" t="s">
        <v>1392</v>
      </c>
      <c r="F39" s="41" t="s">
        <v>825</v>
      </c>
      <c r="G39" s="43" t="s">
        <v>826</v>
      </c>
      <c r="H39" s="3">
        <f t="shared" si="0"/>
        <v>352</v>
      </c>
      <c r="I39" s="3">
        <v>56.32</v>
      </c>
      <c r="K39" s="2"/>
    </row>
    <row r="40" spans="1:12">
      <c r="A40" t="s">
        <v>1399</v>
      </c>
      <c r="B40" s="1">
        <v>41333</v>
      </c>
      <c r="C40" t="s">
        <v>433</v>
      </c>
      <c r="D40">
        <v>1</v>
      </c>
      <c r="E40" t="s">
        <v>1400</v>
      </c>
      <c r="F40" s="37" t="s">
        <v>1578</v>
      </c>
      <c r="G40" s="44" t="s">
        <v>1579</v>
      </c>
      <c r="H40" s="3">
        <f t="shared" si="0"/>
        <v>1604.9375</v>
      </c>
      <c r="I40" s="3">
        <v>256.79000000000002</v>
      </c>
      <c r="K40" s="2"/>
    </row>
    <row r="41" spans="1:12">
      <c r="A41" t="s">
        <v>1411</v>
      </c>
      <c r="B41" s="1">
        <v>41333</v>
      </c>
      <c r="C41" t="s">
        <v>433</v>
      </c>
      <c r="D41">
        <v>1</v>
      </c>
      <c r="E41" t="s">
        <v>1412</v>
      </c>
      <c r="F41" s="41" t="s">
        <v>823</v>
      </c>
      <c r="G41" s="43" t="s">
        <v>824</v>
      </c>
      <c r="H41" s="3">
        <f t="shared" si="0"/>
        <v>136.75</v>
      </c>
      <c r="I41" s="3">
        <v>21.88</v>
      </c>
      <c r="K41" s="2"/>
    </row>
    <row r="42" spans="1:12">
      <c r="A42" t="s">
        <v>1409</v>
      </c>
      <c r="B42" s="1">
        <v>41333</v>
      </c>
      <c r="C42" t="s">
        <v>433</v>
      </c>
      <c r="D42">
        <v>1</v>
      </c>
      <c r="E42" t="s">
        <v>1410</v>
      </c>
      <c r="F42" s="41" t="s">
        <v>915</v>
      </c>
      <c r="G42" s="43" t="s">
        <v>916</v>
      </c>
      <c r="H42" s="3">
        <f t="shared" si="0"/>
        <v>63</v>
      </c>
      <c r="I42" s="3">
        <v>10.08</v>
      </c>
      <c r="K42" s="2"/>
    </row>
    <row r="43" spans="1:12">
      <c r="A43" t="s">
        <v>414</v>
      </c>
      <c r="B43" s="1">
        <v>41333</v>
      </c>
      <c r="C43" t="s">
        <v>1417</v>
      </c>
      <c r="D43">
        <v>1</v>
      </c>
      <c r="E43" t="s">
        <v>1442</v>
      </c>
      <c r="F43" s="33" t="s">
        <v>1580</v>
      </c>
      <c r="G43" s="33" t="s">
        <v>1442</v>
      </c>
      <c r="H43" s="3">
        <f t="shared" si="0"/>
        <v>98.25</v>
      </c>
      <c r="I43" s="3">
        <v>15.72</v>
      </c>
      <c r="K43" s="2"/>
    </row>
    <row r="44" spans="1:12">
      <c r="A44" t="s">
        <v>1440</v>
      </c>
      <c r="B44" s="1">
        <v>41333</v>
      </c>
      <c r="C44" t="s">
        <v>1417</v>
      </c>
      <c r="D44">
        <v>1</v>
      </c>
      <c r="E44" t="s">
        <v>1441</v>
      </c>
      <c r="F44" s="33" t="s">
        <v>1580</v>
      </c>
      <c r="G44" s="33" t="s">
        <v>1442</v>
      </c>
      <c r="H44" s="3">
        <f t="shared" si="0"/>
        <v>76.75</v>
      </c>
      <c r="I44" s="3">
        <v>12.28</v>
      </c>
      <c r="K44" s="2"/>
    </row>
    <row r="45" spans="1:12">
      <c r="A45" t="s">
        <v>1541</v>
      </c>
      <c r="B45" s="1">
        <v>41333</v>
      </c>
      <c r="C45" t="s">
        <v>1542</v>
      </c>
      <c r="D45">
        <v>1</v>
      </c>
      <c r="E45" t="s">
        <v>1543</v>
      </c>
      <c r="F45" t="s">
        <v>948</v>
      </c>
      <c r="G45" s="45" t="s">
        <v>1581</v>
      </c>
      <c r="H45" s="46">
        <f t="shared" ref="H45:H48" si="1">I45/0.16</f>
        <v>694.125</v>
      </c>
      <c r="I45" s="46">
        <f>105.54+5.52</f>
        <v>111.06</v>
      </c>
      <c r="K45" s="2"/>
    </row>
    <row r="46" spans="1:12">
      <c r="A46" t="s">
        <v>1541</v>
      </c>
      <c r="B46" s="1">
        <v>41333</v>
      </c>
      <c r="C46" t="s">
        <v>1542</v>
      </c>
      <c r="D46">
        <v>1</v>
      </c>
      <c r="E46" t="s">
        <v>1543</v>
      </c>
      <c r="F46" s="28" t="s">
        <v>939</v>
      </c>
      <c r="G46" s="28" t="s">
        <v>940</v>
      </c>
      <c r="H46" s="47">
        <f t="shared" si="1"/>
        <v>333.4375</v>
      </c>
      <c r="I46" s="47">
        <v>53.35</v>
      </c>
      <c r="K46" s="2"/>
    </row>
    <row r="47" spans="1:12">
      <c r="A47" t="s">
        <v>1541</v>
      </c>
      <c r="B47" s="1">
        <v>41333</v>
      </c>
      <c r="C47" t="s">
        <v>1542</v>
      </c>
      <c r="D47">
        <v>1</v>
      </c>
      <c r="E47" t="s">
        <v>1543</v>
      </c>
      <c r="F47" s="33" t="s">
        <v>1582</v>
      </c>
      <c r="G47" s="33" t="s">
        <v>1583</v>
      </c>
      <c r="H47" s="46">
        <f t="shared" si="1"/>
        <v>69</v>
      </c>
      <c r="I47" s="46">
        <v>11.04</v>
      </c>
      <c r="K47" s="2"/>
    </row>
    <row r="48" spans="1:12">
      <c r="A48" t="s">
        <v>1541</v>
      </c>
      <c r="B48" s="1">
        <v>41333</v>
      </c>
      <c r="C48" t="s">
        <v>1542</v>
      </c>
      <c r="D48">
        <v>1</v>
      </c>
      <c r="E48" t="s">
        <v>1543</v>
      </c>
      <c r="F48" s="28" t="s">
        <v>913</v>
      </c>
      <c r="G48" s="28" t="s">
        <v>1584</v>
      </c>
      <c r="H48" s="47">
        <f t="shared" si="1"/>
        <v>682.75</v>
      </c>
      <c r="I48" s="47">
        <v>109.24</v>
      </c>
      <c r="J48" s="14">
        <f>1779.31-H48-H47-H46-H45</f>
        <v>-2.5000000000545697E-3</v>
      </c>
      <c r="K48" s="2">
        <f>284.69-I48-I47-I46-I45</f>
        <v>0</v>
      </c>
      <c r="L48" t="s">
        <v>900</v>
      </c>
    </row>
    <row r="49" spans="1:11">
      <c r="A49" t="s">
        <v>20</v>
      </c>
      <c r="B49" s="1">
        <v>41311</v>
      </c>
      <c r="C49" t="s">
        <v>998</v>
      </c>
      <c r="D49">
        <v>1</v>
      </c>
      <c r="E49" t="s">
        <v>999</v>
      </c>
      <c r="F49" s="41" t="s">
        <v>1585</v>
      </c>
      <c r="G49" s="33" t="s">
        <v>999</v>
      </c>
      <c r="H49" s="3">
        <f t="shared" ref="H49:H90" si="2">+I49/0.16</f>
        <v>232.93750000000003</v>
      </c>
      <c r="I49" s="3">
        <v>37.270000000000003</v>
      </c>
      <c r="K49" s="2"/>
    </row>
    <row r="50" spans="1:11">
      <c r="A50" t="s">
        <v>172</v>
      </c>
      <c r="B50" s="1">
        <v>41320</v>
      </c>
      <c r="C50" t="s">
        <v>1117</v>
      </c>
      <c r="D50">
        <v>1</v>
      </c>
      <c r="E50" t="s">
        <v>999</v>
      </c>
      <c r="F50" s="33" t="s">
        <v>1585</v>
      </c>
      <c r="G50" s="33" t="s">
        <v>999</v>
      </c>
      <c r="H50" s="3">
        <f t="shared" si="2"/>
        <v>13330.0625</v>
      </c>
      <c r="I50" s="3">
        <v>2132.81</v>
      </c>
      <c r="K50" s="2"/>
    </row>
    <row r="51" spans="1:11">
      <c r="A51" t="s">
        <v>1456</v>
      </c>
      <c r="B51" s="1">
        <v>41333</v>
      </c>
      <c r="C51" t="s">
        <v>1417</v>
      </c>
      <c r="D51">
        <v>1</v>
      </c>
      <c r="E51" t="s">
        <v>549</v>
      </c>
      <c r="F51" s="33" t="s">
        <v>767</v>
      </c>
      <c r="G51" s="33" t="s">
        <v>549</v>
      </c>
      <c r="H51" s="3">
        <f t="shared" si="2"/>
        <v>931.0625</v>
      </c>
      <c r="I51" s="3">
        <v>148.97</v>
      </c>
      <c r="K51" s="2"/>
    </row>
    <row r="52" spans="1:11">
      <c r="A52" t="s">
        <v>1140</v>
      </c>
      <c r="B52" s="1">
        <v>41320</v>
      </c>
      <c r="C52" t="s">
        <v>1141</v>
      </c>
      <c r="D52">
        <v>1</v>
      </c>
      <c r="E52" t="s">
        <v>1142</v>
      </c>
      <c r="F52" s="33" t="s">
        <v>770</v>
      </c>
      <c r="G52" s="33" t="s">
        <v>1142</v>
      </c>
      <c r="H52" s="3">
        <f t="shared" si="2"/>
        <v>13780</v>
      </c>
      <c r="I52" s="3">
        <v>2204.8000000000002</v>
      </c>
      <c r="K52" s="2"/>
    </row>
    <row r="53" spans="1:11">
      <c r="A53" t="s">
        <v>1232</v>
      </c>
      <c r="B53" s="1">
        <v>41326</v>
      </c>
      <c r="C53" t="s">
        <v>1233</v>
      </c>
      <c r="D53">
        <v>1</v>
      </c>
      <c r="E53" t="s">
        <v>1142</v>
      </c>
      <c r="F53" s="33" t="s">
        <v>770</v>
      </c>
      <c r="G53" s="33" t="s">
        <v>1142</v>
      </c>
      <c r="H53" s="3">
        <f t="shared" si="2"/>
        <v>7559.9999999999991</v>
      </c>
      <c r="I53" s="3">
        <v>1209.5999999999999</v>
      </c>
      <c r="K53" s="2"/>
    </row>
    <row r="54" spans="1:11">
      <c r="A54" t="s">
        <v>961</v>
      </c>
      <c r="B54" s="1">
        <v>41306</v>
      </c>
      <c r="C54" t="s">
        <v>962</v>
      </c>
      <c r="D54">
        <v>1</v>
      </c>
      <c r="E54" t="s">
        <v>29</v>
      </c>
      <c r="F54" s="32" t="s">
        <v>772</v>
      </c>
      <c r="G54" s="33" t="s">
        <v>1586</v>
      </c>
      <c r="H54" s="3">
        <f t="shared" si="2"/>
        <v>1576.6875</v>
      </c>
      <c r="I54" s="3">
        <v>252.27</v>
      </c>
      <c r="K54" s="2"/>
    </row>
    <row r="55" spans="1:11">
      <c r="A55" t="s">
        <v>974</v>
      </c>
      <c r="B55" s="1">
        <v>41306</v>
      </c>
      <c r="C55" t="s">
        <v>975</v>
      </c>
      <c r="D55">
        <v>1</v>
      </c>
      <c r="E55" t="s">
        <v>29</v>
      </c>
      <c r="F55" s="32" t="s">
        <v>772</v>
      </c>
      <c r="G55" s="33" t="s">
        <v>1586</v>
      </c>
      <c r="H55" s="3">
        <f t="shared" si="2"/>
        <v>111406.625</v>
      </c>
      <c r="I55" s="3">
        <v>17825.060000000001</v>
      </c>
      <c r="K55" s="2"/>
    </row>
    <row r="56" spans="1:11">
      <c r="A56" t="s">
        <v>1006</v>
      </c>
      <c r="B56" s="1">
        <v>41311</v>
      </c>
      <c r="C56" t="s">
        <v>1007</v>
      </c>
      <c r="D56">
        <v>1</v>
      </c>
      <c r="E56" t="s">
        <v>29</v>
      </c>
      <c r="F56" s="33" t="s">
        <v>772</v>
      </c>
      <c r="G56" s="33" t="s">
        <v>29</v>
      </c>
      <c r="H56" s="3">
        <f t="shared" si="2"/>
        <v>70700</v>
      </c>
      <c r="I56" s="3">
        <v>11312</v>
      </c>
      <c r="K56" s="2"/>
    </row>
    <row r="57" spans="1:11">
      <c r="A57" t="s">
        <v>1038</v>
      </c>
      <c r="B57" s="1">
        <v>41313</v>
      </c>
      <c r="C57" t="s">
        <v>1039</v>
      </c>
      <c r="D57">
        <v>1</v>
      </c>
      <c r="E57" t="s">
        <v>29</v>
      </c>
      <c r="F57" s="33" t="s">
        <v>772</v>
      </c>
      <c r="G57" s="33" t="s">
        <v>29</v>
      </c>
      <c r="H57" s="3">
        <f t="shared" si="2"/>
        <v>90300</v>
      </c>
      <c r="I57" s="3">
        <v>14448</v>
      </c>
      <c r="K57" s="2"/>
    </row>
    <row r="58" spans="1:11">
      <c r="A58" t="s">
        <v>50</v>
      </c>
      <c r="B58" s="1">
        <v>41314</v>
      </c>
      <c r="C58" t="s">
        <v>1040</v>
      </c>
      <c r="D58">
        <v>1</v>
      </c>
      <c r="E58" t="s">
        <v>29</v>
      </c>
      <c r="F58" s="33" t="s">
        <v>772</v>
      </c>
      <c r="G58" s="33" t="s">
        <v>29</v>
      </c>
      <c r="H58" s="3">
        <f t="shared" si="2"/>
        <v>69396.5625</v>
      </c>
      <c r="I58" s="3">
        <v>11103.45</v>
      </c>
      <c r="K58" s="2"/>
    </row>
    <row r="59" spans="1:11">
      <c r="A59" t="s">
        <v>1041</v>
      </c>
      <c r="B59" s="1">
        <v>41314</v>
      </c>
      <c r="C59" t="s">
        <v>1042</v>
      </c>
      <c r="D59">
        <v>1</v>
      </c>
      <c r="E59" t="s">
        <v>29</v>
      </c>
      <c r="F59" s="33" t="s">
        <v>772</v>
      </c>
      <c r="G59" s="33" t="s">
        <v>29</v>
      </c>
      <c r="H59" s="3">
        <f t="shared" si="2"/>
        <v>5000.875</v>
      </c>
      <c r="I59" s="3">
        <v>800.14</v>
      </c>
      <c r="K59" s="2"/>
    </row>
    <row r="60" spans="1:11">
      <c r="A60" t="s">
        <v>72</v>
      </c>
      <c r="B60" s="1">
        <v>41314</v>
      </c>
      <c r="C60" t="s">
        <v>1045</v>
      </c>
      <c r="D60">
        <v>1</v>
      </c>
      <c r="E60" t="s">
        <v>29</v>
      </c>
      <c r="F60" s="33" t="s">
        <v>772</v>
      </c>
      <c r="G60" s="33" t="s">
        <v>29</v>
      </c>
      <c r="H60" s="3">
        <f t="shared" si="2"/>
        <v>1327.125</v>
      </c>
      <c r="I60" s="3">
        <v>212.34</v>
      </c>
      <c r="K60" s="2"/>
    </row>
    <row r="61" spans="1:11">
      <c r="A61" t="s">
        <v>1095</v>
      </c>
      <c r="B61" s="1">
        <v>41318</v>
      </c>
      <c r="C61" t="s">
        <v>1096</v>
      </c>
      <c r="D61">
        <v>1</v>
      </c>
      <c r="E61" t="s">
        <v>29</v>
      </c>
      <c r="F61" s="33" t="s">
        <v>772</v>
      </c>
      <c r="G61" s="33" t="s">
        <v>29</v>
      </c>
      <c r="H61" s="3">
        <f t="shared" si="2"/>
        <v>627.75</v>
      </c>
      <c r="I61" s="3">
        <v>100.44</v>
      </c>
      <c r="K61" s="2"/>
    </row>
    <row r="62" spans="1:11">
      <c r="A62" t="s">
        <v>1108</v>
      </c>
      <c r="B62" s="1">
        <v>41319</v>
      </c>
      <c r="C62" t="s">
        <v>1109</v>
      </c>
      <c r="D62">
        <v>1</v>
      </c>
      <c r="E62" t="s">
        <v>29</v>
      </c>
      <c r="F62" s="33" t="s">
        <v>772</v>
      </c>
      <c r="G62" s="33" t="s">
        <v>29</v>
      </c>
      <c r="H62" s="3">
        <f t="shared" si="2"/>
        <v>2778.5</v>
      </c>
      <c r="I62" s="3">
        <v>444.56</v>
      </c>
      <c r="K62" s="2"/>
    </row>
    <row r="63" spans="1:11">
      <c r="A63" t="s">
        <v>159</v>
      </c>
      <c r="B63" s="1">
        <v>41319</v>
      </c>
      <c r="C63" t="s">
        <v>1110</v>
      </c>
      <c r="D63">
        <v>1</v>
      </c>
      <c r="E63" t="s">
        <v>29</v>
      </c>
      <c r="F63" s="33" t="s">
        <v>772</v>
      </c>
      <c r="G63" s="33" t="s">
        <v>29</v>
      </c>
      <c r="H63" s="3">
        <f t="shared" si="2"/>
        <v>361339.125</v>
      </c>
      <c r="I63" s="3">
        <v>57814.26</v>
      </c>
      <c r="K63" s="2"/>
    </row>
    <row r="64" spans="1:11">
      <c r="A64" t="s">
        <v>1143</v>
      </c>
      <c r="B64" s="1">
        <v>41320</v>
      </c>
      <c r="C64" t="s">
        <v>1144</v>
      </c>
      <c r="D64">
        <v>1</v>
      </c>
      <c r="E64" t="s">
        <v>29</v>
      </c>
      <c r="F64" s="33" t="s">
        <v>772</v>
      </c>
      <c r="G64" s="33" t="s">
        <v>29</v>
      </c>
      <c r="H64" s="3">
        <f t="shared" si="2"/>
        <v>66367.875</v>
      </c>
      <c r="I64" s="3">
        <v>10618.86</v>
      </c>
      <c r="K64" s="2"/>
    </row>
    <row r="65" spans="1:12">
      <c r="A65" t="s">
        <v>213</v>
      </c>
      <c r="B65" s="1">
        <v>41323</v>
      </c>
      <c r="C65" t="s">
        <v>1167</v>
      </c>
      <c r="D65">
        <v>1</v>
      </c>
      <c r="E65" t="s">
        <v>29</v>
      </c>
      <c r="F65" s="33" t="s">
        <v>772</v>
      </c>
      <c r="G65" s="33" t="s">
        <v>29</v>
      </c>
      <c r="H65" s="3">
        <f t="shared" si="2"/>
        <v>35901.125</v>
      </c>
      <c r="I65" s="3">
        <v>5744.18</v>
      </c>
      <c r="K65" s="2"/>
    </row>
    <row r="66" spans="1:12">
      <c r="A66" t="s">
        <v>232</v>
      </c>
      <c r="B66" s="1">
        <v>41324</v>
      </c>
      <c r="C66" t="s">
        <v>1192</v>
      </c>
      <c r="D66">
        <v>1</v>
      </c>
      <c r="E66" t="s">
        <v>29</v>
      </c>
      <c r="F66" s="33" t="s">
        <v>772</v>
      </c>
      <c r="G66" s="33" t="s">
        <v>29</v>
      </c>
      <c r="H66" s="3">
        <f t="shared" si="2"/>
        <v>34838.6875</v>
      </c>
      <c r="I66" s="3">
        <v>5574.19</v>
      </c>
      <c r="K66" s="2"/>
    </row>
    <row r="67" spans="1:12">
      <c r="A67" t="s">
        <v>253</v>
      </c>
      <c r="B67" s="1">
        <v>41324</v>
      </c>
      <c r="C67" t="s">
        <v>1193</v>
      </c>
      <c r="D67">
        <v>1</v>
      </c>
      <c r="E67" t="s">
        <v>29</v>
      </c>
      <c r="F67" s="33" t="s">
        <v>772</v>
      </c>
      <c r="G67" s="33" t="s">
        <v>29</v>
      </c>
      <c r="H67" s="3">
        <f t="shared" si="2"/>
        <v>7196.375</v>
      </c>
      <c r="I67" s="3">
        <v>1151.42</v>
      </c>
      <c r="K67" s="2"/>
    </row>
    <row r="68" spans="1:12">
      <c r="A68" t="s">
        <v>255</v>
      </c>
      <c r="B68" s="1">
        <v>41324</v>
      </c>
      <c r="C68" t="s">
        <v>1194</v>
      </c>
      <c r="D68">
        <v>1</v>
      </c>
      <c r="E68" t="s">
        <v>29</v>
      </c>
      <c r="F68" s="33" t="s">
        <v>772</v>
      </c>
      <c r="G68" s="33" t="s">
        <v>29</v>
      </c>
      <c r="H68" s="3">
        <f t="shared" si="2"/>
        <v>20732.6875</v>
      </c>
      <c r="I68" s="3">
        <v>3317.23</v>
      </c>
      <c r="K68" s="2"/>
    </row>
    <row r="69" spans="1:12">
      <c r="A69" t="s">
        <v>1255</v>
      </c>
      <c r="B69" s="1">
        <v>41327</v>
      </c>
      <c r="C69" t="s">
        <v>1256</v>
      </c>
      <c r="D69">
        <v>1</v>
      </c>
      <c r="E69" t="s">
        <v>29</v>
      </c>
      <c r="F69" s="33" t="s">
        <v>772</v>
      </c>
      <c r="G69" s="33" t="s">
        <v>29</v>
      </c>
      <c r="H69" s="3">
        <f t="shared" si="2"/>
        <v>89208.625</v>
      </c>
      <c r="I69" s="3">
        <v>14273.38</v>
      </c>
      <c r="K69" s="2"/>
    </row>
    <row r="70" spans="1:12">
      <c r="A70" t="s">
        <v>1257</v>
      </c>
      <c r="B70" s="1">
        <v>41327</v>
      </c>
      <c r="C70" t="s">
        <v>1258</v>
      </c>
      <c r="D70">
        <v>1</v>
      </c>
      <c r="E70" t="s">
        <v>29</v>
      </c>
      <c r="F70" s="33" t="s">
        <v>772</v>
      </c>
      <c r="G70" s="33" t="s">
        <v>29</v>
      </c>
      <c r="H70" s="3">
        <f t="shared" si="2"/>
        <v>15906</v>
      </c>
      <c r="I70" s="3">
        <v>2544.96</v>
      </c>
      <c r="K70" s="2"/>
    </row>
    <row r="71" spans="1:12">
      <c r="A71" t="s">
        <v>320</v>
      </c>
      <c r="B71" s="1">
        <v>41330</v>
      </c>
      <c r="C71" t="s">
        <v>1280</v>
      </c>
      <c r="D71">
        <v>1</v>
      </c>
      <c r="E71" t="s">
        <v>29</v>
      </c>
      <c r="F71" s="41" t="s">
        <v>772</v>
      </c>
      <c r="G71" s="33" t="s">
        <v>29</v>
      </c>
      <c r="H71" s="3">
        <f t="shared" si="2"/>
        <v>3593.9999999999995</v>
      </c>
      <c r="I71" s="3">
        <v>575.04</v>
      </c>
      <c r="K71" s="2"/>
    </row>
    <row r="72" spans="1:12">
      <c r="A72" t="s">
        <v>1309</v>
      </c>
      <c r="B72" s="1">
        <v>41331</v>
      </c>
      <c r="C72" t="s">
        <v>1310</v>
      </c>
      <c r="D72">
        <v>1</v>
      </c>
      <c r="E72" t="s">
        <v>29</v>
      </c>
      <c r="F72" s="41" t="s">
        <v>772</v>
      </c>
      <c r="G72" s="33" t="s">
        <v>29</v>
      </c>
      <c r="H72" s="3">
        <f t="shared" si="2"/>
        <v>408.375</v>
      </c>
      <c r="I72" s="3">
        <v>65.34</v>
      </c>
      <c r="K72" s="2"/>
    </row>
    <row r="73" spans="1:12">
      <c r="A73" t="s">
        <v>1329</v>
      </c>
      <c r="B73" s="1">
        <v>41332</v>
      </c>
      <c r="C73" t="s">
        <v>1330</v>
      </c>
      <c r="D73">
        <v>1</v>
      </c>
      <c r="E73" t="s">
        <v>29</v>
      </c>
      <c r="F73" s="41" t="s">
        <v>772</v>
      </c>
      <c r="G73" s="33" t="s">
        <v>29</v>
      </c>
      <c r="H73" s="3">
        <f t="shared" si="2"/>
        <v>1148.5</v>
      </c>
      <c r="I73" s="3">
        <v>183.76</v>
      </c>
      <c r="K73" s="2"/>
    </row>
    <row r="74" spans="1:12">
      <c r="A74" t="s">
        <v>1333</v>
      </c>
      <c r="B74" s="1">
        <v>41332</v>
      </c>
      <c r="C74" t="s">
        <v>1334</v>
      </c>
      <c r="D74">
        <v>1</v>
      </c>
      <c r="E74" t="s">
        <v>29</v>
      </c>
      <c r="F74" s="41" t="s">
        <v>772</v>
      </c>
      <c r="G74" s="33" t="s">
        <v>29</v>
      </c>
      <c r="H74" s="3">
        <f t="shared" si="2"/>
        <v>138662.1875</v>
      </c>
      <c r="I74" s="3">
        <v>22185.95</v>
      </c>
      <c r="K74" s="2"/>
    </row>
    <row r="75" spans="1:12">
      <c r="A75" t="s">
        <v>1335</v>
      </c>
      <c r="B75" s="1">
        <v>41332</v>
      </c>
      <c r="C75" t="s">
        <v>1336</v>
      </c>
      <c r="D75">
        <v>1</v>
      </c>
      <c r="E75" t="s">
        <v>29</v>
      </c>
      <c r="F75" s="41" t="s">
        <v>772</v>
      </c>
      <c r="G75" s="33" t="s">
        <v>29</v>
      </c>
      <c r="H75" s="3">
        <f t="shared" si="2"/>
        <v>1501.875</v>
      </c>
      <c r="I75" s="3">
        <v>240.3</v>
      </c>
      <c r="K75" s="2"/>
    </row>
    <row r="76" spans="1:12">
      <c r="A76" t="s">
        <v>1561</v>
      </c>
      <c r="B76" s="1">
        <v>41333</v>
      </c>
      <c r="C76" t="s">
        <v>1562</v>
      </c>
      <c r="D76">
        <v>1</v>
      </c>
      <c r="E76" t="s">
        <v>29</v>
      </c>
      <c r="F76" s="33" t="s">
        <v>772</v>
      </c>
      <c r="G76" s="33" t="s">
        <v>29</v>
      </c>
      <c r="H76" s="3">
        <f t="shared" si="2"/>
        <v>16147.1875</v>
      </c>
      <c r="I76" s="3">
        <v>2583.5500000000002</v>
      </c>
      <c r="K76" s="2"/>
    </row>
    <row r="77" spans="1:12">
      <c r="A77" t="s">
        <v>395</v>
      </c>
      <c r="B77" s="1">
        <v>41333</v>
      </c>
      <c r="C77" t="s">
        <v>1563</v>
      </c>
      <c r="D77">
        <v>1</v>
      </c>
      <c r="E77" t="s">
        <v>29</v>
      </c>
      <c r="F77" s="33" t="s">
        <v>772</v>
      </c>
      <c r="G77" s="33" t="s">
        <v>29</v>
      </c>
      <c r="H77" s="3">
        <f t="shared" si="2"/>
        <v>5609.7499999999991</v>
      </c>
      <c r="I77" s="3">
        <v>897.56</v>
      </c>
      <c r="K77" s="2"/>
    </row>
    <row r="78" spans="1:12">
      <c r="A78" t="s">
        <v>1237</v>
      </c>
      <c r="B78" s="1">
        <v>41326</v>
      </c>
      <c r="C78" t="s">
        <v>1238</v>
      </c>
      <c r="D78">
        <v>1</v>
      </c>
      <c r="E78" t="s">
        <v>1239</v>
      </c>
      <c r="F78" s="33" t="s">
        <v>1587</v>
      </c>
      <c r="G78" s="33" t="s">
        <v>1239</v>
      </c>
      <c r="H78" s="3">
        <f t="shared" si="2"/>
        <v>204</v>
      </c>
      <c r="I78" s="3">
        <v>32.64</v>
      </c>
      <c r="K78" s="2"/>
    </row>
    <row r="79" spans="1:12">
      <c r="A79" t="s">
        <v>1457</v>
      </c>
      <c r="B79" s="1">
        <v>41333</v>
      </c>
      <c r="C79" t="s">
        <v>1417</v>
      </c>
      <c r="D79">
        <v>1</v>
      </c>
      <c r="E79" t="s">
        <v>514</v>
      </c>
      <c r="F79" s="33" t="s">
        <v>773</v>
      </c>
      <c r="G79" s="33" t="s">
        <v>514</v>
      </c>
      <c r="H79" s="3">
        <f t="shared" si="2"/>
        <v>44.8125</v>
      </c>
      <c r="I79" s="3">
        <v>7.17</v>
      </c>
      <c r="K79" s="2"/>
    </row>
    <row r="80" spans="1:12">
      <c r="A80" t="s">
        <v>1403</v>
      </c>
      <c r="B80" s="1">
        <v>41333</v>
      </c>
      <c r="C80" t="s">
        <v>436</v>
      </c>
      <c r="D80">
        <v>1</v>
      </c>
      <c r="E80" t="s">
        <v>1404</v>
      </c>
      <c r="F80" s="33" t="s">
        <v>1588</v>
      </c>
      <c r="G80" s="33" t="s">
        <v>1589</v>
      </c>
      <c r="H80" s="3">
        <f t="shared" si="2"/>
        <v>1656.5</v>
      </c>
      <c r="I80" s="3">
        <v>265.04000000000002</v>
      </c>
      <c r="J80" s="14" t="e">
        <f>+H80-#REF!</f>
        <v>#REF!</v>
      </c>
      <c r="K80" s="2" t="e">
        <f>+I80-#REF!</f>
        <v>#REF!</v>
      </c>
      <c r="L80" t="s">
        <v>900</v>
      </c>
    </row>
    <row r="81" spans="1:12">
      <c r="A81" t="s">
        <v>1273</v>
      </c>
      <c r="B81" s="1">
        <v>41330</v>
      </c>
      <c r="C81" t="s">
        <v>1274</v>
      </c>
      <c r="D81">
        <v>1</v>
      </c>
      <c r="E81" t="s">
        <v>1275</v>
      </c>
      <c r="F81" s="41" t="s">
        <v>775</v>
      </c>
      <c r="G81" s="33" t="s">
        <v>776</v>
      </c>
      <c r="H81" s="3">
        <f t="shared" si="2"/>
        <v>310908.625</v>
      </c>
      <c r="I81" s="3">
        <v>49745.38</v>
      </c>
      <c r="K81" s="2"/>
    </row>
    <row r="82" spans="1:12">
      <c r="A82" t="s">
        <v>1379</v>
      </c>
      <c r="B82" s="1">
        <v>41333</v>
      </c>
      <c r="C82" t="s">
        <v>1380</v>
      </c>
      <c r="D82">
        <v>1</v>
      </c>
      <c r="E82" t="s">
        <v>1381</v>
      </c>
      <c r="F82" s="41" t="s">
        <v>775</v>
      </c>
      <c r="G82" s="33" t="s">
        <v>776</v>
      </c>
      <c r="H82" s="3">
        <f t="shared" si="2"/>
        <v>160448.625</v>
      </c>
      <c r="I82" s="3">
        <v>25671.78</v>
      </c>
      <c r="K82" s="2"/>
    </row>
    <row r="83" spans="1:12">
      <c r="A83" t="s">
        <v>1252</v>
      </c>
      <c r="B83" s="1">
        <v>41327</v>
      </c>
      <c r="C83" t="s">
        <v>1253</v>
      </c>
      <c r="D83">
        <v>1</v>
      </c>
      <c r="E83" t="s">
        <v>1254</v>
      </c>
      <c r="F83" s="41" t="s">
        <v>775</v>
      </c>
      <c r="G83" s="33" t="s">
        <v>776</v>
      </c>
      <c r="H83" s="3">
        <f t="shared" si="2"/>
        <v>300276.5</v>
      </c>
      <c r="I83" s="3">
        <v>48044.24</v>
      </c>
      <c r="K83" s="2"/>
    </row>
    <row r="84" spans="1:12">
      <c r="A84" t="s">
        <v>430</v>
      </c>
      <c r="B84" s="1">
        <v>41333</v>
      </c>
      <c r="C84" t="s">
        <v>1417</v>
      </c>
      <c r="D84">
        <v>1</v>
      </c>
      <c r="E84" t="s">
        <v>1466</v>
      </c>
      <c r="F84" s="33" t="s">
        <v>1590</v>
      </c>
      <c r="G84" s="33" t="s">
        <v>1466</v>
      </c>
      <c r="H84" s="3">
        <f t="shared" si="2"/>
        <v>650</v>
      </c>
      <c r="I84" s="3">
        <v>104</v>
      </c>
      <c r="K84" s="2"/>
    </row>
    <row r="85" spans="1:12">
      <c r="A85" t="s">
        <v>1031</v>
      </c>
      <c r="B85" s="1">
        <v>41312</v>
      </c>
      <c r="C85" t="s">
        <v>1032</v>
      </c>
      <c r="D85">
        <v>1</v>
      </c>
      <c r="E85" t="s">
        <v>296</v>
      </c>
      <c r="F85" s="41" t="s">
        <v>777</v>
      </c>
      <c r="G85" s="33" t="s">
        <v>296</v>
      </c>
      <c r="H85" s="3">
        <f t="shared" si="2"/>
        <v>5000</v>
      </c>
      <c r="I85" s="3">
        <v>800</v>
      </c>
      <c r="K85" s="2"/>
    </row>
    <row r="86" spans="1:12">
      <c r="A86" t="s">
        <v>1153</v>
      </c>
      <c r="B86" s="1">
        <v>41321</v>
      </c>
      <c r="C86" t="s">
        <v>1154</v>
      </c>
      <c r="D86">
        <v>1</v>
      </c>
      <c r="E86" t="s">
        <v>296</v>
      </c>
      <c r="F86" s="33" t="s">
        <v>777</v>
      </c>
      <c r="G86" s="33" t="s">
        <v>296</v>
      </c>
      <c r="H86" s="3">
        <f t="shared" si="2"/>
        <v>10000</v>
      </c>
      <c r="I86" s="3">
        <v>1600</v>
      </c>
      <c r="K86" s="2"/>
    </row>
    <row r="87" spans="1:12">
      <c r="A87" t="s">
        <v>701</v>
      </c>
      <c r="B87" s="1">
        <v>41312</v>
      </c>
      <c r="C87" t="s">
        <v>1033</v>
      </c>
      <c r="D87">
        <v>1</v>
      </c>
      <c r="E87" t="s">
        <v>983</v>
      </c>
      <c r="F87" s="134" t="s">
        <v>2849</v>
      </c>
      <c r="G87" s="134" t="s">
        <v>7063</v>
      </c>
      <c r="H87" s="3">
        <f>+I87/0.16</f>
        <v>40000</v>
      </c>
      <c r="I87" s="3">
        <v>6400</v>
      </c>
      <c r="K87" s="135">
        <f>+L87/0.16</f>
        <v>40000</v>
      </c>
      <c r="L87" s="135">
        <v>6400</v>
      </c>
    </row>
    <row r="88" spans="1:12">
      <c r="A88" t="s">
        <v>703</v>
      </c>
      <c r="B88" s="1">
        <v>41310</v>
      </c>
      <c r="C88" t="s">
        <v>982</v>
      </c>
      <c r="D88">
        <v>1</v>
      </c>
      <c r="E88" t="s">
        <v>983</v>
      </c>
      <c r="F88" s="134" t="s">
        <v>2849</v>
      </c>
      <c r="G88" s="134" t="s">
        <v>7063</v>
      </c>
      <c r="H88" s="3">
        <f>+I88/0.16</f>
        <v>38620.75</v>
      </c>
      <c r="I88" s="3">
        <v>6179.32</v>
      </c>
      <c r="K88" s="135">
        <f>+L88/0.16</f>
        <v>38620.75</v>
      </c>
      <c r="L88" s="135">
        <v>6179.32</v>
      </c>
    </row>
    <row r="89" spans="1:12">
      <c r="A89" t="s">
        <v>705</v>
      </c>
      <c r="B89" s="1">
        <v>41310</v>
      </c>
      <c r="C89" t="s">
        <v>984</v>
      </c>
      <c r="D89">
        <v>1</v>
      </c>
      <c r="E89" t="s">
        <v>983</v>
      </c>
      <c r="F89" s="134" t="s">
        <v>2849</v>
      </c>
      <c r="G89" s="134" t="s">
        <v>7063</v>
      </c>
      <c r="H89" s="3">
        <f>+I89/0.16</f>
        <v>10000</v>
      </c>
      <c r="I89" s="3">
        <v>1600</v>
      </c>
      <c r="K89" s="135">
        <f>+L89/0.16</f>
        <v>10000</v>
      </c>
      <c r="L89" s="135">
        <v>1600</v>
      </c>
    </row>
    <row r="90" spans="1:12">
      <c r="A90" t="s">
        <v>1027</v>
      </c>
      <c r="B90" s="1">
        <v>41312</v>
      </c>
      <c r="C90" t="s">
        <v>1028</v>
      </c>
      <c r="D90">
        <v>1</v>
      </c>
      <c r="E90" t="s">
        <v>373</v>
      </c>
      <c r="F90" s="41" t="s">
        <v>780</v>
      </c>
      <c r="G90" s="33" t="s">
        <v>373</v>
      </c>
      <c r="H90" s="3">
        <f t="shared" si="2"/>
        <v>15000</v>
      </c>
      <c r="I90" s="3">
        <v>2400</v>
      </c>
      <c r="K90" s="2"/>
    </row>
    <row r="91" spans="1:12">
      <c r="A91" t="s">
        <v>1476</v>
      </c>
      <c r="B91" s="1">
        <v>41333</v>
      </c>
      <c r="C91" t="s">
        <v>1477</v>
      </c>
      <c r="D91">
        <v>1</v>
      </c>
      <c r="E91" t="s">
        <v>1478</v>
      </c>
      <c r="F91" t="s">
        <v>948</v>
      </c>
      <c r="G91" t="s">
        <v>947</v>
      </c>
      <c r="H91" s="46">
        <f t="shared" ref="H91:H92" si="3">I91/0.16</f>
        <v>207.93750000000003</v>
      </c>
      <c r="I91" s="46">
        <f>29.8+3.47</f>
        <v>33.270000000000003</v>
      </c>
      <c r="J91" s="14">
        <f>851.81-H92-H91</f>
        <v>-2.5000000000829914E-3</v>
      </c>
      <c r="K91" s="2">
        <f>136.29-I92-I91</f>
        <v>0</v>
      </c>
      <c r="L91" t="s">
        <v>900</v>
      </c>
    </row>
    <row r="92" spans="1:12">
      <c r="A92" t="s">
        <v>1476</v>
      </c>
      <c r="B92" s="1">
        <v>41333</v>
      </c>
      <c r="C92" t="s">
        <v>1477</v>
      </c>
      <c r="D92">
        <v>1</v>
      </c>
      <c r="E92" t="s">
        <v>1478</v>
      </c>
      <c r="F92" s="28" t="s">
        <v>1591</v>
      </c>
      <c r="G92" s="28" t="s">
        <v>1592</v>
      </c>
      <c r="H92" s="47">
        <f t="shared" si="3"/>
        <v>643.875</v>
      </c>
      <c r="I92" s="47">
        <v>103.02</v>
      </c>
      <c r="K92" s="2"/>
    </row>
    <row r="93" spans="1:12">
      <c r="A93" t="s">
        <v>1138</v>
      </c>
      <c r="B93" s="1">
        <v>41320</v>
      </c>
      <c r="C93" t="s">
        <v>1139</v>
      </c>
      <c r="D93">
        <v>1</v>
      </c>
      <c r="E93" t="s">
        <v>80</v>
      </c>
      <c r="F93" s="33" t="s">
        <v>781</v>
      </c>
      <c r="G93" s="33" t="s">
        <v>80</v>
      </c>
      <c r="H93" s="3">
        <f t="shared" ref="H93:H115" si="4">+I93/0.16</f>
        <v>910</v>
      </c>
      <c r="I93" s="3">
        <v>145.6</v>
      </c>
      <c r="K93" s="2"/>
    </row>
    <row r="94" spans="1:12">
      <c r="A94" t="s">
        <v>282</v>
      </c>
      <c r="B94" s="1">
        <v>41326</v>
      </c>
      <c r="C94" t="s">
        <v>1234</v>
      </c>
      <c r="D94">
        <v>1</v>
      </c>
      <c r="E94" t="s">
        <v>80</v>
      </c>
      <c r="F94" s="33" t="s">
        <v>781</v>
      </c>
      <c r="G94" s="33" t="s">
        <v>80</v>
      </c>
      <c r="H94" s="3">
        <f t="shared" si="4"/>
        <v>2195</v>
      </c>
      <c r="I94" s="3">
        <v>351.2</v>
      </c>
      <c r="K94" s="2"/>
    </row>
    <row r="95" spans="1:12">
      <c r="A95" t="s">
        <v>1470</v>
      </c>
      <c r="B95" s="1">
        <v>41333</v>
      </c>
      <c r="C95" t="s">
        <v>1417</v>
      </c>
      <c r="D95">
        <v>1</v>
      </c>
      <c r="E95" t="s">
        <v>1471</v>
      </c>
      <c r="F95" s="33" t="s">
        <v>784</v>
      </c>
      <c r="G95" s="33" t="s">
        <v>1471</v>
      </c>
      <c r="H95" s="3">
        <f t="shared" si="4"/>
        <v>172.4375</v>
      </c>
      <c r="I95" s="3">
        <v>27.59</v>
      </c>
      <c r="K95" s="2"/>
    </row>
    <row r="96" spans="1:12">
      <c r="A96" t="s">
        <v>424</v>
      </c>
      <c r="B96" s="1">
        <v>41333</v>
      </c>
      <c r="C96" t="s">
        <v>1417</v>
      </c>
      <c r="D96">
        <v>1</v>
      </c>
      <c r="E96" t="s">
        <v>618</v>
      </c>
      <c r="F96" s="33" t="s">
        <v>784</v>
      </c>
      <c r="G96" s="33" t="s">
        <v>618</v>
      </c>
      <c r="H96" s="3">
        <f t="shared" si="4"/>
        <v>215.49999999999997</v>
      </c>
      <c r="I96" s="3">
        <v>34.479999999999997</v>
      </c>
      <c r="K96" s="2"/>
    </row>
    <row r="97" spans="1:12">
      <c r="A97" t="s">
        <v>1445</v>
      </c>
      <c r="B97" s="1">
        <v>41333</v>
      </c>
      <c r="C97" t="s">
        <v>1417</v>
      </c>
      <c r="D97">
        <v>1</v>
      </c>
      <c r="E97" t="s">
        <v>1446</v>
      </c>
      <c r="F97" s="33" t="s">
        <v>1593</v>
      </c>
      <c r="G97" s="33" t="s">
        <v>1446</v>
      </c>
      <c r="H97" s="3">
        <f t="shared" si="4"/>
        <v>223.25</v>
      </c>
      <c r="I97" s="3">
        <v>35.72</v>
      </c>
      <c r="J97" s="14" t="e">
        <f>+H97-#REF!</f>
        <v>#REF!</v>
      </c>
      <c r="K97" s="2" t="e">
        <f>+I97-#REF!</f>
        <v>#REF!</v>
      </c>
      <c r="L97" t="s">
        <v>900</v>
      </c>
    </row>
    <row r="98" spans="1:12">
      <c r="A98" t="s">
        <v>971</v>
      </c>
      <c r="B98" s="1">
        <v>41306</v>
      </c>
      <c r="C98" t="s">
        <v>972</v>
      </c>
      <c r="D98">
        <v>1</v>
      </c>
      <c r="E98" t="s">
        <v>973</v>
      </c>
      <c r="F98" s="33" t="s">
        <v>1594</v>
      </c>
      <c r="G98" s="33" t="s">
        <v>973</v>
      </c>
      <c r="H98" s="3">
        <f t="shared" si="4"/>
        <v>3993.6875</v>
      </c>
      <c r="I98" s="3">
        <v>638.99</v>
      </c>
      <c r="K98" s="2"/>
    </row>
    <row r="99" spans="1:12">
      <c r="A99" t="s">
        <v>205</v>
      </c>
      <c r="B99" s="1">
        <v>41323</v>
      </c>
      <c r="C99" t="s">
        <v>1166</v>
      </c>
      <c r="D99">
        <v>1</v>
      </c>
      <c r="E99" t="s">
        <v>973</v>
      </c>
      <c r="F99" s="33" t="s">
        <v>1594</v>
      </c>
      <c r="G99" s="33" t="s">
        <v>973</v>
      </c>
      <c r="H99" s="3">
        <f t="shared" si="4"/>
        <v>3150</v>
      </c>
      <c r="I99" s="3">
        <v>504</v>
      </c>
      <c r="K99" s="2"/>
    </row>
    <row r="100" spans="1:12">
      <c r="A100" t="s">
        <v>1416</v>
      </c>
      <c r="B100" s="1">
        <v>41333</v>
      </c>
      <c r="C100" t="s">
        <v>1417</v>
      </c>
      <c r="D100">
        <v>1</v>
      </c>
      <c r="E100" t="s">
        <v>1418</v>
      </c>
      <c r="F100" s="33" t="s">
        <v>739</v>
      </c>
      <c r="G100" s="33" t="s">
        <v>1418</v>
      </c>
      <c r="H100" s="3">
        <f t="shared" si="4"/>
        <v>215.49999999999997</v>
      </c>
      <c r="I100" s="3">
        <v>34.479999999999997</v>
      </c>
      <c r="K100" s="2"/>
    </row>
    <row r="101" spans="1:12">
      <c r="A101" t="s">
        <v>1419</v>
      </c>
      <c r="B101" s="1">
        <v>41333</v>
      </c>
      <c r="C101" t="s">
        <v>1417</v>
      </c>
      <c r="D101">
        <v>1</v>
      </c>
      <c r="E101" t="s">
        <v>1418</v>
      </c>
      <c r="F101" s="33" t="s">
        <v>739</v>
      </c>
      <c r="G101" s="33" t="s">
        <v>1418</v>
      </c>
      <c r="H101" s="3">
        <f t="shared" si="4"/>
        <v>517.25</v>
      </c>
      <c r="I101" s="3">
        <v>82.76</v>
      </c>
      <c r="K101" s="2"/>
    </row>
    <row r="102" spans="1:12">
      <c r="A102" t="s">
        <v>1369</v>
      </c>
      <c r="B102" s="1">
        <v>41333</v>
      </c>
      <c r="C102" t="s">
        <v>1370</v>
      </c>
      <c r="D102">
        <v>1</v>
      </c>
      <c r="E102" t="s">
        <v>1371</v>
      </c>
      <c r="F102" s="33" t="s">
        <v>1595</v>
      </c>
      <c r="G102" s="33" t="s">
        <v>1596</v>
      </c>
      <c r="H102" s="3">
        <f t="shared" si="4"/>
        <v>220622.625</v>
      </c>
      <c r="I102" s="3">
        <v>35299.620000000003</v>
      </c>
      <c r="K102" s="2"/>
    </row>
    <row r="103" spans="1:12">
      <c r="A103" t="s">
        <v>1443</v>
      </c>
      <c r="B103" s="1">
        <v>41333</v>
      </c>
      <c r="C103" t="s">
        <v>1417</v>
      </c>
      <c r="D103">
        <v>1</v>
      </c>
      <c r="E103" t="s">
        <v>1444</v>
      </c>
      <c r="F103" s="33" t="s">
        <v>789</v>
      </c>
      <c r="G103" s="33" t="s">
        <v>1444</v>
      </c>
      <c r="H103" s="3">
        <f t="shared" si="4"/>
        <v>113.8125</v>
      </c>
      <c r="I103" s="3">
        <v>18.21</v>
      </c>
      <c r="K103" s="2"/>
    </row>
    <row r="104" spans="1:12">
      <c r="A104" t="s">
        <v>1458</v>
      </c>
      <c r="B104" s="1">
        <v>41333</v>
      </c>
      <c r="C104" t="s">
        <v>1417</v>
      </c>
      <c r="D104">
        <v>1</v>
      </c>
      <c r="E104" t="s">
        <v>1444</v>
      </c>
      <c r="F104" s="33" t="s">
        <v>789</v>
      </c>
      <c r="G104" s="33" t="s">
        <v>1444</v>
      </c>
      <c r="H104" s="3">
        <f t="shared" si="4"/>
        <v>30.1875</v>
      </c>
      <c r="I104" s="3">
        <v>4.83</v>
      </c>
      <c r="K104" s="2"/>
    </row>
    <row r="105" spans="1:12">
      <c r="A105" t="s">
        <v>84</v>
      </c>
      <c r="B105" s="1">
        <v>41314</v>
      </c>
      <c r="C105" t="s">
        <v>1050</v>
      </c>
      <c r="D105">
        <v>1</v>
      </c>
      <c r="E105" t="s">
        <v>1051</v>
      </c>
      <c r="F105" s="33" t="s">
        <v>1597</v>
      </c>
      <c r="G105" s="33" t="s">
        <v>1051</v>
      </c>
      <c r="H105" s="3">
        <f t="shared" si="4"/>
        <v>3300</v>
      </c>
      <c r="I105" s="3">
        <v>528</v>
      </c>
      <c r="K105" s="2"/>
    </row>
    <row r="106" spans="1:12">
      <c r="A106" t="s">
        <v>1173</v>
      </c>
      <c r="B106" s="1">
        <v>41324</v>
      </c>
      <c r="C106" t="s">
        <v>1174</v>
      </c>
      <c r="D106">
        <v>1</v>
      </c>
      <c r="E106" t="s">
        <v>1175</v>
      </c>
      <c r="F106" s="37" t="s">
        <v>1598</v>
      </c>
      <c r="G106" s="33" t="s">
        <v>1599</v>
      </c>
      <c r="H106" s="3">
        <f t="shared" si="4"/>
        <v>277751.8125</v>
      </c>
      <c r="I106" s="3">
        <v>44440.29</v>
      </c>
      <c r="K106" s="2"/>
    </row>
    <row r="107" spans="1:12">
      <c r="A107" t="s">
        <v>1361</v>
      </c>
      <c r="B107" s="1">
        <v>41333</v>
      </c>
      <c r="C107" t="s">
        <v>1174</v>
      </c>
      <c r="D107">
        <v>1</v>
      </c>
      <c r="E107" t="s">
        <v>1175</v>
      </c>
      <c r="F107" s="37" t="s">
        <v>1598</v>
      </c>
      <c r="G107" s="33" t="s">
        <v>1599</v>
      </c>
      <c r="H107" s="3">
        <f t="shared" si="4"/>
        <v>-277751.8125</v>
      </c>
      <c r="I107" s="3">
        <v>-44440.29</v>
      </c>
      <c r="J107" s="2"/>
      <c r="K107" s="2"/>
    </row>
    <row r="108" spans="1:12">
      <c r="A108" t="s">
        <v>1358</v>
      </c>
      <c r="B108" s="1">
        <v>41333</v>
      </c>
      <c r="C108" t="s">
        <v>1359</v>
      </c>
      <c r="D108">
        <v>1</v>
      </c>
      <c r="E108" t="s">
        <v>1360</v>
      </c>
      <c r="F108" s="37" t="s">
        <v>1598</v>
      </c>
      <c r="G108" s="33" t="s">
        <v>1599</v>
      </c>
      <c r="H108" s="3">
        <f t="shared" si="4"/>
        <v>277751.8125</v>
      </c>
      <c r="I108" s="3">
        <v>44440.29</v>
      </c>
      <c r="K108" s="2"/>
    </row>
    <row r="109" spans="1:12">
      <c r="A109" t="s">
        <v>1225</v>
      </c>
      <c r="B109" s="1">
        <v>41326</v>
      </c>
      <c r="C109" t="s">
        <v>1226</v>
      </c>
      <c r="D109">
        <v>1</v>
      </c>
      <c r="E109" t="s">
        <v>1227</v>
      </c>
      <c r="F109" s="37" t="s">
        <v>1598</v>
      </c>
      <c r="G109" s="33" t="s">
        <v>1599</v>
      </c>
      <c r="H109" s="3">
        <f t="shared" si="4"/>
        <v>307931.25</v>
      </c>
      <c r="I109" s="3">
        <v>49269</v>
      </c>
      <c r="K109" s="2"/>
    </row>
    <row r="110" spans="1:12">
      <c r="A110" t="s">
        <v>1071</v>
      </c>
      <c r="B110" s="1">
        <v>41316</v>
      </c>
      <c r="C110" t="s">
        <v>1072</v>
      </c>
      <c r="D110">
        <v>1</v>
      </c>
      <c r="E110" t="s">
        <v>22</v>
      </c>
      <c r="F110" s="33" t="s">
        <v>793</v>
      </c>
      <c r="G110" s="33" t="s">
        <v>22</v>
      </c>
      <c r="H110" s="3">
        <f t="shared" si="4"/>
        <v>37407.375</v>
      </c>
      <c r="I110" s="3">
        <v>5985.18</v>
      </c>
      <c r="K110" s="2"/>
    </row>
    <row r="111" spans="1:12">
      <c r="A111" t="s">
        <v>1129</v>
      </c>
      <c r="B111" s="1">
        <v>41320</v>
      </c>
      <c r="C111" t="s">
        <v>1130</v>
      </c>
      <c r="D111">
        <v>1</v>
      </c>
      <c r="E111" t="s">
        <v>22</v>
      </c>
      <c r="F111" s="33" t="s">
        <v>793</v>
      </c>
      <c r="G111" s="33" t="s">
        <v>22</v>
      </c>
      <c r="H111" s="3">
        <f t="shared" si="4"/>
        <v>151.75</v>
      </c>
      <c r="I111" s="3">
        <v>24.28</v>
      </c>
      <c r="K111" s="2"/>
    </row>
    <row r="112" spans="1:12">
      <c r="A112" t="s">
        <v>1131</v>
      </c>
      <c r="B112" s="1">
        <v>41320</v>
      </c>
      <c r="C112" t="s">
        <v>1132</v>
      </c>
      <c r="D112">
        <v>1</v>
      </c>
      <c r="E112" t="s">
        <v>22</v>
      </c>
      <c r="F112" s="33" t="s">
        <v>793</v>
      </c>
      <c r="G112" s="33" t="s">
        <v>22</v>
      </c>
      <c r="H112" s="3">
        <f t="shared" si="4"/>
        <v>32100</v>
      </c>
      <c r="I112" s="3">
        <v>5136</v>
      </c>
      <c r="K112" s="2"/>
    </row>
    <row r="113" spans="1:13">
      <c r="A113" t="s">
        <v>1450</v>
      </c>
      <c r="B113" s="1">
        <v>41333</v>
      </c>
      <c r="C113" t="s">
        <v>1417</v>
      </c>
      <c r="D113">
        <v>1</v>
      </c>
      <c r="E113" t="s">
        <v>1451</v>
      </c>
      <c r="F113" s="33" t="s">
        <v>794</v>
      </c>
      <c r="G113" s="33" t="s">
        <v>1451</v>
      </c>
      <c r="H113" s="3">
        <f t="shared" si="4"/>
        <v>47.3125</v>
      </c>
      <c r="I113" s="3">
        <v>7.57</v>
      </c>
      <c r="K113" s="2"/>
    </row>
    <row r="114" spans="1:13">
      <c r="A114" t="s">
        <v>435</v>
      </c>
      <c r="B114" s="1">
        <v>41333</v>
      </c>
      <c r="C114" t="s">
        <v>1494</v>
      </c>
      <c r="D114">
        <v>1</v>
      </c>
      <c r="E114" t="s">
        <v>612</v>
      </c>
      <c r="F114" s="33" t="s">
        <v>794</v>
      </c>
      <c r="G114" s="33" t="s">
        <v>1451</v>
      </c>
      <c r="H114" s="3">
        <f t="shared" si="4"/>
        <v>79</v>
      </c>
      <c r="I114" s="3">
        <v>12.64</v>
      </c>
      <c r="K114" s="2"/>
    </row>
    <row r="115" spans="1:13">
      <c r="A115" t="s">
        <v>27</v>
      </c>
      <c r="B115" s="1">
        <v>41311</v>
      </c>
      <c r="C115" t="s">
        <v>1010</v>
      </c>
      <c r="D115">
        <v>1</v>
      </c>
      <c r="E115" t="s">
        <v>1011</v>
      </c>
      <c r="F115" s="33" t="s">
        <v>1600</v>
      </c>
      <c r="G115" s="33" t="s">
        <v>1011</v>
      </c>
      <c r="H115" s="3">
        <f t="shared" si="4"/>
        <v>10379.375</v>
      </c>
      <c r="I115" s="3">
        <v>1660.7</v>
      </c>
      <c r="K115" s="2"/>
    </row>
    <row r="116" spans="1:13">
      <c r="A116" t="s">
        <v>963</v>
      </c>
      <c r="B116" s="1">
        <v>41306</v>
      </c>
      <c r="C116" t="s">
        <v>964</v>
      </c>
      <c r="D116">
        <v>1</v>
      </c>
      <c r="E116" t="s">
        <v>965</v>
      </c>
      <c r="F116" t="s">
        <v>948</v>
      </c>
      <c r="G116" t="s">
        <v>947</v>
      </c>
      <c r="H116" s="3">
        <f>I116/0.16</f>
        <v>112.625</v>
      </c>
      <c r="I116" s="46">
        <f>17.94+0.08</f>
        <v>18.02</v>
      </c>
      <c r="J116" s="14"/>
      <c r="K116" s="2"/>
    </row>
    <row r="117" spans="1:13">
      <c r="A117" t="s">
        <v>963</v>
      </c>
      <c r="B117" s="1">
        <v>41306</v>
      </c>
      <c r="C117" t="s">
        <v>964</v>
      </c>
      <c r="D117">
        <v>1</v>
      </c>
      <c r="E117" t="s">
        <v>965</v>
      </c>
      <c r="F117" t="s">
        <v>948</v>
      </c>
      <c r="G117" t="s">
        <v>947</v>
      </c>
      <c r="H117" s="46">
        <f t="shared" ref="H117:H119" si="5">I117/0.16</f>
        <v>3215.5</v>
      </c>
      <c r="I117" s="46">
        <v>514.48</v>
      </c>
      <c r="J117" s="14">
        <f>3328.13-H117-H116</f>
        <v>5.0000000001091394E-3</v>
      </c>
      <c r="K117" s="2">
        <f>532.5-I117-I116</f>
        <v>0</v>
      </c>
      <c r="L117" t="s">
        <v>900</v>
      </c>
    </row>
    <row r="118" spans="1:13">
      <c r="A118" t="s">
        <v>224</v>
      </c>
      <c r="B118" s="1">
        <v>41324</v>
      </c>
      <c r="C118" t="s">
        <v>1187</v>
      </c>
      <c r="D118">
        <v>1</v>
      </c>
      <c r="E118" t="s">
        <v>965</v>
      </c>
      <c r="F118" s="49" t="s">
        <v>759</v>
      </c>
      <c r="G118" s="49" t="s">
        <v>760</v>
      </c>
      <c r="H118" s="50">
        <f t="shared" si="5"/>
        <v>500</v>
      </c>
      <c r="I118" s="50">
        <v>80</v>
      </c>
      <c r="J118" s="14"/>
      <c r="K118" s="2"/>
    </row>
    <row r="119" spans="1:13">
      <c r="A119" t="s">
        <v>224</v>
      </c>
      <c r="B119" s="1">
        <v>41324</v>
      </c>
      <c r="C119" t="s">
        <v>1187</v>
      </c>
      <c r="D119">
        <v>1</v>
      </c>
      <c r="E119" t="s">
        <v>965</v>
      </c>
      <c r="F119" s="49" t="s">
        <v>759</v>
      </c>
      <c r="G119" s="49" t="s">
        <v>760</v>
      </c>
      <c r="H119" s="46">
        <f t="shared" si="5"/>
        <v>81.875</v>
      </c>
      <c r="I119" s="46">
        <v>13.1</v>
      </c>
      <c r="J119" s="14">
        <f>581.88-H119-H118</f>
        <v>4.9999999999954525E-3</v>
      </c>
      <c r="K119" s="14">
        <f>93.1-I119-I118</f>
        <v>0</v>
      </c>
    </row>
    <row r="120" spans="1:13">
      <c r="A120" t="s">
        <v>1464</v>
      </c>
      <c r="B120" s="1">
        <v>41333</v>
      </c>
      <c r="C120" t="s">
        <v>1417</v>
      </c>
      <c r="D120">
        <v>1</v>
      </c>
      <c r="E120" t="s">
        <v>1465</v>
      </c>
      <c r="F120" s="33" t="s">
        <v>1601</v>
      </c>
      <c r="G120" s="33" t="s">
        <v>1465</v>
      </c>
      <c r="H120" s="3">
        <f t="shared" ref="H120:H151" si="6">+I120/0.16</f>
        <v>450</v>
      </c>
      <c r="I120" s="3">
        <v>72</v>
      </c>
      <c r="L120" s="48"/>
      <c r="M120" s="48"/>
    </row>
    <row r="121" spans="1:13">
      <c r="A121" t="s">
        <v>1462</v>
      </c>
      <c r="B121" s="1">
        <v>41333</v>
      </c>
      <c r="C121" t="s">
        <v>1417</v>
      </c>
      <c r="D121">
        <v>1</v>
      </c>
      <c r="E121" t="s">
        <v>1463</v>
      </c>
      <c r="F121" s="33" t="s">
        <v>1601</v>
      </c>
      <c r="G121" s="33" t="s">
        <v>1465</v>
      </c>
      <c r="H121" s="3">
        <f t="shared" si="6"/>
        <v>450</v>
      </c>
      <c r="I121" s="3">
        <v>72</v>
      </c>
      <c r="L121" s="3"/>
      <c r="M121" s="3"/>
    </row>
    <row r="122" spans="1:13">
      <c r="A122" t="s">
        <v>428</v>
      </c>
      <c r="B122" s="1">
        <v>41333</v>
      </c>
      <c r="C122" t="s">
        <v>1417</v>
      </c>
      <c r="D122">
        <v>1</v>
      </c>
      <c r="E122" t="s">
        <v>1463</v>
      </c>
      <c r="F122" s="33" t="s">
        <v>1601</v>
      </c>
      <c r="G122" s="33" t="s">
        <v>1465</v>
      </c>
      <c r="H122" s="3">
        <f t="shared" si="6"/>
        <v>450</v>
      </c>
      <c r="I122" s="3">
        <v>72</v>
      </c>
      <c r="K122" s="2"/>
      <c r="L122" s="48"/>
      <c r="M122" s="48"/>
    </row>
    <row r="123" spans="1:13">
      <c r="A123" t="s">
        <v>98</v>
      </c>
      <c r="B123" s="1">
        <v>41316</v>
      </c>
      <c r="C123" t="s">
        <v>1066</v>
      </c>
      <c r="D123">
        <v>2</v>
      </c>
      <c r="E123" t="s">
        <v>74</v>
      </c>
      <c r="F123" s="33" t="s">
        <v>803</v>
      </c>
      <c r="G123" s="33" t="s">
        <v>74</v>
      </c>
      <c r="H123" s="3">
        <f t="shared" si="6"/>
        <v>6999.875</v>
      </c>
      <c r="I123" s="3">
        <v>1119.98</v>
      </c>
      <c r="K123" s="2"/>
    </row>
    <row r="124" spans="1:13">
      <c r="A124" t="s">
        <v>1161</v>
      </c>
      <c r="B124" s="1">
        <v>41321</v>
      </c>
      <c r="C124" t="s">
        <v>1162</v>
      </c>
      <c r="D124">
        <v>1</v>
      </c>
      <c r="E124" t="s">
        <v>1163</v>
      </c>
      <c r="F124" s="33" t="s">
        <v>1602</v>
      </c>
      <c r="G124" s="33" t="s">
        <v>1163</v>
      </c>
      <c r="H124" s="3">
        <f t="shared" si="6"/>
        <v>13086.4375</v>
      </c>
      <c r="I124" s="3">
        <v>2093.83</v>
      </c>
      <c r="K124" s="2"/>
    </row>
    <row r="125" spans="1:13">
      <c r="A125" t="s">
        <v>154</v>
      </c>
      <c r="B125" s="1">
        <v>41319</v>
      </c>
      <c r="C125" t="s">
        <v>1107</v>
      </c>
      <c r="D125">
        <v>1</v>
      </c>
      <c r="E125" t="s">
        <v>112</v>
      </c>
      <c r="F125" s="33" t="s">
        <v>805</v>
      </c>
      <c r="G125" s="33" t="s">
        <v>112</v>
      </c>
      <c r="H125" s="3">
        <f t="shared" si="6"/>
        <v>25000</v>
      </c>
      <c r="I125" s="3">
        <v>4000</v>
      </c>
      <c r="K125" s="2"/>
    </row>
    <row r="126" spans="1:13">
      <c r="A126" t="s">
        <v>1052</v>
      </c>
      <c r="B126" s="1">
        <v>41316</v>
      </c>
      <c r="C126" t="s">
        <v>1053</v>
      </c>
      <c r="D126">
        <v>1</v>
      </c>
      <c r="E126" t="s">
        <v>1054</v>
      </c>
      <c r="F126" s="23" t="s">
        <v>829</v>
      </c>
      <c r="G126" s="24" t="s">
        <v>6</v>
      </c>
      <c r="H126" s="3">
        <f t="shared" si="6"/>
        <v>148985.3125</v>
      </c>
      <c r="I126" s="3">
        <v>23837.65</v>
      </c>
      <c r="K126" s="2"/>
    </row>
    <row r="127" spans="1:13">
      <c r="A127" t="s">
        <v>1055</v>
      </c>
      <c r="B127" s="1">
        <v>41316</v>
      </c>
      <c r="C127" t="s">
        <v>1056</v>
      </c>
      <c r="D127">
        <v>1</v>
      </c>
      <c r="E127" t="s">
        <v>1057</v>
      </c>
      <c r="F127" s="23" t="s">
        <v>829</v>
      </c>
      <c r="G127" s="24" t="s">
        <v>6</v>
      </c>
      <c r="H127" s="3">
        <f t="shared" si="6"/>
        <v>223475.37499999997</v>
      </c>
      <c r="I127" s="3">
        <v>35756.06</v>
      </c>
      <c r="K127" s="2"/>
    </row>
    <row r="128" spans="1:13">
      <c r="A128" t="s">
        <v>216</v>
      </c>
      <c r="B128" s="1">
        <v>41324</v>
      </c>
      <c r="C128" t="s">
        <v>1183</v>
      </c>
      <c r="D128">
        <v>1</v>
      </c>
      <c r="E128" t="s">
        <v>1184</v>
      </c>
      <c r="F128" s="41" t="s">
        <v>1603</v>
      </c>
      <c r="G128" s="33" t="s">
        <v>1184</v>
      </c>
      <c r="H128" s="3">
        <f t="shared" si="6"/>
        <v>1896.5625</v>
      </c>
      <c r="I128" s="3">
        <v>303.45</v>
      </c>
      <c r="K128" s="2"/>
    </row>
    <row r="129" spans="1:12">
      <c r="A129" t="s">
        <v>1115</v>
      </c>
      <c r="B129" s="1">
        <v>41320</v>
      </c>
      <c r="C129" t="s">
        <v>1116</v>
      </c>
      <c r="D129">
        <v>1</v>
      </c>
      <c r="E129" t="s">
        <v>207</v>
      </c>
      <c r="F129" s="33" t="s">
        <v>806</v>
      </c>
      <c r="G129" s="33" t="s">
        <v>207</v>
      </c>
      <c r="H129" s="3">
        <f t="shared" si="6"/>
        <v>1029</v>
      </c>
      <c r="I129" s="3">
        <v>164.64</v>
      </c>
      <c r="K129" s="2"/>
    </row>
    <row r="130" spans="1:12">
      <c r="A130" t="s">
        <v>1474</v>
      </c>
      <c r="B130" s="1">
        <v>41333</v>
      </c>
      <c r="C130" t="s">
        <v>1417</v>
      </c>
      <c r="D130">
        <v>1</v>
      </c>
      <c r="E130" t="s">
        <v>1475</v>
      </c>
      <c r="F130" s="33" t="s">
        <v>1604</v>
      </c>
      <c r="G130" s="33" t="s">
        <v>1475</v>
      </c>
      <c r="H130" s="3">
        <f t="shared" si="6"/>
        <v>75</v>
      </c>
      <c r="I130" s="3">
        <v>12</v>
      </c>
      <c r="K130" s="2"/>
    </row>
    <row r="131" spans="1:12">
      <c r="A131" t="s">
        <v>1483</v>
      </c>
      <c r="B131" s="1">
        <v>41333</v>
      </c>
      <c r="C131" t="s">
        <v>1484</v>
      </c>
      <c r="D131">
        <v>1</v>
      </c>
      <c r="E131" t="s">
        <v>1485</v>
      </c>
      <c r="F131" s="33" t="s">
        <v>1605</v>
      </c>
      <c r="G131" s="33" t="s">
        <v>1485</v>
      </c>
      <c r="H131" s="3">
        <f t="shared" si="6"/>
        <v>75</v>
      </c>
      <c r="I131" s="3">
        <v>12</v>
      </c>
      <c r="K131" s="2"/>
    </row>
    <row r="132" spans="1:12">
      <c r="A132" t="s">
        <v>333</v>
      </c>
      <c r="B132" s="1">
        <v>41330</v>
      </c>
      <c r="C132" t="s">
        <v>1283</v>
      </c>
      <c r="D132">
        <v>1</v>
      </c>
      <c r="E132" t="s">
        <v>184</v>
      </c>
      <c r="F132" s="33" t="s">
        <v>811</v>
      </c>
      <c r="G132" s="33" t="s">
        <v>184</v>
      </c>
      <c r="H132" s="3">
        <f t="shared" si="6"/>
        <v>1028</v>
      </c>
      <c r="I132" s="3">
        <v>164.48</v>
      </c>
      <c r="K132" s="2"/>
    </row>
    <row r="133" spans="1:12">
      <c r="A133" t="s">
        <v>1217</v>
      </c>
      <c r="B133" s="1">
        <v>41325</v>
      </c>
      <c r="C133" t="s">
        <v>1218</v>
      </c>
      <c r="D133">
        <v>2</v>
      </c>
      <c r="E133" t="s">
        <v>1219</v>
      </c>
      <c r="F133" s="33" t="s">
        <v>754</v>
      </c>
      <c r="G133" s="33" t="s">
        <v>1219</v>
      </c>
      <c r="H133" s="3">
        <f t="shared" si="6"/>
        <v>1800</v>
      </c>
      <c r="I133" s="3">
        <v>288</v>
      </c>
      <c r="K133" s="2"/>
    </row>
    <row r="134" spans="1:12">
      <c r="A134" t="s">
        <v>1259</v>
      </c>
      <c r="B134" s="1">
        <v>41327</v>
      </c>
      <c r="C134" t="s">
        <v>1260</v>
      </c>
      <c r="D134">
        <v>1</v>
      </c>
      <c r="E134" t="s">
        <v>1261</v>
      </c>
      <c r="F134" s="33" t="s">
        <v>1606</v>
      </c>
      <c r="G134" s="33" t="s">
        <v>1261</v>
      </c>
      <c r="H134" s="3">
        <f t="shared" si="6"/>
        <v>15405</v>
      </c>
      <c r="I134" s="3">
        <v>2464.8000000000002</v>
      </c>
      <c r="K134" s="2"/>
    </row>
    <row r="135" spans="1:12">
      <c r="A135" t="s">
        <v>1090</v>
      </c>
      <c r="B135" s="1">
        <v>41318</v>
      </c>
      <c r="C135" t="s">
        <v>1091</v>
      </c>
      <c r="D135">
        <v>1</v>
      </c>
      <c r="E135" t="s">
        <v>399</v>
      </c>
      <c r="F135" s="51" t="s">
        <v>814</v>
      </c>
      <c r="G135" s="33" t="s">
        <v>815</v>
      </c>
      <c r="H135" s="3">
        <f t="shared" si="6"/>
        <v>211715.1875</v>
      </c>
      <c r="I135" s="3">
        <v>33874.43</v>
      </c>
      <c r="K135" s="2"/>
    </row>
    <row r="136" spans="1:12">
      <c r="A136" t="s">
        <v>1003</v>
      </c>
      <c r="B136" s="1">
        <v>41311</v>
      </c>
      <c r="C136" t="s">
        <v>1004</v>
      </c>
      <c r="D136">
        <v>1</v>
      </c>
      <c r="E136" t="s">
        <v>1005</v>
      </c>
      <c r="F136" s="42" t="s">
        <v>1607</v>
      </c>
      <c r="G136" s="39" t="s">
        <v>1608</v>
      </c>
      <c r="H136" s="3">
        <f t="shared" si="6"/>
        <v>125.875</v>
      </c>
      <c r="I136" s="3">
        <v>20.14</v>
      </c>
      <c r="K136" s="2"/>
    </row>
    <row r="137" spans="1:12">
      <c r="A137" t="s">
        <v>1180</v>
      </c>
      <c r="B137" s="1">
        <v>41324</v>
      </c>
      <c r="C137" t="s">
        <v>1181</v>
      </c>
      <c r="D137">
        <v>1</v>
      </c>
      <c r="E137" t="s">
        <v>1182</v>
      </c>
      <c r="F137" s="33" t="s">
        <v>921</v>
      </c>
      <c r="G137" s="33" t="s">
        <v>922</v>
      </c>
      <c r="H137" s="3">
        <f t="shared" si="6"/>
        <v>1541</v>
      </c>
      <c r="I137" s="3">
        <v>246.56</v>
      </c>
      <c r="K137" s="2"/>
    </row>
    <row r="138" spans="1:12">
      <c r="A138" t="s">
        <v>301</v>
      </c>
      <c r="B138" s="1">
        <v>41331</v>
      </c>
      <c r="C138" t="s">
        <v>1293</v>
      </c>
      <c r="D138">
        <v>1</v>
      </c>
      <c r="E138" t="s">
        <v>1294</v>
      </c>
      <c r="F138" t="s">
        <v>948</v>
      </c>
      <c r="G138" s="134" t="s">
        <v>948</v>
      </c>
      <c r="H138" s="3">
        <f t="shared" si="6"/>
        <v>205.18749999999997</v>
      </c>
      <c r="I138" s="3">
        <v>32.83</v>
      </c>
      <c r="K138" s="135">
        <f t="shared" ref="K138" si="7">+L138/0.16</f>
        <v>205.18749999999997</v>
      </c>
      <c r="L138" s="135">
        <v>32.83</v>
      </c>
    </row>
    <row r="139" spans="1:12">
      <c r="A139" t="s">
        <v>1396</v>
      </c>
      <c r="B139" s="1">
        <v>41333</v>
      </c>
      <c r="C139" t="s">
        <v>1397</v>
      </c>
      <c r="D139">
        <v>1</v>
      </c>
      <c r="E139" t="s">
        <v>1398</v>
      </c>
      <c r="F139" s="32" t="s">
        <v>821</v>
      </c>
      <c r="G139" s="33" t="s">
        <v>822</v>
      </c>
      <c r="H139" s="3">
        <f t="shared" si="6"/>
        <v>390</v>
      </c>
      <c r="I139" s="3">
        <v>62.4</v>
      </c>
      <c r="K139" s="2"/>
    </row>
    <row r="140" spans="1:12">
      <c r="A140" t="s">
        <v>1388</v>
      </c>
      <c r="B140" s="1">
        <v>41333</v>
      </c>
      <c r="C140" t="s">
        <v>1389</v>
      </c>
      <c r="D140">
        <v>1</v>
      </c>
      <c r="E140" t="s">
        <v>1390</v>
      </c>
      <c r="F140" s="41" t="s">
        <v>950</v>
      </c>
      <c r="G140" s="43" t="s">
        <v>951</v>
      </c>
      <c r="H140" s="3">
        <f t="shared" si="6"/>
        <v>8562.5625</v>
      </c>
      <c r="I140" s="3">
        <v>1370.01</v>
      </c>
      <c r="K140" s="2"/>
    </row>
    <row r="141" spans="1:12">
      <c r="A141" t="s">
        <v>397</v>
      </c>
      <c r="B141" s="1">
        <v>41333</v>
      </c>
      <c r="C141" t="s">
        <v>1386</v>
      </c>
      <c r="D141">
        <v>1</v>
      </c>
      <c r="E141" t="s">
        <v>1387</v>
      </c>
      <c r="F141" s="42" t="s">
        <v>827</v>
      </c>
      <c r="G141" s="39" t="s">
        <v>828</v>
      </c>
      <c r="H141" s="3">
        <f t="shared" si="6"/>
        <v>10227.5625</v>
      </c>
      <c r="I141" s="3">
        <v>1636.41</v>
      </c>
      <c r="K141" s="2"/>
    </row>
    <row r="142" spans="1:12">
      <c r="A142" t="s">
        <v>1155</v>
      </c>
      <c r="B142" s="1">
        <v>41321</v>
      </c>
      <c r="C142" t="s">
        <v>1156</v>
      </c>
      <c r="D142">
        <v>1</v>
      </c>
      <c r="E142" t="s">
        <v>1157</v>
      </c>
      <c r="F142" s="39" t="s">
        <v>764</v>
      </c>
      <c r="G142" s="39" t="s">
        <v>100</v>
      </c>
      <c r="H142" s="3">
        <f t="shared" si="6"/>
        <v>21242.3125</v>
      </c>
      <c r="I142" s="3">
        <v>3398.77</v>
      </c>
      <c r="K142" s="2"/>
    </row>
    <row r="143" spans="1:12">
      <c r="A143" t="s">
        <v>1413</v>
      </c>
      <c r="B143" s="1">
        <v>41333</v>
      </c>
      <c r="C143" t="s">
        <v>1414</v>
      </c>
      <c r="D143">
        <v>1</v>
      </c>
      <c r="E143" t="s">
        <v>1415</v>
      </c>
      <c r="F143" s="59" t="s">
        <v>829</v>
      </c>
      <c r="G143" s="24" t="s">
        <v>6</v>
      </c>
      <c r="H143" s="3">
        <f t="shared" si="6"/>
        <v>709.75</v>
      </c>
      <c r="I143" s="3">
        <v>113.56</v>
      </c>
      <c r="K143" s="2"/>
    </row>
    <row r="144" spans="1:12">
      <c r="A144" t="s">
        <v>1270</v>
      </c>
      <c r="B144" s="1">
        <v>41330</v>
      </c>
      <c r="C144" t="s">
        <v>1271</v>
      </c>
      <c r="D144">
        <v>1</v>
      </c>
      <c r="E144" t="s">
        <v>1272</v>
      </c>
      <c r="F144" s="33" t="s">
        <v>1609</v>
      </c>
      <c r="G144" s="33" t="s">
        <v>1610</v>
      </c>
      <c r="H144" s="3">
        <f t="shared" si="6"/>
        <v>1009.5</v>
      </c>
      <c r="I144" s="3">
        <v>161.52000000000001</v>
      </c>
      <c r="K144" s="2"/>
    </row>
    <row r="145" spans="1:12">
      <c r="A145" t="s">
        <v>1126</v>
      </c>
      <c r="B145" s="1">
        <v>41320</v>
      </c>
      <c r="C145" t="s">
        <v>1127</v>
      </c>
      <c r="D145">
        <v>1</v>
      </c>
      <c r="E145" t="s">
        <v>1128</v>
      </c>
      <c r="F145" s="11" t="s">
        <v>802</v>
      </c>
      <c r="G145" s="11" t="s">
        <v>226</v>
      </c>
      <c r="H145" s="3">
        <f t="shared" si="6"/>
        <v>304</v>
      </c>
      <c r="I145" s="3">
        <v>48.64</v>
      </c>
      <c r="K145" s="2"/>
    </row>
    <row r="146" spans="1:12">
      <c r="A146" t="s">
        <v>227</v>
      </c>
      <c r="B146" s="1">
        <v>41324</v>
      </c>
      <c r="C146" t="s">
        <v>1188</v>
      </c>
      <c r="D146">
        <v>1</v>
      </c>
      <c r="E146" t="s">
        <v>1189</v>
      </c>
      <c r="F146" s="134" t="s">
        <v>7064</v>
      </c>
      <c r="G146" s="134" t="s">
        <v>7065</v>
      </c>
      <c r="H146" s="3">
        <f t="shared" si="6"/>
        <v>267241.375</v>
      </c>
      <c r="I146" s="3">
        <v>42758.62</v>
      </c>
      <c r="K146" s="135">
        <f t="shared" ref="K146" si="8">+L146/0.16</f>
        <v>267241.375</v>
      </c>
      <c r="L146" s="135">
        <v>42758.62</v>
      </c>
    </row>
    <row r="147" spans="1:12">
      <c r="A147" t="s">
        <v>957</v>
      </c>
      <c r="B147" s="1">
        <v>41306</v>
      </c>
      <c r="C147" t="s">
        <v>958</v>
      </c>
      <c r="D147">
        <v>1</v>
      </c>
      <c r="E147" t="s">
        <v>5</v>
      </c>
      <c r="F147" s="18" t="s">
        <v>816</v>
      </c>
      <c r="G147" s="19" t="s">
        <v>817</v>
      </c>
      <c r="H147" s="3">
        <f t="shared" si="6"/>
        <v>107142.875</v>
      </c>
      <c r="I147" s="3">
        <v>17142.86</v>
      </c>
      <c r="K147" s="2"/>
    </row>
    <row r="148" spans="1:12">
      <c r="A148" t="s">
        <v>1150</v>
      </c>
      <c r="B148" s="1">
        <v>41321</v>
      </c>
      <c r="C148" t="s">
        <v>1151</v>
      </c>
      <c r="D148">
        <v>1</v>
      </c>
      <c r="E148" t="s">
        <v>1152</v>
      </c>
      <c r="F148" t="s">
        <v>829</v>
      </c>
      <c r="G148" t="s">
        <v>6</v>
      </c>
      <c r="H148" s="3">
        <f t="shared" si="6"/>
        <v>9844.25</v>
      </c>
      <c r="I148" s="3">
        <v>1575.08</v>
      </c>
      <c r="K148" s="135">
        <f t="shared" ref="K148:K149" si="9">+L148/0.16</f>
        <v>9844.25</v>
      </c>
      <c r="L148" s="135">
        <v>1575.08</v>
      </c>
    </row>
    <row r="149" spans="1:12">
      <c r="A149" t="s">
        <v>1076</v>
      </c>
      <c r="B149" s="1">
        <v>41317</v>
      </c>
      <c r="C149" t="s">
        <v>1077</v>
      </c>
      <c r="D149">
        <v>1</v>
      </c>
      <c r="E149" t="s">
        <v>1078</v>
      </c>
      <c r="F149" t="s">
        <v>829</v>
      </c>
      <c r="G149" t="s">
        <v>6</v>
      </c>
      <c r="H149" s="3">
        <f t="shared" si="6"/>
        <v>1853.3124999999998</v>
      </c>
      <c r="I149" s="3">
        <v>296.52999999999997</v>
      </c>
      <c r="K149" s="135">
        <f t="shared" si="9"/>
        <v>1853.3124999999998</v>
      </c>
      <c r="L149" s="135">
        <v>296.52999999999997</v>
      </c>
    </row>
    <row r="150" spans="1:12">
      <c r="A150" t="s">
        <v>959</v>
      </c>
      <c r="B150" s="1">
        <v>41306</v>
      </c>
      <c r="C150" t="s">
        <v>960</v>
      </c>
      <c r="D150">
        <v>1</v>
      </c>
      <c r="E150" t="s">
        <v>2</v>
      </c>
      <c r="F150" s="18" t="s">
        <v>843</v>
      </c>
      <c r="G150" s="19" t="s">
        <v>844</v>
      </c>
      <c r="H150" s="3">
        <f t="shared" si="6"/>
        <v>107142.875</v>
      </c>
      <c r="I150" s="3">
        <v>17142.86</v>
      </c>
      <c r="K150" s="2"/>
    </row>
    <row r="151" spans="1:12">
      <c r="A151" t="s">
        <v>1564</v>
      </c>
      <c r="B151" s="1">
        <v>41333</v>
      </c>
      <c r="C151" t="s">
        <v>1565</v>
      </c>
      <c r="D151">
        <v>1</v>
      </c>
      <c r="E151" t="s">
        <v>1566</v>
      </c>
      <c r="F151" s="23" t="s">
        <v>829</v>
      </c>
      <c r="G151" s="24" t="s">
        <v>6</v>
      </c>
      <c r="H151" s="3">
        <f t="shared" si="6"/>
        <v>496138.5625</v>
      </c>
      <c r="I151" s="3">
        <v>79382.17</v>
      </c>
      <c r="K151" s="2"/>
    </row>
    <row r="152" spans="1:12">
      <c r="A152" t="s">
        <v>1105</v>
      </c>
      <c r="B152" s="1">
        <v>41319</v>
      </c>
      <c r="C152" t="s">
        <v>1106</v>
      </c>
      <c r="D152">
        <v>1</v>
      </c>
      <c r="E152" t="s">
        <v>57</v>
      </c>
      <c r="F152" s="32" t="s">
        <v>921</v>
      </c>
      <c r="G152" s="33" t="s">
        <v>922</v>
      </c>
      <c r="H152" s="3">
        <f t="shared" ref="H152:H188" si="10">+I152/0.16</f>
        <v>25668</v>
      </c>
      <c r="I152" s="3">
        <v>4106.88</v>
      </c>
      <c r="K152" s="2"/>
    </row>
    <row r="153" spans="1:12">
      <c r="A153" t="s">
        <v>1228</v>
      </c>
      <c r="B153" s="1">
        <v>41326</v>
      </c>
      <c r="C153" t="s">
        <v>1229</v>
      </c>
      <c r="D153">
        <v>1</v>
      </c>
      <c r="E153" t="s">
        <v>57</v>
      </c>
      <c r="F153" s="32" t="s">
        <v>921</v>
      </c>
      <c r="G153" s="33" t="s">
        <v>922</v>
      </c>
      <c r="H153" s="3">
        <f t="shared" si="10"/>
        <v>1587.625</v>
      </c>
      <c r="I153" s="3">
        <v>254.02</v>
      </c>
      <c r="K153" s="2"/>
    </row>
    <row r="154" spans="1:12">
      <c r="A154" t="s">
        <v>1230</v>
      </c>
      <c r="B154" s="1">
        <v>41326</v>
      </c>
      <c r="C154" t="s">
        <v>1231</v>
      </c>
      <c r="D154">
        <v>1</v>
      </c>
      <c r="E154" t="s">
        <v>57</v>
      </c>
      <c r="F154" s="32" t="s">
        <v>921</v>
      </c>
      <c r="G154" s="33" t="s">
        <v>922</v>
      </c>
      <c r="H154" s="3">
        <f t="shared" si="10"/>
        <v>3571.125</v>
      </c>
      <c r="I154" s="3">
        <v>571.38</v>
      </c>
      <c r="K154" s="2"/>
    </row>
    <row r="155" spans="1:12">
      <c r="A155" t="s">
        <v>78</v>
      </c>
      <c r="B155" s="1">
        <v>41314</v>
      </c>
      <c r="C155" t="s">
        <v>1048</v>
      </c>
      <c r="D155">
        <v>1</v>
      </c>
      <c r="E155" t="s">
        <v>1049</v>
      </c>
      <c r="F155" s="33" t="s">
        <v>875</v>
      </c>
      <c r="G155" s="33" t="s">
        <v>19</v>
      </c>
      <c r="H155" s="3">
        <f t="shared" si="10"/>
        <v>12320.625</v>
      </c>
      <c r="I155" s="3">
        <v>1971.3</v>
      </c>
      <c r="J155" s="14" t="e">
        <f>+H155-#REF!</f>
        <v>#REF!</v>
      </c>
      <c r="K155" s="2" t="e">
        <f>+I155-#REF!</f>
        <v>#REF!</v>
      </c>
      <c r="L155" t="s">
        <v>900</v>
      </c>
    </row>
    <row r="156" spans="1:12">
      <c r="A156" t="s">
        <v>1063</v>
      </c>
      <c r="B156" s="1">
        <v>41316</v>
      </c>
      <c r="C156" t="s">
        <v>1064</v>
      </c>
      <c r="D156">
        <v>1</v>
      </c>
      <c r="E156" t="s">
        <v>1065</v>
      </c>
      <c r="F156" s="28" t="s">
        <v>943</v>
      </c>
      <c r="G156" s="28" t="s">
        <v>1731</v>
      </c>
      <c r="H156" s="3">
        <f t="shared" si="10"/>
        <v>904.25</v>
      </c>
      <c r="I156" s="3">
        <v>144.68</v>
      </c>
      <c r="K156" s="2"/>
    </row>
    <row r="157" spans="1:12">
      <c r="A157" t="s">
        <v>1118</v>
      </c>
      <c r="B157" s="1">
        <v>41320</v>
      </c>
      <c r="C157" t="s">
        <v>1119</v>
      </c>
      <c r="D157">
        <v>1</v>
      </c>
      <c r="E157" t="s">
        <v>83</v>
      </c>
      <c r="F157" s="28" t="s">
        <v>877</v>
      </c>
      <c r="G157" s="28" t="s">
        <v>223</v>
      </c>
      <c r="H157" s="3">
        <f t="shared" si="10"/>
        <v>20600</v>
      </c>
      <c r="I157" s="3">
        <v>3296</v>
      </c>
      <c r="K157" s="2"/>
    </row>
    <row r="158" spans="1:12">
      <c r="A158" t="s">
        <v>391</v>
      </c>
      <c r="B158" s="1">
        <v>41324</v>
      </c>
      <c r="C158" t="s">
        <v>1195</v>
      </c>
      <c r="D158">
        <v>1</v>
      </c>
      <c r="E158" t="s">
        <v>1196</v>
      </c>
      <c r="F158" t="s">
        <v>7066</v>
      </c>
      <c r="G158" t="s">
        <v>7067</v>
      </c>
      <c r="H158" s="3">
        <f t="shared" si="10"/>
        <v>18990</v>
      </c>
      <c r="I158" s="3">
        <v>3038.4</v>
      </c>
      <c r="K158" s="135">
        <f t="shared" ref="K158" si="11">+L158/0.16</f>
        <v>18990</v>
      </c>
      <c r="L158" s="135">
        <v>3038.4</v>
      </c>
    </row>
    <row r="159" spans="1:12">
      <c r="A159" t="s">
        <v>1401</v>
      </c>
      <c r="B159" s="1">
        <v>41333</v>
      </c>
      <c r="C159" t="s">
        <v>436</v>
      </c>
      <c r="D159">
        <v>1</v>
      </c>
      <c r="E159" t="s">
        <v>1402</v>
      </c>
      <c r="F159" t="s">
        <v>948</v>
      </c>
      <c r="G159" t="s">
        <v>947</v>
      </c>
      <c r="H159" s="46">
        <f t="shared" ref="H159:H161" si="12">I159/0.16</f>
        <v>56.0625</v>
      </c>
      <c r="I159" s="46">
        <v>8.9700000000000006</v>
      </c>
      <c r="K159" s="2"/>
    </row>
    <row r="160" spans="1:12">
      <c r="A160" t="s">
        <v>1401</v>
      </c>
      <c r="B160" s="1">
        <v>41333</v>
      </c>
      <c r="C160" t="s">
        <v>436</v>
      </c>
      <c r="D160">
        <v>1</v>
      </c>
      <c r="E160" t="s">
        <v>1402</v>
      </c>
      <c r="F160" s="28" t="s">
        <v>1611</v>
      </c>
      <c r="G160" s="52" t="s">
        <v>1612</v>
      </c>
      <c r="H160" s="47">
        <f t="shared" si="12"/>
        <v>333.625</v>
      </c>
      <c r="I160" s="47">
        <v>53.38</v>
      </c>
      <c r="K160" s="2"/>
    </row>
    <row r="161" spans="1:11">
      <c r="A161" t="s">
        <v>1401</v>
      </c>
      <c r="B161" s="1">
        <v>41333</v>
      </c>
      <c r="C161" t="s">
        <v>436</v>
      </c>
      <c r="D161">
        <v>1</v>
      </c>
      <c r="E161" t="s">
        <v>1402</v>
      </c>
      <c r="F161" s="33" t="s">
        <v>1613</v>
      </c>
      <c r="G161" s="33" t="s">
        <v>1614</v>
      </c>
      <c r="H161" s="46">
        <f t="shared" si="12"/>
        <v>185.0625</v>
      </c>
      <c r="I161" s="46">
        <v>29.61</v>
      </c>
      <c r="J161" s="14">
        <f>574.75-H159-H160-H161</f>
        <v>0</v>
      </c>
      <c r="K161" s="2">
        <f>91.96-I159-I160-I161</f>
        <v>0</v>
      </c>
    </row>
    <row r="162" spans="1:11">
      <c r="A162" t="s">
        <v>1145</v>
      </c>
      <c r="B162" s="1">
        <v>41320</v>
      </c>
      <c r="C162" t="s">
        <v>1146</v>
      </c>
      <c r="D162">
        <v>1</v>
      </c>
      <c r="E162" t="s">
        <v>115</v>
      </c>
      <c r="F162" s="33" t="s">
        <v>952</v>
      </c>
      <c r="G162" s="33" t="s">
        <v>115</v>
      </c>
      <c r="H162" s="3">
        <f t="shared" si="10"/>
        <v>1845</v>
      </c>
      <c r="I162" s="3">
        <v>295.2</v>
      </c>
      <c r="K162" s="2"/>
    </row>
    <row r="163" spans="1:11">
      <c r="A163" t="s">
        <v>1472</v>
      </c>
      <c r="B163" s="1">
        <v>41333</v>
      </c>
      <c r="C163" t="s">
        <v>1417</v>
      </c>
      <c r="D163">
        <v>1</v>
      </c>
      <c r="E163" t="s">
        <v>1473</v>
      </c>
      <c r="F163" s="33" t="s">
        <v>1615</v>
      </c>
      <c r="G163" s="33" t="s">
        <v>1473</v>
      </c>
      <c r="H163" s="3">
        <f t="shared" si="10"/>
        <v>90.75</v>
      </c>
      <c r="I163" s="3">
        <v>14.52</v>
      </c>
      <c r="K163" s="2"/>
    </row>
    <row r="164" spans="1:11">
      <c r="A164" t="s">
        <v>1448</v>
      </c>
      <c r="B164" s="1">
        <v>41333</v>
      </c>
      <c r="C164" t="s">
        <v>1417</v>
      </c>
      <c r="D164">
        <v>1</v>
      </c>
      <c r="E164" t="s">
        <v>1449</v>
      </c>
      <c r="F164" s="33" t="s">
        <v>1615</v>
      </c>
      <c r="G164" s="33" t="s">
        <v>1449</v>
      </c>
      <c r="H164" s="3">
        <f t="shared" si="10"/>
        <v>171.875</v>
      </c>
      <c r="I164" s="3">
        <v>27.5</v>
      </c>
      <c r="K164" s="2"/>
    </row>
    <row r="165" spans="1:11">
      <c r="A165" t="s">
        <v>1481</v>
      </c>
      <c r="B165" s="1">
        <v>41333</v>
      </c>
      <c r="C165" t="s">
        <v>1482</v>
      </c>
      <c r="D165">
        <v>1</v>
      </c>
      <c r="E165" t="s">
        <v>584</v>
      </c>
      <c r="F165" s="33" t="s">
        <v>818</v>
      </c>
      <c r="G165" s="33" t="s">
        <v>819</v>
      </c>
      <c r="H165" s="3">
        <f t="shared" si="10"/>
        <v>342.5</v>
      </c>
      <c r="I165" s="3">
        <v>54.8</v>
      </c>
      <c r="K165" s="2"/>
    </row>
    <row r="166" spans="1:11">
      <c r="A166" t="s">
        <v>1498</v>
      </c>
      <c r="B166" s="1">
        <v>41333</v>
      </c>
      <c r="C166" t="s">
        <v>1499</v>
      </c>
      <c r="D166">
        <v>1</v>
      </c>
      <c r="E166" t="s">
        <v>584</v>
      </c>
      <c r="F166" s="33" t="s">
        <v>818</v>
      </c>
      <c r="G166" s="33" t="s">
        <v>819</v>
      </c>
      <c r="H166" s="3">
        <f t="shared" si="10"/>
        <v>315</v>
      </c>
      <c r="I166" s="3">
        <v>50.4</v>
      </c>
      <c r="K166" s="2"/>
    </row>
    <row r="167" spans="1:11">
      <c r="A167" t="s">
        <v>1122</v>
      </c>
      <c r="B167" s="1">
        <v>41320</v>
      </c>
      <c r="C167" t="s">
        <v>1123</v>
      </c>
      <c r="D167">
        <v>1</v>
      </c>
      <c r="E167" t="s">
        <v>97</v>
      </c>
      <c r="F167" s="33" t="s">
        <v>820</v>
      </c>
      <c r="G167" s="33" t="s">
        <v>97</v>
      </c>
      <c r="H167" s="3">
        <f t="shared" si="10"/>
        <v>4129.5625</v>
      </c>
      <c r="I167" s="3">
        <v>660.73</v>
      </c>
      <c r="K167" s="2"/>
    </row>
    <row r="168" spans="1:11">
      <c r="A168" t="s">
        <v>1491</v>
      </c>
      <c r="B168" s="1">
        <v>41333</v>
      </c>
      <c r="C168" t="s">
        <v>1492</v>
      </c>
      <c r="D168">
        <v>1</v>
      </c>
      <c r="E168" t="s">
        <v>1493</v>
      </c>
      <c r="F168" s="33" t="s">
        <v>1616</v>
      </c>
      <c r="G168" s="33" t="s">
        <v>1493</v>
      </c>
      <c r="H168" s="3">
        <f t="shared" si="10"/>
        <v>267.25</v>
      </c>
      <c r="I168" s="3">
        <v>42.76</v>
      </c>
      <c r="K168" s="2"/>
    </row>
    <row r="169" spans="1:11">
      <c r="A169" t="s">
        <v>1460</v>
      </c>
      <c r="B169" s="1">
        <v>41333</v>
      </c>
      <c r="C169" t="s">
        <v>1417</v>
      </c>
      <c r="D169">
        <v>1</v>
      </c>
      <c r="E169" t="s">
        <v>1461</v>
      </c>
      <c r="F169" s="33" t="s">
        <v>1617</v>
      </c>
      <c r="G169" s="33" t="s">
        <v>1461</v>
      </c>
      <c r="H169" s="3">
        <f t="shared" si="10"/>
        <v>172.4375</v>
      </c>
      <c r="I169" s="3">
        <v>27.59</v>
      </c>
      <c r="K169" s="2"/>
    </row>
    <row r="170" spans="1:11">
      <c r="A170" t="s">
        <v>432</v>
      </c>
      <c r="B170" s="1">
        <v>41333</v>
      </c>
      <c r="C170" t="s">
        <v>1486</v>
      </c>
      <c r="D170">
        <v>1</v>
      </c>
      <c r="E170" t="s">
        <v>1487</v>
      </c>
      <c r="F170" s="33" t="s">
        <v>1618</v>
      </c>
      <c r="G170" s="33" t="s">
        <v>1487</v>
      </c>
      <c r="H170" s="3">
        <f t="shared" si="10"/>
        <v>50</v>
      </c>
      <c r="I170" s="3">
        <v>8</v>
      </c>
      <c r="K170" s="2"/>
    </row>
    <row r="171" spans="1:11">
      <c r="A171" t="s">
        <v>185</v>
      </c>
      <c r="B171" s="1">
        <v>41320</v>
      </c>
      <c r="C171" t="s">
        <v>1149</v>
      </c>
      <c r="D171">
        <v>1</v>
      </c>
      <c r="E171" t="s">
        <v>130</v>
      </c>
      <c r="F171" s="33" t="s">
        <v>917</v>
      </c>
      <c r="G171" s="33" t="s">
        <v>130</v>
      </c>
      <c r="H171" s="3">
        <f t="shared" si="10"/>
        <v>4241</v>
      </c>
      <c r="I171" s="3">
        <v>678.56</v>
      </c>
      <c r="K171" s="2"/>
    </row>
    <row r="172" spans="1:11">
      <c r="A172" t="s">
        <v>1124</v>
      </c>
      <c r="B172" s="1">
        <v>41320</v>
      </c>
      <c r="C172" t="s">
        <v>1125</v>
      </c>
      <c r="D172">
        <v>1</v>
      </c>
      <c r="E172" t="s">
        <v>229</v>
      </c>
      <c r="F172" s="33" t="s">
        <v>839</v>
      </c>
      <c r="G172" s="33" t="s">
        <v>229</v>
      </c>
      <c r="H172" s="3">
        <f t="shared" si="10"/>
        <v>1371</v>
      </c>
      <c r="I172" s="3">
        <v>219.36</v>
      </c>
      <c r="K172" s="2"/>
    </row>
    <row r="173" spans="1:11">
      <c r="A173" t="s">
        <v>30</v>
      </c>
      <c r="B173" s="1">
        <v>41311</v>
      </c>
      <c r="C173" t="s">
        <v>1012</v>
      </c>
      <c r="D173">
        <v>1</v>
      </c>
      <c r="E173" t="s">
        <v>1013</v>
      </c>
      <c r="F173" s="33" t="s">
        <v>1619</v>
      </c>
      <c r="G173" s="33" t="s">
        <v>1013</v>
      </c>
      <c r="H173" s="3">
        <f t="shared" si="10"/>
        <v>3500</v>
      </c>
      <c r="I173" s="3">
        <v>560</v>
      </c>
      <c r="K173" s="2"/>
    </row>
    <row r="174" spans="1:11">
      <c r="A174" t="s">
        <v>1168</v>
      </c>
      <c r="B174" s="1">
        <v>41323</v>
      </c>
      <c r="C174" t="s">
        <v>1169</v>
      </c>
      <c r="D174">
        <v>1</v>
      </c>
      <c r="E174" t="s">
        <v>287</v>
      </c>
      <c r="F174" s="33" t="s">
        <v>846</v>
      </c>
      <c r="G174" s="33" t="s">
        <v>287</v>
      </c>
      <c r="H174" s="3">
        <f t="shared" si="10"/>
        <v>649.5</v>
      </c>
      <c r="I174" s="3">
        <v>103.92</v>
      </c>
      <c r="K174" s="2"/>
    </row>
    <row r="175" spans="1:11">
      <c r="A175" t="s">
        <v>218</v>
      </c>
      <c r="B175" s="1">
        <v>41324</v>
      </c>
      <c r="C175" t="s">
        <v>1185</v>
      </c>
      <c r="D175">
        <v>1</v>
      </c>
      <c r="E175" t="s">
        <v>1186</v>
      </c>
      <c r="F175" s="42" t="s">
        <v>1620</v>
      </c>
      <c r="G175" s="33" t="s">
        <v>1186</v>
      </c>
      <c r="H175" s="3">
        <f t="shared" si="10"/>
        <v>3000</v>
      </c>
      <c r="I175" s="3">
        <v>480</v>
      </c>
      <c r="K175" s="2"/>
    </row>
    <row r="176" spans="1:11">
      <c r="A176" t="s">
        <v>422</v>
      </c>
      <c r="B176" s="1">
        <v>41333</v>
      </c>
      <c r="C176" t="s">
        <v>1417</v>
      </c>
      <c r="D176">
        <v>1</v>
      </c>
      <c r="E176" t="s">
        <v>541</v>
      </c>
      <c r="F176" s="33" t="s">
        <v>847</v>
      </c>
      <c r="G176" s="33" t="s">
        <v>541</v>
      </c>
      <c r="H176" s="3">
        <f t="shared" si="10"/>
        <v>124.5625</v>
      </c>
      <c r="I176" s="3">
        <v>19.93</v>
      </c>
      <c r="K176" s="2"/>
    </row>
    <row r="177" spans="1:11">
      <c r="A177" t="s">
        <v>1008</v>
      </c>
      <c r="B177" s="1">
        <v>41311</v>
      </c>
      <c r="C177" t="s">
        <v>1009</v>
      </c>
      <c r="D177">
        <v>2</v>
      </c>
      <c r="E177" t="s">
        <v>127</v>
      </c>
      <c r="F177" s="33" t="s">
        <v>849</v>
      </c>
      <c r="G177" s="33" t="s">
        <v>127</v>
      </c>
      <c r="H177" s="3">
        <f t="shared" si="10"/>
        <v>5600</v>
      </c>
      <c r="I177" s="3">
        <v>896</v>
      </c>
      <c r="K177" s="2"/>
    </row>
    <row r="178" spans="1:11">
      <c r="A178" t="s">
        <v>1067</v>
      </c>
      <c r="B178" s="1">
        <v>41316</v>
      </c>
      <c r="C178" t="s">
        <v>1068</v>
      </c>
      <c r="D178">
        <v>2</v>
      </c>
      <c r="E178" t="s">
        <v>89</v>
      </c>
      <c r="F178" s="33" t="s">
        <v>850</v>
      </c>
      <c r="G178" s="33" t="s">
        <v>89</v>
      </c>
      <c r="H178" s="3">
        <f t="shared" si="10"/>
        <v>2500</v>
      </c>
      <c r="I178" s="3">
        <v>400</v>
      </c>
      <c r="K178" s="2"/>
    </row>
    <row r="179" spans="1:11">
      <c r="A179" t="s">
        <v>1069</v>
      </c>
      <c r="B179" s="1">
        <v>41316</v>
      </c>
      <c r="C179" t="s">
        <v>1070</v>
      </c>
      <c r="D179">
        <v>1</v>
      </c>
      <c r="E179" t="s">
        <v>89</v>
      </c>
      <c r="F179" s="33" t="s">
        <v>850</v>
      </c>
      <c r="G179" s="33" t="s">
        <v>89</v>
      </c>
      <c r="H179" s="3">
        <f t="shared" si="10"/>
        <v>15175</v>
      </c>
      <c r="I179" s="3">
        <v>2428</v>
      </c>
      <c r="K179" s="2"/>
    </row>
    <row r="180" spans="1:11">
      <c r="A180" t="s">
        <v>1136</v>
      </c>
      <c r="B180" s="1">
        <v>41320</v>
      </c>
      <c r="C180" t="s">
        <v>1137</v>
      </c>
      <c r="D180">
        <v>1</v>
      </c>
      <c r="E180" t="s">
        <v>89</v>
      </c>
      <c r="F180" s="33" t="s">
        <v>850</v>
      </c>
      <c r="G180" s="33" t="s">
        <v>89</v>
      </c>
      <c r="H180" s="3">
        <f t="shared" si="10"/>
        <v>2000</v>
      </c>
      <c r="I180" s="3">
        <v>320</v>
      </c>
      <c r="K180" s="2"/>
    </row>
    <row r="181" spans="1:11">
      <c r="A181" t="s">
        <v>69</v>
      </c>
      <c r="B181" s="1">
        <v>41314</v>
      </c>
      <c r="C181" t="s">
        <v>1043</v>
      </c>
      <c r="D181">
        <v>1</v>
      </c>
      <c r="E181" t="s">
        <v>1044</v>
      </c>
      <c r="F181" t="s">
        <v>948</v>
      </c>
      <c r="G181" s="33" t="s">
        <v>947</v>
      </c>
      <c r="H181" s="3">
        <f t="shared" ref="H181:H184" si="13">I181/0.16</f>
        <v>1410.8125</v>
      </c>
      <c r="I181" s="46">
        <v>225.73</v>
      </c>
      <c r="K181" s="2"/>
    </row>
    <row r="182" spans="1:11">
      <c r="A182" t="s">
        <v>69</v>
      </c>
      <c r="B182" s="1">
        <v>41314</v>
      </c>
      <c r="C182" t="s">
        <v>1043</v>
      </c>
      <c r="D182">
        <v>1</v>
      </c>
      <c r="E182" t="s">
        <v>1044</v>
      </c>
      <c r="F182" s="28" t="s">
        <v>1591</v>
      </c>
      <c r="G182" s="28" t="s">
        <v>1592</v>
      </c>
      <c r="H182" s="47">
        <f t="shared" si="13"/>
        <v>375.5625</v>
      </c>
      <c r="I182" s="47">
        <v>60.09</v>
      </c>
      <c r="K182" s="2"/>
    </row>
    <row r="183" spans="1:11">
      <c r="A183" t="s">
        <v>69</v>
      </c>
      <c r="B183" s="1">
        <v>41314</v>
      </c>
      <c r="C183" t="s">
        <v>1043</v>
      </c>
      <c r="D183">
        <v>1</v>
      </c>
      <c r="E183" t="s">
        <v>1044</v>
      </c>
      <c r="F183" s="33" t="s">
        <v>1621</v>
      </c>
      <c r="G183" s="33" t="s">
        <v>1622</v>
      </c>
      <c r="H183" s="46">
        <f t="shared" si="13"/>
        <v>3001.5625</v>
      </c>
      <c r="I183" s="46">
        <v>480.25</v>
      </c>
      <c r="K183" s="2"/>
    </row>
    <row r="184" spans="1:11">
      <c r="A184" t="s">
        <v>69</v>
      </c>
      <c r="B184" s="1">
        <v>41314</v>
      </c>
      <c r="C184" t="s">
        <v>1043</v>
      </c>
      <c r="D184">
        <v>1</v>
      </c>
      <c r="E184" t="s">
        <v>1044</v>
      </c>
      <c r="F184" s="33" t="s">
        <v>1623</v>
      </c>
      <c r="G184" s="33" t="s">
        <v>1624</v>
      </c>
      <c r="H184" s="46">
        <f t="shared" si="13"/>
        <v>1246.5625</v>
      </c>
      <c r="I184" s="46">
        <v>199.45</v>
      </c>
      <c r="J184" s="14">
        <f>6034.5-H181-H182-H183-H184</f>
        <v>0</v>
      </c>
      <c r="K184" s="2">
        <f>965.52-I181-I182-I183-I184</f>
        <v>0</v>
      </c>
    </row>
    <row r="185" spans="1:11">
      <c r="A185" t="s">
        <v>110</v>
      </c>
      <c r="B185" s="1">
        <v>41316</v>
      </c>
      <c r="C185" t="s">
        <v>1075</v>
      </c>
      <c r="D185">
        <v>1</v>
      </c>
      <c r="E185" t="s">
        <v>86</v>
      </c>
      <c r="F185" s="33" t="s">
        <v>851</v>
      </c>
      <c r="G185" s="33" t="s">
        <v>86</v>
      </c>
      <c r="H185" s="3">
        <f t="shared" si="10"/>
        <v>463.5625</v>
      </c>
      <c r="I185" s="3">
        <v>74.17</v>
      </c>
      <c r="K185" s="2"/>
    </row>
    <row r="186" spans="1:11">
      <c r="A186" t="s">
        <v>1374</v>
      </c>
      <c r="B186" s="1">
        <v>41333</v>
      </c>
      <c r="C186" t="s">
        <v>1375</v>
      </c>
      <c r="D186">
        <v>1</v>
      </c>
      <c r="E186" t="s">
        <v>1376</v>
      </c>
      <c r="F186" s="41" t="s">
        <v>854</v>
      </c>
      <c r="G186" s="33" t="s">
        <v>855</v>
      </c>
      <c r="H186" s="3">
        <f t="shared" si="10"/>
        <v>330512.6875</v>
      </c>
      <c r="I186" s="3">
        <v>52882.03</v>
      </c>
      <c r="K186" s="2"/>
    </row>
    <row r="187" spans="1:11">
      <c r="A187" t="s">
        <v>1211</v>
      </c>
      <c r="B187" s="1">
        <v>41325</v>
      </c>
      <c r="C187" t="s">
        <v>1212</v>
      </c>
      <c r="D187">
        <v>1</v>
      </c>
      <c r="E187" t="s">
        <v>1213</v>
      </c>
      <c r="F187" s="41" t="s">
        <v>856</v>
      </c>
      <c r="G187" s="33" t="s">
        <v>857</v>
      </c>
      <c r="H187" s="3">
        <f t="shared" si="10"/>
        <v>211715.1875</v>
      </c>
      <c r="I187" s="3">
        <v>33874.43</v>
      </c>
      <c r="K187" s="2"/>
    </row>
    <row r="188" spans="1:11">
      <c r="A188" t="s">
        <v>1111</v>
      </c>
      <c r="B188" s="1">
        <v>41320</v>
      </c>
      <c r="C188" t="s">
        <v>1112</v>
      </c>
      <c r="D188">
        <v>1</v>
      </c>
      <c r="E188" t="s">
        <v>1113</v>
      </c>
      <c r="F188" s="37" t="s">
        <v>856</v>
      </c>
      <c r="G188" s="33" t="s">
        <v>857</v>
      </c>
      <c r="H188" s="3">
        <f t="shared" si="10"/>
        <v>167897.75</v>
      </c>
      <c r="I188" s="3">
        <v>26863.64</v>
      </c>
      <c r="K188" s="2"/>
    </row>
    <row r="189" spans="1:11">
      <c r="A189" t="s">
        <v>1102</v>
      </c>
      <c r="B189" s="1">
        <v>41319</v>
      </c>
      <c r="C189" t="s">
        <v>1103</v>
      </c>
      <c r="D189">
        <v>1</v>
      </c>
      <c r="E189" t="s">
        <v>1104</v>
      </c>
      <c r="F189" s="37" t="s">
        <v>856</v>
      </c>
      <c r="G189" s="33" t="s">
        <v>857</v>
      </c>
      <c r="H189" s="3">
        <f t="shared" ref="H189:H223" si="14">+I189/0.16</f>
        <v>205379.4375</v>
      </c>
      <c r="I189" s="3">
        <v>32860.71</v>
      </c>
      <c r="K189" s="2"/>
    </row>
    <row r="190" spans="1:11">
      <c r="A190" t="s">
        <v>1208</v>
      </c>
      <c r="B190" s="1">
        <v>41325</v>
      </c>
      <c r="C190" t="s">
        <v>1209</v>
      </c>
      <c r="D190">
        <v>1</v>
      </c>
      <c r="E190" t="s">
        <v>1210</v>
      </c>
      <c r="F190" s="41" t="s">
        <v>856</v>
      </c>
      <c r="G190" s="33" t="s">
        <v>857</v>
      </c>
      <c r="H190" s="3">
        <f t="shared" si="14"/>
        <v>211715.1875</v>
      </c>
      <c r="I190" s="3">
        <v>33874.43</v>
      </c>
      <c r="K190" s="2"/>
    </row>
    <row r="191" spans="1:11">
      <c r="A191" t="s">
        <v>1147</v>
      </c>
      <c r="B191" s="1">
        <v>41320</v>
      </c>
      <c r="C191" t="s">
        <v>1148</v>
      </c>
      <c r="D191">
        <v>2</v>
      </c>
      <c r="E191" t="s">
        <v>121</v>
      </c>
      <c r="F191" s="33" t="s">
        <v>858</v>
      </c>
      <c r="G191" s="33" t="s">
        <v>121</v>
      </c>
      <c r="H191" s="3">
        <f t="shared" si="14"/>
        <v>1400</v>
      </c>
      <c r="I191" s="3">
        <v>224</v>
      </c>
      <c r="K191" s="2"/>
    </row>
    <row r="192" spans="1:11">
      <c r="A192" t="s">
        <v>75</v>
      </c>
      <c r="B192" s="1">
        <v>41314</v>
      </c>
      <c r="C192" t="s">
        <v>1046</v>
      </c>
      <c r="D192">
        <v>1</v>
      </c>
      <c r="E192" t="s">
        <v>1047</v>
      </c>
      <c r="F192" s="33" t="s">
        <v>1625</v>
      </c>
      <c r="G192" s="33" t="s">
        <v>1047</v>
      </c>
      <c r="H192" s="3">
        <f t="shared" si="14"/>
        <v>19910</v>
      </c>
      <c r="I192" s="3">
        <v>3185.6</v>
      </c>
      <c r="K192" s="2"/>
    </row>
    <row r="193" spans="1:12">
      <c r="A193" t="s">
        <v>1407</v>
      </c>
      <c r="B193" s="1">
        <v>41333</v>
      </c>
      <c r="C193" t="s">
        <v>436</v>
      </c>
      <c r="D193">
        <v>1</v>
      </c>
      <c r="E193" t="s">
        <v>1408</v>
      </c>
      <c r="F193" t="s">
        <v>948</v>
      </c>
      <c r="G193" t="s">
        <v>947</v>
      </c>
      <c r="H193" s="46">
        <f t="shared" ref="H193:H196" si="15">I193/0.16</f>
        <v>1324.9375</v>
      </c>
      <c r="I193" s="46">
        <f>212.31-0.32</f>
        <v>211.99</v>
      </c>
      <c r="K193" s="2"/>
    </row>
    <row r="194" spans="1:12">
      <c r="A194" t="s">
        <v>1407</v>
      </c>
      <c r="B194" s="1">
        <v>41333</v>
      </c>
      <c r="C194" t="s">
        <v>436</v>
      </c>
      <c r="D194">
        <v>1</v>
      </c>
      <c r="E194" t="s">
        <v>1408</v>
      </c>
      <c r="F194" s="28" t="s">
        <v>1591</v>
      </c>
      <c r="G194" s="28" t="s">
        <v>1592</v>
      </c>
      <c r="H194" s="47">
        <f t="shared" si="15"/>
        <v>375.5625</v>
      </c>
      <c r="I194" s="47">
        <v>60.09</v>
      </c>
      <c r="K194" s="2"/>
    </row>
    <row r="195" spans="1:12">
      <c r="A195" t="s">
        <v>1407</v>
      </c>
      <c r="B195" s="1">
        <v>41333</v>
      </c>
      <c r="C195" t="s">
        <v>436</v>
      </c>
      <c r="D195">
        <v>1</v>
      </c>
      <c r="E195" t="s">
        <v>1408</v>
      </c>
      <c r="F195" s="33" t="s">
        <v>1621</v>
      </c>
      <c r="G195" s="33" t="s">
        <v>1622</v>
      </c>
      <c r="H195" s="46">
        <f t="shared" si="15"/>
        <v>3001.5625</v>
      </c>
      <c r="I195" s="46">
        <v>480.25</v>
      </c>
      <c r="K195" s="2"/>
    </row>
    <row r="196" spans="1:12">
      <c r="A196" t="s">
        <v>1407</v>
      </c>
      <c r="B196" s="1">
        <v>41333</v>
      </c>
      <c r="C196" t="s">
        <v>436</v>
      </c>
      <c r="D196">
        <v>1</v>
      </c>
      <c r="E196" t="s">
        <v>1408</v>
      </c>
      <c r="F196" s="33" t="s">
        <v>1623</v>
      </c>
      <c r="G196" s="33" t="s">
        <v>1624</v>
      </c>
      <c r="H196" s="46">
        <f t="shared" si="15"/>
        <v>1246.5625</v>
      </c>
      <c r="I196" s="46">
        <v>199.45</v>
      </c>
      <c r="J196" s="14">
        <f>5948.63-H193-H194-H195-H196</f>
        <v>5.0000000001091394E-3</v>
      </c>
      <c r="K196" s="2">
        <f>951.78-I193-I194-I195-I196</f>
        <v>0</v>
      </c>
      <c r="L196" t="s">
        <v>900</v>
      </c>
    </row>
    <row r="197" spans="1:12">
      <c r="A197" t="s">
        <v>1262</v>
      </c>
      <c r="B197" s="1">
        <v>41328</v>
      </c>
      <c r="C197" t="s">
        <v>1263</v>
      </c>
      <c r="D197">
        <v>1</v>
      </c>
      <c r="E197" t="s">
        <v>1264</v>
      </c>
      <c r="F197" s="37" t="s">
        <v>1626</v>
      </c>
      <c r="G197" s="33" t="s">
        <v>1627</v>
      </c>
      <c r="H197" s="3">
        <f t="shared" si="14"/>
        <v>233357.93749999997</v>
      </c>
      <c r="I197" s="3">
        <v>37337.269999999997</v>
      </c>
      <c r="K197" s="2"/>
    </row>
    <row r="198" spans="1:12">
      <c r="A198" t="s">
        <v>1029</v>
      </c>
      <c r="B198" s="1">
        <v>41312</v>
      </c>
      <c r="C198" t="s">
        <v>1030</v>
      </c>
      <c r="D198">
        <v>2</v>
      </c>
      <c r="E198" t="s">
        <v>158</v>
      </c>
      <c r="F198" s="41" t="s">
        <v>865</v>
      </c>
      <c r="G198" s="33" t="s">
        <v>158</v>
      </c>
      <c r="H198" s="3">
        <f t="shared" si="14"/>
        <v>1580</v>
      </c>
      <c r="I198" s="3">
        <v>252.8</v>
      </c>
      <c r="J198" s="14" t="e">
        <f>+H198-#REF!</f>
        <v>#REF!</v>
      </c>
      <c r="K198" s="2" t="e">
        <f>+I198-#REF!</f>
        <v>#REF!</v>
      </c>
      <c r="L198" t="s">
        <v>900</v>
      </c>
    </row>
    <row r="199" spans="1:12">
      <c r="A199" t="s">
        <v>1454</v>
      </c>
      <c r="B199" s="1">
        <v>41333</v>
      </c>
      <c r="C199" t="s">
        <v>1417</v>
      </c>
      <c r="D199">
        <v>1</v>
      </c>
      <c r="E199" t="s">
        <v>1455</v>
      </c>
      <c r="F199" s="33" t="s">
        <v>869</v>
      </c>
      <c r="G199" s="33" t="s">
        <v>1455</v>
      </c>
      <c r="H199" s="3">
        <f t="shared" si="14"/>
        <v>27.187499999999996</v>
      </c>
      <c r="I199" s="3">
        <v>4.3499999999999996</v>
      </c>
      <c r="K199" s="2"/>
    </row>
    <row r="200" spans="1:12">
      <c r="A200" t="s">
        <v>1073</v>
      </c>
      <c r="B200" s="1">
        <v>41316</v>
      </c>
      <c r="C200" t="s">
        <v>1074</v>
      </c>
      <c r="D200">
        <v>2</v>
      </c>
      <c r="E200" t="s">
        <v>94</v>
      </c>
      <c r="F200" s="33" t="s">
        <v>868</v>
      </c>
      <c r="G200" s="33" t="s">
        <v>94</v>
      </c>
      <c r="H200" s="3">
        <f t="shared" si="14"/>
        <v>9500</v>
      </c>
      <c r="I200" s="3">
        <v>1520</v>
      </c>
      <c r="K200" s="2"/>
    </row>
    <row r="201" spans="1:12">
      <c r="A201" t="s">
        <v>1120</v>
      </c>
      <c r="B201" s="1">
        <v>41320</v>
      </c>
      <c r="C201" t="s">
        <v>1121</v>
      </c>
      <c r="D201">
        <v>2</v>
      </c>
      <c r="E201" t="s">
        <v>94</v>
      </c>
      <c r="F201" s="33" t="s">
        <v>868</v>
      </c>
      <c r="G201" s="33" t="s">
        <v>94</v>
      </c>
      <c r="H201" s="3">
        <f t="shared" si="14"/>
        <v>1800</v>
      </c>
      <c r="I201" s="3">
        <v>288</v>
      </c>
      <c r="K201" s="2"/>
    </row>
    <row r="202" spans="1:12">
      <c r="A202" t="s">
        <v>1235</v>
      </c>
      <c r="B202" s="1">
        <v>41326</v>
      </c>
      <c r="C202" t="s">
        <v>1236</v>
      </c>
      <c r="D202">
        <v>2</v>
      </c>
      <c r="E202" t="s">
        <v>94</v>
      </c>
      <c r="F202" s="33" t="s">
        <v>868</v>
      </c>
      <c r="G202" s="33" t="s">
        <v>94</v>
      </c>
      <c r="H202" s="3">
        <f t="shared" si="14"/>
        <v>10000</v>
      </c>
      <c r="I202" s="3">
        <v>1600</v>
      </c>
      <c r="K202" s="2"/>
    </row>
    <row r="203" spans="1:12">
      <c r="A203" t="s">
        <v>389</v>
      </c>
      <c r="B203" s="1">
        <v>41333</v>
      </c>
      <c r="C203" t="s">
        <v>1560</v>
      </c>
      <c r="D203">
        <v>2</v>
      </c>
      <c r="E203" t="s">
        <v>94</v>
      </c>
      <c r="F203" s="33" t="s">
        <v>868</v>
      </c>
      <c r="G203" s="33" t="s">
        <v>94</v>
      </c>
      <c r="H203" s="3">
        <f t="shared" si="14"/>
        <v>28000</v>
      </c>
      <c r="I203" s="3">
        <v>4480</v>
      </c>
      <c r="K203" s="2"/>
    </row>
    <row r="204" spans="1:12">
      <c r="A204" t="s">
        <v>45</v>
      </c>
      <c r="B204" s="1">
        <v>41313</v>
      </c>
      <c r="C204" t="s">
        <v>1037</v>
      </c>
      <c r="D204">
        <v>1</v>
      </c>
      <c r="E204" t="s">
        <v>19</v>
      </c>
      <c r="F204" s="33" t="s">
        <v>875</v>
      </c>
      <c r="G204" s="33" t="s">
        <v>19</v>
      </c>
      <c r="H204" s="3">
        <f t="shared" si="14"/>
        <v>7600</v>
      </c>
      <c r="I204" s="3">
        <v>1216</v>
      </c>
      <c r="K204" s="2"/>
    </row>
    <row r="205" spans="1:12">
      <c r="A205" t="s">
        <v>329</v>
      </c>
      <c r="B205" s="1">
        <v>41330</v>
      </c>
      <c r="C205" t="s">
        <v>1281</v>
      </c>
      <c r="D205">
        <v>1</v>
      </c>
      <c r="E205" t="s">
        <v>19</v>
      </c>
      <c r="F205" s="33" t="s">
        <v>875</v>
      </c>
      <c r="G205" s="33" t="s">
        <v>19</v>
      </c>
      <c r="H205" s="3">
        <f t="shared" si="14"/>
        <v>16388.1875</v>
      </c>
      <c r="I205" s="3">
        <v>2622.11</v>
      </c>
      <c r="K205" s="2"/>
    </row>
    <row r="206" spans="1:12">
      <c r="A206" t="s">
        <v>1495</v>
      </c>
      <c r="B206" s="1">
        <v>41333</v>
      </c>
      <c r="C206" t="s">
        <v>1496</v>
      </c>
      <c r="D206">
        <v>1</v>
      </c>
      <c r="E206" t="s">
        <v>1497</v>
      </c>
      <c r="F206" s="33" t="s">
        <v>1628</v>
      </c>
      <c r="G206" s="33" t="s">
        <v>1629</v>
      </c>
      <c r="H206" s="3">
        <f t="shared" si="14"/>
        <v>1582</v>
      </c>
      <c r="I206" s="3">
        <v>253.12</v>
      </c>
      <c r="K206" s="2"/>
    </row>
    <row r="207" spans="1:12">
      <c r="A207" t="s">
        <v>331</v>
      </c>
      <c r="B207" s="1">
        <v>41330</v>
      </c>
      <c r="C207" t="s">
        <v>1282</v>
      </c>
      <c r="D207">
        <v>1</v>
      </c>
      <c r="E207" t="s">
        <v>306</v>
      </c>
      <c r="F207" s="41" t="s">
        <v>876</v>
      </c>
      <c r="G207" s="33" t="s">
        <v>306</v>
      </c>
      <c r="H207" s="3">
        <f t="shared" si="14"/>
        <v>32611.374999999996</v>
      </c>
      <c r="I207" s="3">
        <v>5217.82</v>
      </c>
      <c r="K207" s="2"/>
    </row>
    <row r="208" spans="1:12">
      <c r="A208" t="s">
        <v>1000</v>
      </c>
      <c r="B208" s="1">
        <v>41311</v>
      </c>
      <c r="C208" t="s">
        <v>1001</v>
      </c>
      <c r="D208">
        <v>1</v>
      </c>
      <c r="E208" t="s">
        <v>1002</v>
      </c>
      <c r="F208" s="41" t="s">
        <v>1630</v>
      </c>
      <c r="G208" t="s">
        <v>1002</v>
      </c>
      <c r="H208" s="3">
        <f t="shared" si="14"/>
        <v>8600</v>
      </c>
      <c r="I208" s="3">
        <v>1376</v>
      </c>
      <c r="K208" s="2"/>
    </row>
    <row r="209" spans="1:11">
      <c r="A209" t="s">
        <v>1134</v>
      </c>
      <c r="B209" s="1">
        <v>41320</v>
      </c>
      <c r="C209" t="s">
        <v>1135</v>
      </c>
      <c r="D209">
        <v>1</v>
      </c>
      <c r="E209" t="s">
        <v>319</v>
      </c>
      <c r="F209" s="33" t="s">
        <v>878</v>
      </c>
      <c r="G209" s="33" t="s">
        <v>319</v>
      </c>
      <c r="H209" s="3">
        <f t="shared" si="14"/>
        <v>84430.5</v>
      </c>
      <c r="I209" s="3">
        <v>13508.88</v>
      </c>
      <c r="K209" s="2"/>
    </row>
    <row r="210" spans="1:11">
      <c r="A210" t="s">
        <v>1240</v>
      </c>
      <c r="B210" s="1">
        <v>41326</v>
      </c>
      <c r="C210" t="s">
        <v>1241</v>
      </c>
      <c r="D210">
        <v>1</v>
      </c>
      <c r="E210" t="s">
        <v>319</v>
      </c>
      <c r="F210" s="33" t="s">
        <v>878</v>
      </c>
      <c r="G210" s="33" t="s">
        <v>319</v>
      </c>
      <c r="H210" s="3">
        <f t="shared" si="14"/>
        <v>84430.5</v>
      </c>
      <c r="I210" s="3">
        <v>13508.88</v>
      </c>
      <c r="K210" s="2"/>
    </row>
    <row r="211" spans="1:11">
      <c r="A211" t="s">
        <v>1197</v>
      </c>
      <c r="B211" s="1">
        <v>41324</v>
      </c>
      <c r="C211" t="s">
        <v>1198</v>
      </c>
      <c r="D211">
        <v>1</v>
      </c>
      <c r="E211" t="s">
        <v>1199</v>
      </c>
      <c r="F211" s="42" t="s">
        <v>1631</v>
      </c>
      <c r="G211" s="33" t="s">
        <v>1199</v>
      </c>
      <c r="H211" s="3">
        <f t="shared" si="14"/>
        <v>18901.8125</v>
      </c>
      <c r="I211" s="3">
        <v>3024.29</v>
      </c>
      <c r="K211" s="2"/>
    </row>
    <row r="212" spans="1:11">
      <c r="A212" t="s">
        <v>90</v>
      </c>
      <c r="B212" s="1">
        <v>41316</v>
      </c>
      <c r="C212" t="s">
        <v>1060</v>
      </c>
      <c r="D212">
        <v>1</v>
      </c>
      <c r="E212" t="s">
        <v>52</v>
      </c>
      <c r="F212" s="33" t="s">
        <v>879</v>
      </c>
      <c r="G212" s="33" t="s">
        <v>52</v>
      </c>
      <c r="H212" s="3">
        <f t="shared" si="14"/>
        <v>1897.4374999999998</v>
      </c>
      <c r="I212" s="3">
        <v>303.58999999999997</v>
      </c>
      <c r="K212" s="2"/>
    </row>
    <row r="213" spans="1:11">
      <c r="A213" t="s">
        <v>966</v>
      </c>
      <c r="B213" s="1">
        <v>41306</v>
      </c>
      <c r="C213" t="s">
        <v>967</v>
      </c>
      <c r="D213">
        <v>1</v>
      </c>
      <c r="E213" t="s">
        <v>968</v>
      </c>
      <c r="F213" s="33" t="s">
        <v>1632</v>
      </c>
      <c r="G213" s="33" t="s">
        <v>968</v>
      </c>
      <c r="H213" s="3">
        <f t="shared" si="14"/>
        <v>13624.437499999998</v>
      </c>
      <c r="I213" s="3">
        <v>2179.91</v>
      </c>
      <c r="K213" s="2"/>
    </row>
    <row r="214" spans="1:11">
      <c r="A214" t="s">
        <v>969</v>
      </c>
      <c r="B214" s="1">
        <v>41306</v>
      </c>
      <c r="C214" t="s">
        <v>970</v>
      </c>
      <c r="D214">
        <v>1</v>
      </c>
      <c r="E214" t="s">
        <v>968</v>
      </c>
      <c r="F214" s="33" t="s">
        <v>1632</v>
      </c>
      <c r="G214" s="33" t="s">
        <v>968</v>
      </c>
      <c r="H214" s="3">
        <f t="shared" si="14"/>
        <v>6445</v>
      </c>
      <c r="I214" s="3">
        <v>1031.2</v>
      </c>
      <c r="K214" s="2"/>
    </row>
    <row r="215" spans="1:11">
      <c r="A215" t="s">
        <v>344</v>
      </c>
      <c r="B215" s="1">
        <v>41331</v>
      </c>
      <c r="C215" t="s">
        <v>1307</v>
      </c>
      <c r="D215">
        <v>1</v>
      </c>
      <c r="E215" t="s">
        <v>968</v>
      </c>
      <c r="F215" s="33" t="s">
        <v>1632</v>
      </c>
      <c r="G215" s="33" t="s">
        <v>968</v>
      </c>
      <c r="H215" s="3">
        <f t="shared" si="14"/>
        <v>6445</v>
      </c>
      <c r="I215" s="3">
        <v>1031.2</v>
      </c>
      <c r="K215" s="2"/>
    </row>
    <row r="216" spans="1:11">
      <c r="A216" t="s">
        <v>347</v>
      </c>
      <c r="B216" s="1">
        <v>41331</v>
      </c>
      <c r="C216" t="s">
        <v>1308</v>
      </c>
      <c r="D216">
        <v>1</v>
      </c>
      <c r="E216" t="s">
        <v>968</v>
      </c>
      <c r="F216" s="33" t="s">
        <v>1632</v>
      </c>
      <c r="G216" s="33" t="s">
        <v>968</v>
      </c>
      <c r="H216" s="3">
        <f t="shared" si="14"/>
        <v>11219.875</v>
      </c>
      <c r="I216" s="3">
        <v>1795.18</v>
      </c>
      <c r="K216" s="2"/>
    </row>
    <row r="217" spans="1:11">
      <c r="A217" t="s">
        <v>1447</v>
      </c>
      <c r="B217" s="1">
        <v>41333</v>
      </c>
      <c r="C217" t="s">
        <v>1417</v>
      </c>
      <c r="D217">
        <v>1</v>
      </c>
      <c r="E217" t="s">
        <v>535</v>
      </c>
      <c r="F217" s="33" t="s">
        <v>884</v>
      </c>
      <c r="G217" s="33" t="s">
        <v>535</v>
      </c>
      <c r="H217" s="3">
        <f t="shared" si="14"/>
        <v>344.8125</v>
      </c>
      <c r="I217" s="3">
        <v>55.17</v>
      </c>
      <c r="K217" s="2"/>
    </row>
    <row r="218" spans="1:11">
      <c r="A218" t="s">
        <v>418</v>
      </c>
      <c r="B218" s="1">
        <v>41333</v>
      </c>
      <c r="C218" t="s">
        <v>1417</v>
      </c>
      <c r="D218">
        <v>1</v>
      </c>
      <c r="E218" t="s">
        <v>535</v>
      </c>
      <c r="F218" s="33" t="s">
        <v>884</v>
      </c>
      <c r="G218" s="33" t="s">
        <v>535</v>
      </c>
      <c r="H218" s="3">
        <f t="shared" si="14"/>
        <v>344.8125</v>
      </c>
      <c r="I218" s="3">
        <v>55.17</v>
      </c>
      <c r="K218" s="2"/>
    </row>
    <row r="219" spans="1:11">
      <c r="A219" t="s">
        <v>1467</v>
      </c>
      <c r="B219" s="1">
        <v>41333</v>
      </c>
      <c r="C219" t="s">
        <v>1417</v>
      </c>
      <c r="D219">
        <v>1</v>
      </c>
      <c r="E219" t="s">
        <v>535</v>
      </c>
      <c r="F219" s="33" t="s">
        <v>884</v>
      </c>
      <c r="G219" s="33" t="s">
        <v>885</v>
      </c>
      <c r="H219" s="3">
        <f t="shared" si="14"/>
        <v>344.8125</v>
      </c>
      <c r="I219" s="3">
        <v>55.17</v>
      </c>
      <c r="K219" s="2"/>
    </row>
    <row r="220" spans="1:11">
      <c r="A220" t="s">
        <v>1479</v>
      </c>
      <c r="B220" s="1">
        <v>41333</v>
      </c>
      <c r="C220" t="s">
        <v>1480</v>
      </c>
      <c r="D220">
        <v>1</v>
      </c>
      <c r="E220" t="s">
        <v>535</v>
      </c>
      <c r="F220" s="33" t="s">
        <v>884</v>
      </c>
      <c r="G220" s="33" t="s">
        <v>535</v>
      </c>
      <c r="H220" s="3">
        <f t="shared" si="14"/>
        <v>344.8125</v>
      </c>
      <c r="I220" s="3">
        <v>55.17</v>
      </c>
      <c r="K220" s="2"/>
    </row>
    <row r="221" spans="1:11">
      <c r="A221" t="s">
        <v>1267</v>
      </c>
      <c r="B221" s="1">
        <v>41328</v>
      </c>
      <c r="C221" t="s">
        <v>1268</v>
      </c>
      <c r="D221">
        <v>1</v>
      </c>
      <c r="E221" t="s">
        <v>1269</v>
      </c>
      <c r="F221" s="33" t="s">
        <v>1633</v>
      </c>
      <c r="G221" s="33" t="s">
        <v>1634</v>
      </c>
      <c r="H221" s="3">
        <f t="shared" si="14"/>
        <v>532805.125</v>
      </c>
      <c r="I221" s="3">
        <v>85248.82</v>
      </c>
      <c r="K221" s="2"/>
    </row>
    <row r="222" spans="1:11">
      <c r="A222" t="s">
        <v>979</v>
      </c>
      <c r="B222" s="1">
        <v>41310</v>
      </c>
      <c r="C222" t="s">
        <v>980</v>
      </c>
      <c r="D222">
        <v>1</v>
      </c>
      <c r="E222" t="s">
        <v>981</v>
      </c>
      <c r="F222" s="53" t="s">
        <v>1635</v>
      </c>
      <c r="G222" s="54" t="s">
        <v>1636</v>
      </c>
      <c r="H222" s="3">
        <f t="shared" si="14"/>
        <v>-253071.81249999997</v>
      </c>
      <c r="I222" s="3">
        <v>-40491.49</v>
      </c>
      <c r="J222" s="2"/>
      <c r="K222" s="2"/>
    </row>
    <row r="223" spans="1:11">
      <c r="A223" t="s">
        <v>1362</v>
      </c>
      <c r="B223" s="1">
        <v>41333</v>
      </c>
      <c r="C223" t="s">
        <v>1363</v>
      </c>
      <c r="D223">
        <v>1</v>
      </c>
      <c r="E223" t="s">
        <v>1364</v>
      </c>
      <c r="F223" s="37" t="s">
        <v>1637</v>
      </c>
      <c r="G223" s="55" t="s">
        <v>1638</v>
      </c>
      <c r="H223" s="3">
        <f t="shared" si="14"/>
        <v>253943.3125</v>
      </c>
      <c r="I223" s="3">
        <v>40630.93</v>
      </c>
      <c r="K223" s="2"/>
    </row>
    <row r="224" spans="1:11">
      <c r="A224" t="s">
        <v>987</v>
      </c>
      <c r="B224" s="1">
        <v>41311</v>
      </c>
      <c r="C224" t="s">
        <v>988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ref="H224:H255" si="16">+I224/0.16</f>
        <v>263493.125</v>
      </c>
      <c r="I224" s="3">
        <v>42158.9</v>
      </c>
      <c r="K224" s="2"/>
    </row>
    <row r="225" spans="1:11">
      <c r="A225" t="s">
        <v>992</v>
      </c>
      <c r="B225" s="1">
        <v>41311</v>
      </c>
      <c r="C225" t="s">
        <v>993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16"/>
        <v>-273114.125</v>
      </c>
      <c r="I225" s="3">
        <v>-43698.26</v>
      </c>
      <c r="J225" s="2"/>
      <c r="K225" s="2"/>
    </row>
    <row r="226" spans="1:11">
      <c r="A226" t="s">
        <v>994</v>
      </c>
      <c r="B226" s="1">
        <v>41311</v>
      </c>
      <c r="C226" t="s">
        <v>995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16"/>
        <v>-179603.3125</v>
      </c>
      <c r="I226" s="3">
        <v>-28736.53</v>
      </c>
      <c r="J226" s="2"/>
      <c r="K226" s="2"/>
    </row>
    <row r="227" spans="1:11">
      <c r="A227" t="s">
        <v>996</v>
      </c>
      <c r="B227" s="1">
        <v>41311</v>
      </c>
      <c r="C227" t="s">
        <v>997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16"/>
        <v>179603.3125</v>
      </c>
      <c r="I227" s="3">
        <v>28736.53</v>
      </c>
      <c r="K227" s="2"/>
    </row>
    <row r="228" spans="1:11">
      <c r="A228" t="s">
        <v>1017</v>
      </c>
      <c r="B228" s="1">
        <v>41312</v>
      </c>
      <c r="C228" t="s">
        <v>1018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16"/>
        <v>216123.75</v>
      </c>
      <c r="I228" s="3">
        <v>34579.800000000003</v>
      </c>
      <c r="K228" s="2"/>
    </row>
    <row r="229" spans="1:11">
      <c r="A229" t="s">
        <v>1019</v>
      </c>
      <c r="B229" s="1">
        <v>41312</v>
      </c>
      <c r="C229" t="s">
        <v>1020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16"/>
        <v>160448.625</v>
      </c>
      <c r="I229" s="3">
        <v>25671.78</v>
      </c>
      <c r="K229" s="2"/>
    </row>
    <row r="230" spans="1:11">
      <c r="A230" t="s">
        <v>1021</v>
      </c>
      <c r="B230" s="1">
        <v>41312</v>
      </c>
      <c r="C230" t="s">
        <v>1022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16"/>
        <v>357115.5625</v>
      </c>
      <c r="I230" s="3">
        <v>57138.49</v>
      </c>
      <c r="K230" s="2"/>
    </row>
    <row r="231" spans="1:11">
      <c r="A231" t="s">
        <v>1023</v>
      </c>
      <c r="B231" s="1">
        <v>41312</v>
      </c>
      <c r="C231" t="s">
        <v>1024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16"/>
        <v>286904.5625</v>
      </c>
      <c r="I231" s="3">
        <v>45904.73</v>
      </c>
      <c r="K231" s="2"/>
    </row>
    <row r="232" spans="1:11">
      <c r="A232" t="s">
        <v>1025</v>
      </c>
      <c r="B232" s="1">
        <v>41312</v>
      </c>
      <c r="C232" t="s">
        <v>1026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16"/>
        <v>167896.875</v>
      </c>
      <c r="I232" s="3">
        <v>26863.5</v>
      </c>
      <c r="K232" s="2"/>
    </row>
    <row r="233" spans="1:11">
      <c r="A233" t="s">
        <v>1079</v>
      </c>
      <c r="B233" s="1">
        <v>41317</v>
      </c>
      <c r="C233" t="s">
        <v>1080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16"/>
        <v>220622.625</v>
      </c>
      <c r="I233" s="3">
        <v>35299.620000000003</v>
      </c>
      <c r="K233" s="2"/>
    </row>
    <row r="234" spans="1:11">
      <c r="A234" t="s">
        <v>1081</v>
      </c>
      <c r="B234" s="1">
        <v>41317</v>
      </c>
      <c r="C234" t="s">
        <v>1082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16"/>
        <v>220622.625</v>
      </c>
      <c r="I234" s="3">
        <v>35299.620000000003</v>
      </c>
      <c r="K234" s="2"/>
    </row>
    <row r="235" spans="1:11">
      <c r="A235" t="s">
        <v>1083</v>
      </c>
      <c r="B235" s="1">
        <v>41317</v>
      </c>
      <c r="C235" t="s">
        <v>1084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16"/>
        <v>190157.5625</v>
      </c>
      <c r="I235" s="3">
        <v>30425.21</v>
      </c>
      <c r="K235" s="2"/>
    </row>
    <row r="236" spans="1:11">
      <c r="A236" t="s">
        <v>1085</v>
      </c>
      <c r="B236" s="1">
        <v>41317</v>
      </c>
      <c r="C236" t="s">
        <v>1086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16"/>
        <v>286904.5625</v>
      </c>
      <c r="I236" s="3">
        <v>45904.73</v>
      </c>
      <c r="K236" s="2"/>
    </row>
    <row r="237" spans="1:11">
      <c r="A237" t="s">
        <v>1097</v>
      </c>
      <c r="B237" s="1">
        <v>41319</v>
      </c>
      <c r="C237" t="s">
        <v>1098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16"/>
        <v>233357.93749999997</v>
      </c>
      <c r="I237" s="3">
        <v>37337.269999999997</v>
      </c>
      <c r="K237" s="2"/>
    </row>
    <row r="238" spans="1:11">
      <c r="A238" t="s">
        <v>1164</v>
      </c>
      <c r="B238" s="1">
        <v>41323</v>
      </c>
      <c r="C238" t="s">
        <v>1165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16"/>
        <v>233357.93749999997</v>
      </c>
      <c r="I238" s="3">
        <v>37337.269999999997</v>
      </c>
      <c r="K238" s="2"/>
    </row>
    <row r="239" spans="1:11">
      <c r="A239" t="s">
        <v>1170</v>
      </c>
      <c r="B239" s="1">
        <v>41324</v>
      </c>
      <c r="C239" t="s">
        <v>1171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16"/>
        <v>160448.625</v>
      </c>
      <c r="I239" s="3">
        <v>25671.78</v>
      </c>
      <c r="K239" s="2"/>
    </row>
    <row r="240" spans="1:11">
      <c r="A240" t="s">
        <v>197</v>
      </c>
      <c r="B240" s="1">
        <v>41324</v>
      </c>
      <c r="C240" t="s">
        <v>1098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16"/>
        <v>-233357.93749999997</v>
      </c>
      <c r="I240" s="3">
        <v>-37337.269999999997</v>
      </c>
      <c r="J240" s="2"/>
      <c r="K240" s="2"/>
    </row>
    <row r="241" spans="1:11">
      <c r="A241" t="s">
        <v>1176</v>
      </c>
      <c r="B241" s="1">
        <v>41324</v>
      </c>
      <c r="C241" t="s">
        <v>1098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16"/>
        <v>253943.3125</v>
      </c>
      <c r="I241" s="3">
        <v>40630.93</v>
      </c>
      <c r="K241" s="2"/>
    </row>
    <row r="242" spans="1:11">
      <c r="A242" t="s">
        <v>1177</v>
      </c>
      <c r="B242" s="1">
        <v>41324</v>
      </c>
      <c r="C242" t="s">
        <v>1172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16"/>
        <v>253943.3125</v>
      </c>
      <c r="I242" s="3">
        <v>40630.93</v>
      </c>
      <c r="K242" s="2"/>
    </row>
    <row r="243" spans="1:11">
      <c r="A243" t="s">
        <v>1178</v>
      </c>
      <c r="B243" s="1">
        <v>41324</v>
      </c>
      <c r="C243" t="s">
        <v>1165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16"/>
        <v>-233357.93749999997</v>
      </c>
      <c r="I243" s="3">
        <v>-37337.269999999997</v>
      </c>
      <c r="J243" s="2"/>
      <c r="K243" s="2"/>
    </row>
    <row r="244" spans="1:11">
      <c r="A244" t="s">
        <v>1179</v>
      </c>
      <c r="B244" s="1">
        <v>41324</v>
      </c>
      <c r="C244" t="s">
        <v>1165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16"/>
        <v>253943.3125</v>
      </c>
      <c r="I244" s="3">
        <v>40630.93</v>
      </c>
      <c r="K244" s="2"/>
    </row>
    <row r="245" spans="1:11">
      <c r="A245" t="s">
        <v>1203</v>
      </c>
      <c r="B245" s="1">
        <v>41325</v>
      </c>
      <c r="C245" t="s">
        <v>1204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16"/>
        <v>310908.625</v>
      </c>
      <c r="I245" s="3">
        <v>49745.38</v>
      </c>
      <c r="K245" s="2"/>
    </row>
    <row r="246" spans="1:11">
      <c r="A246" t="s">
        <v>257</v>
      </c>
      <c r="B246" s="1">
        <v>41326</v>
      </c>
      <c r="C246" t="s">
        <v>1220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16"/>
        <v>175267.5625</v>
      </c>
      <c r="I246" s="3">
        <v>28042.81</v>
      </c>
      <c r="K246" s="2"/>
    </row>
    <row r="247" spans="1:11">
      <c r="A247" t="s">
        <v>1223</v>
      </c>
      <c r="B247" s="1">
        <v>41326</v>
      </c>
      <c r="C247" t="s">
        <v>1224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16"/>
        <v>211715.1875</v>
      </c>
      <c r="I247" s="3">
        <v>33874.43</v>
      </c>
      <c r="K247" s="2"/>
    </row>
    <row r="248" spans="1:11">
      <c r="A248" t="s">
        <v>1242</v>
      </c>
      <c r="B248" s="1">
        <v>41327</v>
      </c>
      <c r="C248" t="s">
        <v>1243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16"/>
        <v>220622.625</v>
      </c>
      <c r="I248" s="3">
        <v>35299.620000000003</v>
      </c>
      <c r="K248" s="2"/>
    </row>
    <row r="249" spans="1:11">
      <c r="A249" t="s">
        <v>1247</v>
      </c>
      <c r="B249" s="1">
        <v>41327</v>
      </c>
      <c r="C249" t="s">
        <v>1248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16"/>
        <v>330512.6875</v>
      </c>
      <c r="I249" s="3">
        <v>52882.03</v>
      </c>
      <c r="K249" s="2"/>
    </row>
    <row r="250" spans="1:11">
      <c r="A250" t="s">
        <v>1265</v>
      </c>
      <c r="B250" s="1">
        <v>41328</v>
      </c>
      <c r="C250" t="s">
        <v>1266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16"/>
        <v>330512.6875</v>
      </c>
      <c r="I250" s="3">
        <v>52882.03</v>
      </c>
      <c r="K250" s="2"/>
    </row>
    <row r="251" spans="1:11">
      <c r="A251" t="s">
        <v>290</v>
      </c>
      <c r="B251" s="1">
        <v>41330</v>
      </c>
      <c r="C251" t="s">
        <v>1276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16"/>
        <v>220622.625</v>
      </c>
      <c r="I251" s="3">
        <v>35299.620000000003</v>
      </c>
      <c r="K251" s="2"/>
    </row>
    <row r="252" spans="1:11">
      <c r="A252" t="s">
        <v>292</v>
      </c>
      <c r="B252" s="1">
        <v>41330</v>
      </c>
      <c r="C252" t="s">
        <v>988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16"/>
        <v>-263493.125</v>
      </c>
      <c r="I252" s="3">
        <v>-42158.9</v>
      </c>
      <c r="J252" s="2"/>
      <c r="K252" s="2"/>
    </row>
    <row r="253" spans="1:11">
      <c r="A253" t="s">
        <v>1277</v>
      </c>
      <c r="B253" s="1">
        <v>41330</v>
      </c>
      <c r="C253" t="s">
        <v>988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16"/>
        <v>277751.8125</v>
      </c>
      <c r="I253" s="3">
        <v>44440.29</v>
      </c>
      <c r="K253" s="2"/>
    </row>
    <row r="254" spans="1:11">
      <c r="A254" t="s">
        <v>1278</v>
      </c>
      <c r="B254" s="1">
        <v>41330</v>
      </c>
      <c r="C254" t="s">
        <v>1279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si="16"/>
        <v>277751.8125</v>
      </c>
      <c r="I254" s="3">
        <v>44440.29</v>
      </c>
      <c r="K254" s="2"/>
    </row>
    <row r="255" spans="1:11">
      <c r="A255" t="s">
        <v>1291</v>
      </c>
      <c r="B255" s="1">
        <v>41331</v>
      </c>
      <c r="C255" t="s">
        <v>1292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16"/>
        <v>253943.3125</v>
      </c>
      <c r="I255" s="3">
        <v>40630.93</v>
      </c>
      <c r="K255" s="2"/>
    </row>
    <row r="256" spans="1:11">
      <c r="A256" t="s">
        <v>1295</v>
      </c>
      <c r="B256" s="1">
        <v>41331</v>
      </c>
      <c r="C256" t="s">
        <v>1296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ref="H256:H284" si="17">+I256/0.16</f>
        <v>330512.6875</v>
      </c>
      <c r="I256" s="3">
        <v>52882.03</v>
      </c>
      <c r="K256" s="2"/>
    </row>
    <row r="257" spans="1:11">
      <c r="A257" t="s">
        <v>1297</v>
      </c>
      <c r="B257" s="1">
        <v>41331</v>
      </c>
      <c r="C257" t="s">
        <v>1298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17"/>
        <v>330512.6875</v>
      </c>
      <c r="I257" s="3">
        <v>52882.03</v>
      </c>
      <c r="K257" s="2"/>
    </row>
    <row r="258" spans="1:11">
      <c r="A258" t="s">
        <v>1299</v>
      </c>
      <c r="B258" s="1">
        <v>41331</v>
      </c>
      <c r="C258" t="s">
        <v>1300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17"/>
        <v>312408.625</v>
      </c>
      <c r="I258" s="3">
        <v>49985.38</v>
      </c>
      <c r="K258" s="2"/>
    </row>
    <row r="259" spans="1:11">
      <c r="A259" t="s">
        <v>1301</v>
      </c>
      <c r="B259" s="1">
        <v>41331</v>
      </c>
      <c r="C259" t="s">
        <v>1302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17"/>
        <v>330512.6875</v>
      </c>
      <c r="I259" s="3">
        <v>52882.03</v>
      </c>
      <c r="K259" s="2"/>
    </row>
    <row r="260" spans="1:11">
      <c r="A260" t="s">
        <v>1303</v>
      </c>
      <c r="B260" s="1">
        <v>41331</v>
      </c>
      <c r="C260" t="s">
        <v>1304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17"/>
        <v>277751.8125</v>
      </c>
      <c r="I260" s="3">
        <v>44440.29</v>
      </c>
      <c r="K260" s="2"/>
    </row>
    <row r="261" spans="1:11">
      <c r="A261" t="s">
        <v>1305</v>
      </c>
      <c r="B261" s="1">
        <v>41331</v>
      </c>
      <c r="C261" t="s">
        <v>1306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17"/>
        <v>220622.625</v>
      </c>
      <c r="I261" s="3">
        <v>35299.620000000003</v>
      </c>
      <c r="K261" s="2"/>
    </row>
    <row r="262" spans="1:11">
      <c r="A262" t="s">
        <v>1313</v>
      </c>
      <c r="B262" s="1">
        <v>41332</v>
      </c>
      <c r="C262" t="s">
        <v>1314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17"/>
        <v>253944.1875</v>
      </c>
      <c r="I262" s="3">
        <v>40631.07</v>
      </c>
      <c r="K262" s="2"/>
    </row>
    <row r="263" spans="1:11">
      <c r="A263" t="s">
        <v>1315</v>
      </c>
      <c r="B263" s="1">
        <v>41332</v>
      </c>
      <c r="C263" t="s">
        <v>1316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17"/>
        <v>408079.3125</v>
      </c>
      <c r="I263" s="3">
        <v>65292.69</v>
      </c>
      <c r="K263" s="2"/>
    </row>
    <row r="264" spans="1:11">
      <c r="A264" t="s">
        <v>1317</v>
      </c>
      <c r="B264" s="1">
        <v>41332</v>
      </c>
      <c r="C264" t="s">
        <v>1318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17"/>
        <v>408079.3125</v>
      </c>
      <c r="I264" s="3">
        <v>65292.69</v>
      </c>
      <c r="K264" s="2"/>
    </row>
    <row r="265" spans="1:11">
      <c r="A265" t="s">
        <v>1319</v>
      </c>
      <c r="B265" s="1">
        <v>41332</v>
      </c>
      <c r="C265" t="s">
        <v>1320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17"/>
        <v>319052.4375</v>
      </c>
      <c r="I265" s="3">
        <v>51048.39</v>
      </c>
      <c r="K265" s="2"/>
    </row>
    <row r="266" spans="1:11">
      <c r="A266" t="s">
        <v>1321</v>
      </c>
      <c r="B266" s="1">
        <v>41332</v>
      </c>
      <c r="C266" t="s">
        <v>1322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17"/>
        <v>312408.625</v>
      </c>
      <c r="I266" s="3">
        <v>49985.38</v>
      </c>
      <c r="K266" s="2"/>
    </row>
    <row r="267" spans="1:11">
      <c r="A267" t="s">
        <v>1323</v>
      </c>
      <c r="B267" s="1">
        <v>41332</v>
      </c>
      <c r="C267" t="s">
        <v>1324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17"/>
        <v>167896.875</v>
      </c>
      <c r="I267" s="3">
        <v>26863.5</v>
      </c>
      <c r="K267" s="2"/>
    </row>
    <row r="268" spans="1:11">
      <c r="A268" t="s">
        <v>350</v>
      </c>
      <c r="B268" s="1">
        <v>41332</v>
      </c>
      <c r="C268" t="s">
        <v>1325</v>
      </c>
      <c r="D268">
        <v>1</v>
      </c>
      <c r="E268" t="s">
        <v>6</v>
      </c>
      <c r="F268" s="30" t="s">
        <v>886</v>
      </c>
      <c r="G268" s="31" t="s">
        <v>887</v>
      </c>
      <c r="H268" s="3">
        <f t="shared" si="17"/>
        <v>167897.125</v>
      </c>
      <c r="I268" s="3">
        <v>26863.54</v>
      </c>
      <c r="K268" s="2"/>
    </row>
    <row r="269" spans="1:11">
      <c r="A269" t="s">
        <v>352</v>
      </c>
      <c r="B269" s="1">
        <v>41332</v>
      </c>
      <c r="C269" t="s">
        <v>1326</v>
      </c>
      <c r="D269">
        <v>1</v>
      </c>
      <c r="E269" t="s">
        <v>6</v>
      </c>
      <c r="F269" s="30" t="s">
        <v>886</v>
      </c>
      <c r="G269" s="31" t="s">
        <v>887</v>
      </c>
      <c r="H269" s="3">
        <f t="shared" si="17"/>
        <v>167896.875</v>
      </c>
      <c r="I269" s="3">
        <v>26863.5</v>
      </c>
      <c r="K269" s="2"/>
    </row>
    <row r="270" spans="1:11">
      <c r="A270" t="s">
        <v>1327</v>
      </c>
      <c r="B270" s="1">
        <v>41332</v>
      </c>
      <c r="C270" t="s">
        <v>1328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17"/>
        <v>330512.6875</v>
      </c>
      <c r="I270" s="3">
        <v>52882.03</v>
      </c>
      <c r="K270" s="2"/>
    </row>
    <row r="271" spans="1:11">
      <c r="A271" t="s">
        <v>1337</v>
      </c>
      <c r="B271" s="1">
        <v>41333</v>
      </c>
      <c r="C271" t="s">
        <v>1338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17"/>
        <v>286904.5625</v>
      </c>
      <c r="I271" s="3">
        <v>45904.73</v>
      </c>
      <c r="K271" s="2"/>
    </row>
    <row r="272" spans="1:11">
      <c r="A272" t="s">
        <v>1339</v>
      </c>
      <c r="B272" s="1">
        <v>41333</v>
      </c>
      <c r="C272" t="s">
        <v>1340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7"/>
        <v>330512.6875</v>
      </c>
      <c r="I272" s="3">
        <v>52882.03</v>
      </c>
      <c r="K272" s="2"/>
    </row>
    <row r="273" spans="1:12">
      <c r="A273" t="s">
        <v>1343</v>
      </c>
      <c r="B273" s="1">
        <v>41333</v>
      </c>
      <c r="C273" t="s">
        <v>1098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7"/>
        <v>-253943.3125</v>
      </c>
      <c r="I273" s="3">
        <v>-40630.93</v>
      </c>
      <c r="K273" s="2"/>
    </row>
    <row r="274" spans="1:12">
      <c r="A274" t="s">
        <v>1344</v>
      </c>
      <c r="B274" s="1">
        <v>41333</v>
      </c>
      <c r="C274" t="s">
        <v>1248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7"/>
        <v>-330512.6875</v>
      </c>
      <c r="I274" s="3">
        <v>-52882.03</v>
      </c>
      <c r="J274" s="2"/>
      <c r="K274" s="2"/>
    </row>
    <row r="275" spans="1:12">
      <c r="A275" t="s">
        <v>1345</v>
      </c>
      <c r="B275" s="1">
        <v>41333</v>
      </c>
      <c r="C275" t="s">
        <v>1346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7"/>
        <v>330512.6875</v>
      </c>
      <c r="I275" s="3">
        <v>52882.03</v>
      </c>
      <c r="K275" s="2"/>
    </row>
    <row r="276" spans="1:12">
      <c r="A276" t="s">
        <v>1351</v>
      </c>
      <c r="B276" s="1">
        <v>41333</v>
      </c>
      <c r="C276" t="s">
        <v>1352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7"/>
        <v>278297.4375</v>
      </c>
      <c r="I276" s="3">
        <v>44527.59</v>
      </c>
      <c r="K276" s="2"/>
    </row>
    <row r="277" spans="1:12">
      <c r="A277" t="s">
        <v>1353</v>
      </c>
      <c r="B277" s="1">
        <v>41333</v>
      </c>
      <c r="C277" t="s">
        <v>425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7"/>
        <v>-278297.4375</v>
      </c>
      <c r="I277" s="3">
        <v>-44527.59</v>
      </c>
      <c r="J277" s="2"/>
      <c r="K277" s="2"/>
    </row>
    <row r="278" spans="1:12">
      <c r="A278" t="s">
        <v>1365</v>
      </c>
      <c r="B278" s="1">
        <v>41333</v>
      </c>
      <c r="C278" t="s">
        <v>267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7"/>
        <v>-227940.375</v>
      </c>
      <c r="I278" s="3">
        <v>-36470.46</v>
      </c>
      <c r="J278" s="2"/>
      <c r="K278" s="2"/>
    </row>
    <row r="279" spans="1:12">
      <c r="A279" t="s">
        <v>1366</v>
      </c>
      <c r="B279" s="1">
        <v>41333</v>
      </c>
      <c r="C279" t="s">
        <v>1172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7"/>
        <v>-253943.3125</v>
      </c>
      <c r="I279" s="3">
        <v>-40630.93</v>
      </c>
      <c r="J279" s="2"/>
      <c r="K279" s="2"/>
    </row>
    <row r="280" spans="1:12">
      <c r="A280" t="s">
        <v>1367</v>
      </c>
      <c r="B280" s="1">
        <v>41333</v>
      </c>
      <c r="C280" t="s">
        <v>1368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7"/>
        <v>253943.3125</v>
      </c>
      <c r="I280" s="3">
        <v>40630.93</v>
      </c>
      <c r="K280" s="2"/>
    </row>
    <row r="281" spans="1:12">
      <c r="A281" t="s">
        <v>1372</v>
      </c>
      <c r="B281" s="1">
        <v>41333</v>
      </c>
      <c r="C281" t="s">
        <v>1373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7"/>
        <v>330512.6875</v>
      </c>
      <c r="I281" s="3">
        <v>52882.03</v>
      </c>
      <c r="K281" s="2"/>
    </row>
    <row r="282" spans="1:12">
      <c r="A282" t="s">
        <v>1377</v>
      </c>
      <c r="B282" s="1">
        <v>41333</v>
      </c>
      <c r="C282" t="s">
        <v>1378</v>
      </c>
      <c r="D282">
        <v>1</v>
      </c>
      <c r="E282" t="s">
        <v>6</v>
      </c>
      <c r="F282" s="30" t="s">
        <v>886</v>
      </c>
      <c r="G282" s="31" t="s">
        <v>887</v>
      </c>
      <c r="H282" s="3">
        <f t="shared" si="17"/>
        <v>220622.625</v>
      </c>
      <c r="I282" s="3">
        <v>35299.620000000003</v>
      </c>
      <c r="K282" s="2"/>
    </row>
    <row r="283" spans="1:12">
      <c r="A283" t="s">
        <v>378</v>
      </c>
      <c r="B283" s="1">
        <v>41333</v>
      </c>
      <c r="C283" t="s">
        <v>1385</v>
      </c>
      <c r="D283">
        <v>1</v>
      </c>
      <c r="E283" t="s">
        <v>6</v>
      </c>
      <c r="F283" s="30" t="s">
        <v>886</v>
      </c>
      <c r="G283" s="31" t="s">
        <v>887</v>
      </c>
      <c r="H283" s="3">
        <f t="shared" si="17"/>
        <v>277751.8125</v>
      </c>
      <c r="I283" s="3">
        <v>44440.29</v>
      </c>
      <c r="K283" s="2"/>
    </row>
    <row r="284" spans="1:12">
      <c r="A284" t="s">
        <v>1505</v>
      </c>
      <c r="B284" s="1">
        <v>41333</v>
      </c>
      <c r="C284" t="s">
        <v>1506</v>
      </c>
      <c r="D284">
        <v>1</v>
      </c>
      <c r="E284" t="s">
        <v>1507</v>
      </c>
      <c r="F284" s="33" t="s">
        <v>1639</v>
      </c>
      <c r="G284" s="33" t="s">
        <v>1640</v>
      </c>
      <c r="H284" s="3">
        <f t="shared" si="17"/>
        <v>78.4375</v>
      </c>
      <c r="I284" s="3">
        <v>12.55</v>
      </c>
      <c r="K284" s="2"/>
    </row>
    <row r="285" spans="1:12">
      <c r="A285" t="s">
        <v>1422</v>
      </c>
      <c r="B285" s="1">
        <v>41333</v>
      </c>
      <c r="C285" t="s">
        <v>1417</v>
      </c>
      <c r="D285">
        <v>1</v>
      </c>
      <c r="E285" t="s">
        <v>1423</v>
      </c>
      <c r="F285" t="s">
        <v>948</v>
      </c>
      <c r="G285" t="s">
        <v>947</v>
      </c>
      <c r="H285" s="46">
        <f t="shared" ref="H285:H308" si="18">I285/0.16</f>
        <v>140.875</v>
      </c>
      <c r="I285" s="46">
        <f>21.1+1.44</f>
        <v>22.540000000000003</v>
      </c>
      <c r="K285" s="2"/>
    </row>
    <row r="286" spans="1:12">
      <c r="A286" t="s">
        <v>1422</v>
      </c>
      <c r="B286" s="1">
        <v>41333</v>
      </c>
      <c r="C286" t="s">
        <v>1417</v>
      </c>
      <c r="D286">
        <v>1</v>
      </c>
      <c r="E286" t="s">
        <v>1423</v>
      </c>
      <c r="F286" s="33" t="s">
        <v>941</v>
      </c>
      <c r="G286" s="33" t="s">
        <v>1641</v>
      </c>
      <c r="H286" s="46">
        <f t="shared" si="18"/>
        <v>66.6875</v>
      </c>
      <c r="I286" s="46">
        <v>10.67</v>
      </c>
      <c r="K286" s="2"/>
    </row>
    <row r="287" spans="1:12">
      <c r="A287" t="s">
        <v>1422</v>
      </c>
      <c r="B287" s="1">
        <v>41333</v>
      </c>
      <c r="C287" t="s">
        <v>1417</v>
      </c>
      <c r="D287">
        <v>1</v>
      </c>
      <c r="E287" t="s">
        <v>1423</v>
      </c>
      <c r="F287" s="28" t="s">
        <v>925</v>
      </c>
      <c r="G287" s="28" t="s">
        <v>926</v>
      </c>
      <c r="H287" s="47">
        <f t="shared" si="18"/>
        <v>273.125</v>
      </c>
      <c r="I287" s="47">
        <v>43.7</v>
      </c>
      <c r="J287" s="14">
        <f>480.69-H285-H286-H287</f>
        <v>2.4999999999977263E-3</v>
      </c>
      <c r="K287" s="2">
        <f>76.91-I285-I286-I287</f>
        <v>0</v>
      </c>
      <c r="L287" t="s">
        <v>900</v>
      </c>
    </row>
    <row r="288" spans="1:12">
      <c r="A288" t="s">
        <v>447</v>
      </c>
      <c r="B288" s="1">
        <v>41333</v>
      </c>
      <c r="C288" t="s">
        <v>1522</v>
      </c>
      <c r="D288">
        <v>1</v>
      </c>
      <c r="E288" t="s">
        <v>1523</v>
      </c>
      <c r="F288" t="s">
        <v>948</v>
      </c>
      <c r="G288" t="s">
        <v>1581</v>
      </c>
      <c r="H288" s="46">
        <f t="shared" si="18"/>
        <v>347.43749999999994</v>
      </c>
      <c r="I288" s="46">
        <f>53.8+1.79</f>
        <v>55.589999999999996</v>
      </c>
      <c r="K288" s="2"/>
    </row>
    <row r="289" spans="1:12">
      <c r="A289" t="s">
        <v>447</v>
      </c>
      <c r="B289" s="1">
        <v>41333</v>
      </c>
      <c r="C289" t="s">
        <v>1522</v>
      </c>
      <c r="D289">
        <v>1</v>
      </c>
      <c r="E289" t="s">
        <v>1523</v>
      </c>
      <c r="F289" t="s">
        <v>948</v>
      </c>
      <c r="G289" t="s">
        <v>1581</v>
      </c>
      <c r="H289" s="46">
        <f t="shared" si="18"/>
        <v>56.0625</v>
      </c>
      <c r="I289" s="46">
        <v>8.9700000000000006</v>
      </c>
      <c r="K289" s="2"/>
    </row>
    <row r="290" spans="1:12">
      <c r="A290" t="s">
        <v>447</v>
      </c>
      <c r="B290" s="1">
        <v>41333</v>
      </c>
      <c r="C290" t="s">
        <v>1522</v>
      </c>
      <c r="D290">
        <v>1</v>
      </c>
      <c r="E290" t="s">
        <v>1523</v>
      </c>
      <c r="F290" s="33" t="s">
        <v>1642</v>
      </c>
      <c r="G290" s="33" t="s">
        <v>1643</v>
      </c>
      <c r="H290" s="46">
        <f t="shared" si="18"/>
        <v>60</v>
      </c>
      <c r="I290" s="46">
        <v>9.6</v>
      </c>
      <c r="K290" s="2"/>
    </row>
    <row r="291" spans="1:12">
      <c r="A291" t="s">
        <v>447</v>
      </c>
      <c r="B291" s="1">
        <v>41333</v>
      </c>
      <c r="C291" t="s">
        <v>1522</v>
      </c>
      <c r="D291">
        <v>1</v>
      </c>
      <c r="E291" t="s">
        <v>1523</v>
      </c>
      <c r="F291" s="33" t="s">
        <v>1644</v>
      </c>
      <c r="G291" s="33" t="s">
        <v>1645</v>
      </c>
      <c r="H291" s="46">
        <f t="shared" si="18"/>
        <v>333.5625</v>
      </c>
      <c r="I291" s="46">
        <v>53.37</v>
      </c>
      <c r="J291" s="14">
        <f>797.06-H288-H289-H290-H291</f>
        <v>-2.4999999999977263E-3</v>
      </c>
      <c r="K291" s="2">
        <f>127.53-I288-I289-I290-I2973-I291</f>
        <v>0</v>
      </c>
      <c r="L291" t="s">
        <v>900</v>
      </c>
    </row>
    <row r="292" spans="1:12">
      <c r="A292" t="s">
        <v>1547</v>
      </c>
      <c r="B292" s="1">
        <v>41333</v>
      </c>
      <c r="C292" t="s">
        <v>1548</v>
      </c>
      <c r="D292">
        <v>1</v>
      </c>
      <c r="E292" t="s">
        <v>1549</v>
      </c>
      <c r="F292" t="s">
        <v>948</v>
      </c>
      <c r="G292" t="s">
        <v>1581</v>
      </c>
      <c r="H292" s="3">
        <f t="shared" si="18"/>
        <v>244.6875</v>
      </c>
      <c r="I292" s="46">
        <f>37.12+2.03</f>
        <v>39.15</v>
      </c>
      <c r="J292" s="14"/>
      <c r="K292" s="2"/>
    </row>
    <row r="293" spans="1:12">
      <c r="A293" t="s">
        <v>1547</v>
      </c>
      <c r="B293" s="1">
        <v>41333</v>
      </c>
      <c r="C293" t="s">
        <v>1548</v>
      </c>
      <c r="D293">
        <v>1</v>
      </c>
      <c r="E293" t="s">
        <v>1549</v>
      </c>
      <c r="F293" s="28" t="s">
        <v>1647</v>
      </c>
      <c r="G293" s="28" t="s">
        <v>1648</v>
      </c>
      <c r="H293" s="47">
        <f t="shared" si="18"/>
        <v>250.12500000000003</v>
      </c>
      <c r="I293" s="47">
        <v>40.020000000000003</v>
      </c>
      <c r="J293" s="14">
        <f>494.81-H292-H293</f>
        <v>-2.500000000026148E-3</v>
      </c>
      <c r="K293" s="2">
        <f>79.17-I292-I293</f>
        <v>0</v>
      </c>
      <c r="L293" t="s">
        <v>900</v>
      </c>
    </row>
    <row r="294" spans="1:12">
      <c r="A294" t="s">
        <v>1544</v>
      </c>
      <c r="B294" s="1">
        <v>41333</v>
      </c>
      <c r="C294" t="s">
        <v>1545</v>
      </c>
      <c r="D294">
        <v>1</v>
      </c>
      <c r="E294" t="s">
        <v>1546</v>
      </c>
      <c r="F294" t="s">
        <v>948</v>
      </c>
      <c r="G294" t="s">
        <v>1581</v>
      </c>
      <c r="H294" s="3">
        <f t="shared" si="18"/>
        <v>398.75</v>
      </c>
      <c r="I294" s="46">
        <f>62.08+1.72</f>
        <v>63.8</v>
      </c>
      <c r="K294" s="2"/>
    </row>
    <row r="295" spans="1:12">
      <c r="A295" t="s">
        <v>1544</v>
      </c>
      <c r="B295" s="1">
        <v>41333</v>
      </c>
      <c r="C295" t="s">
        <v>1545</v>
      </c>
      <c r="D295">
        <v>1</v>
      </c>
      <c r="E295" t="s">
        <v>1546</v>
      </c>
      <c r="F295" s="33" t="s">
        <v>1649</v>
      </c>
      <c r="G295" s="33" t="s">
        <v>1650</v>
      </c>
      <c r="H295" s="46">
        <f t="shared" si="18"/>
        <v>73.25</v>
      </c>
      <c r="I295" s="46">
        <v>11.72</v>
      </c>
      <c r="K295" s="2"/>
    </row>
    <row r="296" spans="1:12">
      <c r="A296" t="s">
        <v>1544</v>
      </c>
      <c r="B296" s="1">
        <v>41333</v>
      </c>
      <c r="C296" t="s">
        <v>1545</v>
      </c>
      <c r="D296">
        <v>1</v>
      </c>
      <c r="E296" t="s">
        <v>1546</v>
      </c>
      <c r="F296" s="28" t="s">
        <v>1651</v>
      </c>
      <c r="G296" s="28" t="s">
        <v>1652</v>
      </c>
      <c r="H296" s="47">
        <f t="shared" si="18"/>
        <v>316.8125</v>
      </c>
      <c r="I296" s="47">
        <v>50.69</v>
      </c>
      <c r="J296" s="14">
        <f>788.81-H294-H295-H296</f>
        <v>-2.5000000000545697E-3</v>
      </c>
      <c r="K296" s="2">
        <f>126.21-I294-I295-I296</f>
        <v>0</v>
      </c>
      <c r="L296" t="s">
        <v>900</v>
      </c>
    </row>
    <row r="297" spans="1:12">
      <c r="A297" t="s">
        <v>1535</v>
      </c>
      <c r="B297" s="1">
        <v>41333</v>
      </c>
      <c r="C297" t="s">
        <v>1536</v>
      </c>
      <c r="D297">
        <v>1</v>
      </c>
      <c r="E297" t="s">
        <v>1537</v>
      </c>
      <c r="F297" t="s">
        <v>948</v>
      </c>
      <c r="G297" t="s">
        <v>947</v>
      </c>
      <c r="H297" s="46">
        <f t="shared" si="18"/>
        <v>651.3125</v>
      </c>
      <c r="I297" s="46">
        <f>95.89+8.32</f>
        <v>104.21000000000001</v>
      </c>
      <c r="K297" s="2"/>
    </row>
    <row r="298" spans="1:12">
      <c r="A298" t="s">
        <v>1535</v>
      </c>
      <c r="B298" s="1">
        <v>41333</v>
      </c>
      <c r="C298" t="s">
        <v>1536</v>
      </c>
      <c r="D298">
        <v>1</v>
      </c>
      <c r="E298" t="s">
        <v>1537</v>
      </c>
      <c r="F298" s="28" t="s">
        <v>1653</v>
      </c>
      <c r="G298" s="28" t="s">
        <v>1654</v>
      </c>
      <c r="H298" s="47">
        <f t="shared" si="18"/>
        <v>681.9375</v>
      </c>
      <c r="I298" s="47">
        <v>109.11</v>
      </c>
      <c r="K298" s="2"/>
    </row>
    <row r="299" spans="1:12">
      <c r="A299" t="s">
        <v>1535</v>
      </c>
      <c r="B299" s="1">
        <v>41333</v>
      </c>
      <c r="C299" t="s">
        <v>1536</v>
      </c>
      <c r="D299">
        <v>1</v>
      </c>
      <c r="E299" t="s">
        <v>1537</v>
      </c>
      <c r="F299" s="28" t="s">
        <v>1655</v>
      </c>
      <c r="G299" s="28" t="s">
        <v>1656</v>
      </c>
      <c r="H299" s="47">
        <f t="shared" si="18"/>
        <v>682.75</v>
      </c>
      <c r="I299" s="47">
        <v>109.24</v>
      </c>
      <c r="K299" s="2"/>
    </row>
    <row r="300" spans="1:12">
      <c r="A300" t="s">
        <v>1535</v>
      </c>
      <c r="B300" s="1">
        <v>41333</v>
      </c>
      <c r="C300" t="s">
        <v>1536</v>
      </c>
      <c r="D300">
        <v>1</v>
      </c>
      <c r="E300" t="s">
        <v>1537</v>
      </c>
      <c r="F300" s="28" t="s">
        <v>923</v>
      </c>
      <c r="G300" s="28" t="s">
        <v>1657</v>
      </c>
      <c r="H300" s="47">
        <f t="shared" si="18"/>
        <v>166.75</v>
      </c>
      <c r="I300" s="47">
        <v>26.68</v>
      </c>
      <c r="K300" s="2"/>
    </row>
    <row r="301" spans="1:12">
      <c r="A301" t="s">
        <v>1535</v>
      </c>
      <c r="B301" s="1">
        <v>41333</v>
      </c>
      <c r="C301" t="s">
        <v>1536</v>
      </c>
      <c r="D301">
        <v>1</v>
      </c>
      <c r="E301" t="s">
        <v>1537</v>
      </c>
      <c r="F301" s="33" t="s">
        <v>1658</v>
      </c>
      <c r="G301" s="33" t="s">
        <v>1659</v>
      </c>
      <c r="H301" s="46">
        <f t="shared" si="18"/>
        <v>129.3125</v>
      </c>
      <c r="I301" s="46">
        <v>20.69</v>
      </c>
      <c r="J301" s="14">
        <f>2312.06-H297-H298-H299-H300-H301</f>
        <v>-2.5000000000545697E-3</v>
      </c>
      <c r="K301" s="2">
        <f>369.93-I297-I298-I299-I300-I301</f>
        <v>0</v>
      </c>
      <c r="L301" t="s">
        <v>900</v>
      </c>
    </row>
    <row r="302" spans="1:12">
      <c r="A302" t="s">
        <v>453</v>
      </c>
      <c r="B302" s="1">
        <v>41333</v>
      </c>
      <c r="C302" t="s">
        <v>1533</v>
      </c>
      <c r="D302">
        <v>1</v>
      </c>
      <c r="E302" t="s">
        <v>1534</v>
      </c>
      <c r="F302" t="s">
        <v>948</v>
      </c>
      <c r="G302" t="s">
        <v>947</v>
      </c>
      <c r="H302" s="3">
        <f t="shared" si="18"/>
        <v>215.625</v>
      </c>
      <c r="I302" s="46">
        <f>29.11+5.39</f>
        <v>34.5</v>
      </c>
      <c r="K302" s="2"/>
    </row>
    <row r="303" spans="1:12">
      <c r="A303" t="s">
        <v>453</v>
      </c>
      <c r="B303" s="1">
        <v>41333</v>
      </c>
      <c r="C303" t="s">
        <v>1533</v>
      </c>
      <c r="D303">
        <v>1</v>
      </c>
      <c r="E303" t="s">
        <v>1534</v>
      </c>
      <c r="F303" t="s">
        <v>948</v>
      </c>
      <c r="G303" t="s">
        <v>947</v>
      </c>
      <c r="H303" s="3">
        <f t="shared" si="18"/>
        <v>477.68750000000006</v>
      </c>
      <c r="I303" s="46">
        <v>76.430000000000007</v>
      </c>
      <c r="K303" s="2"/>
    </row>
    <row r="304" spans="1:12">
      <c r="A304" t="s">
        <v>453</v>
      </c>
      <c r="B304" s="1">
        <v>41333</v>
      </c>
      <c r="C304" t="s">
        <v>1533</v>
      </c>
      <c r="D304">
        <v>1</v>
      </c>
      <c r="E304" t="s">
        <v>1534</v>
      </c>
      <c r="F304" s="28" t="s">
        <v>939</v>
      </c>
      <c r="G304" s="28" t="s">
        <v>940</v>
      </c>
      <c r="H304" s="47">
        <f t="shared" si="18"/>
        <v>333.4375</v>
      </c>
      <c r="I304" s="47">
        <v>53.35</v>
      </c>
      <c r="K304" s="2"/>
    </row>
    <row r="305" spans="1:12">
      <c r="A305" t="s">
        <v>453</v>
      </c>
      <c r="B305" s="1">
        <v>41333</v>
      </c>
      <c r="C305" t="s">
        <v>1533</v>
      </c>
      <c r="D305">
        <v>1</v>
      </c>
      <c r="E305" t="s">
        <v>1534</v>
      </c>
      <c r="F305" s="33" t="s">
        <v>1582</v>
      </c>
      <c r="G305" s="33" t="s">
        <v>1583</v>
      </c>
      <c r="H305" s="46">
        <f t="shared" si="18"/>
        <v>73.3125</v>
      </c>
      <c r="I305" s="46">
        <v>11.73</v>
      </c>
      <c r="K305" s="2"/>
    </row>
    <row r="306" spans="1:12">
      <c r="A306" t="s">
        <v>453</v>
      </c>
      <c r="B306" s="1">
        <v>41333</v>
      </c>
      <c r="C306" t="s">
        <v>1533</v>
      </c>
      <c r="D306">
        <v>1</v>
      </c>
      <c r="E306" t="s">
        <v>1534</v>
      </c>
      <c r="F306" s="28" t="s">
        <v>913</v>
      </c>
      <c r="G306" s="28" t="s">
        <v>1661</v>
      </c>
      <c r="H306" s="47">
        <f t="shared" si="18"/>
        <v>658.5625</v>
      </c>
      <c r="I306" s="47">
        <v>105.37</v>
      </c>
      <c r="J306" s="14">
        <f>1758.63-H302-H303-H304-H305-H306</f>
        <v>5.0000000001091394E-3</v>
      </c>
      <c r="K306" s="2">
        <f>281.38-I302-I303-I304-I305-I306</f>
        <v>0</v>
      </c>
      <c r="L306" t="s">
        <v>900</v>
      </c>
    </row>
    <row r="307" spans="1:12">
      <c r="A307" t="s">
        <v>1434</v>
      </c>
      <c r="B307" s="1">
        <v>41333</v>
      </c>
      <c r="C307" t="s">
        <v>1417</v>
      </c>
      <c r="D307">
        <v>1</v>
      </c>
      <c r="E307" t="s">
        <v>1435</v>
      </c>
      <c r="F307" t="s">
        <v>948</v>
      </c>
      <c r="G307" t="s">
        <v>947</v>
      </c>
      <c r="H307" s="46">
        <f t="shared" si="18"/>
        <v>451.12499999999994</v>
      </c>
      <c r="I307" s="46">
        <f>62.08+10.1</f>
        <v>72.179999999999993</v>
      </c>
      <c r="K307" s="2"/>
    </row>
    <row r="308" spans="1:12">
      <c r="A308" t="s">
        <v>1434</v>
      </c>
      <c r="B308" s="1">
        <v>41333</v>
      </c>
      <c r="C308" t="s">
        <v>1417</v>
      </c>
      <c r="D308">
        <v>1</v>
      </c>
      <c r="E308" t="s">
        <v>1435</v>
      </c>
      <c r="F308" s="33" t="s">
        <v>1662</v>
      </c>
      <c r="G308" s="33" t="s">
        <v>1663</v>
      </c>
      <c r="H308" s="46">
        <f t="shared" si="18"/>
        <v>312.5</v>
      </c>
      <c r="I308" s="46">
        <v>50</v>
      </c>
      <c r="J308" s="14">
        <f>763.63-H307-H308</f>
        <v>5.0000000000522959E-3</v>
      </c>
      <c r="K308" s="2">
        <f>122.18-I307-I308</f>
        <v>0</v>
      </c>
      <c r="L308" t="s">
        <v>900</v>
      </c>
    </row>
    <row r="309" spans="1:12">
      <c r="A309" t="s">
        <v>1530</v>
      </c>
      <c r="B309" s="1">
        <v>41333</v>
      </c>
      <c r="C309" t="s">
        <v>1531</v>
      </c>
      <c r="D309">
        <v>1</v>
      </c>
      <c r="E309" t="s">
        <v>1532</v>
      </c>
      <c r="F309" t="s">
        <v>948</v>
      </c>
      <c r="G309" t="s">
        <v>947</v>
      </c>
      <c r="H309" s="46">
        <f>+I309/0.16</f>
        <v>133.5</v>
      </c>
      <c r="I309" s="46">
        <f>19.32+2.04</f>
        <v>21.36</v>
      </c>
      <c r="K309" s="2"/>
    </row>
    <row r="310" spans="1:12">
      <c r="A310" t="s">
        <v>1530</v>
      </c>
      <c r="B310" s="1">
        <v>41333</v>
      </c>
      <c r="C310" t="s">
        <v>1531</v>
      </c>
      <c r="D310">
        <v>1</v>
      </c>
      <c r="E310" t="s">
        <v>1532</v>
      </c>
      <c r="F310" s="33" t="s">
        <v>1664</v>
      </c>
      <c r="G310" s="33" t="s">
        <v>1665</v>
      </c>
      <c r="H310" s="46">
        <f>+I310/0.16</f>
        <v>375.125</v>
      </c>
      <c r="I310" s="46">
        <v>60.02</v>
      </c>
      <c r="J310" s="14">
        <f>508.63-H309-H310</f>
        <v>4.9999999999954525E-3</v>
      </c>
      <c r="K310" s="2">
        <f>81.38-I309-I310</f>
        <v>0</v>
      </c>
      <c r="L310" t="s">
        <v>900</v>
      </c>
    </row>
    <row r="311" spans="1:12">
      <c r="A311" t="s">
        <v>1438</v>
      </c>
      <c r="B311" s="1">
        <v>41333</v>
      </c>
      <c r="C311" t="s">
        <v>1417</v>
      </c>
      <c r="D311">
        <v>1</v>
      </c>
      <c r="E311" t="s">
        <v>1439</v>
      </c>
      <c r="F311" t="s">
        <v>948</v>
      </c>
      <c r="G311" t="s">
        <v>947</v>
      </c>
      <c r="H311" s="46">
        <f t="shared" ref="H311:H353" si="19">I311/0.16</f>
        <v>134.875</v>
      </c>
      <c r="I311" s="46">
        <f>19.32+2.26</f>
        <v>21.58</v>
      </c>
      <c r="K311" s="2"/>
    </row>
    <row r="312" spans="1:12">
      <c r="A312" t="s">
        <v>1438</v>
      </c>
      <c r="B312" s="1">
        <v>41333</v>
      </c>
      <c r="C312" t="s">
        <v>1417</v>
      </c>
      <c r="D312">
        <v>1</v>
      </c>
      <c r="E312" t="s">
        <v>1439</v>
      </c>
      <c r="F312" s="33" t="s">
        <v>1649</v>
      </c>
      <c r="G312" s="33" t="s">
        <v>1666</v>
      </c>
      <c r="H312" s="46">
        <f t="shared" si="19"/>
        <v>89.6875</v>
      </c>
      <c r="I312" s="46">
        <v>14.35</v>
      </c>
      <c r="K312" s="2"/>
    </row>
    <row r="313" spans="1:12">
      <c r="A313" t="s">
        <v>1438</v>
      </c>
      <c r="B313" s="1">
        <v>41333</v>
      </c>
      <c r="C313" t="s">
        <v>1417</v>
      </c>
      <c r="D313">
        <v>1</v>
      </c>
      <c r="E313" t="s">
        <v>1439</v>
      </c>
      <c r="F313" s="28" t="s">
        <v>1667</v>
      </c>
      <c r="G313" s="28" t="s">
        <v>1668</v>
      </c>
      <c r="H313" s="47">
        <f t="shared" si="19"/>
        <v>41.6875</v>
      </c>
      <c r="I313" s="47">
        <v>6.67</v>
      </c>
      <c r="K313" s="2"/>
    </row>
    <row r="314" spans="1:12">
      <c r="A314" t="s">
        <v>1438</v>
      </c>
      <c r="B314" s="1">
        <v>41333</v>
      </c>
      <c r="C314" t="s">
        <v>1417</v>
      </c>
      <c r="D314">
        <v>1</v>
      </c>
      <c r="E314" t="s">
        <v>1439</v>
      </c>
      <c r="F314" s="28" t="s">
        <v>1667</v>
      </c>
      <c r="G314" s="28" t="s">
        <v>1668</v>
      </c>
      <c r="H314" s="47">
        <f t="shared" si="19"/>
        <v>41.6875</v>
      </c>
      <c r="I314" s="47">
        <v>6.67</v>
      </c>
      <c r="K314" s="2"/>
    </row>
    <row r="315" spans="1:12">
      <c r="A315" t="s">
        <v>1438</v>
      </c>
      <c r="B315" s="1">
        <v>41333</v>
      </c>
      <c r="C315" t="s">
        <v>1417</v>
      </c>
      <c r="D315">
        <v>1</v>
      </c>
      <c r="E315" t="s">
        <v>1439</v>
      </c>
      <c r="F315" s="28" t="s">
        <v>1669</v>
      </c>
      <c r="G315" s="28" t="s">
        <v>1670</v>
      </c>
      <c r="H315" s="47">
        <f t="shared" si="19"/>
        <v>333.4375</v>
      </c>
      <c r="I315" s="47">
        <v>53.35</v>
      </c>
      <c r="J315" s="14">
        <f>641.38-H311-H312-H313-H314-H315</f>
        <v>4.9999999999954525E-3</v>
      </c>
      <c r="K315" s="2">
        <f>102.62-I311-I312-I313-I314-I315</f>
        <v>0</v>
      </c>
      <c r="L315" t="s">
        <v>900</v>
      </c>
    </row>
    <row r="316" spans="1:12">
      <c r="A316" t="s">
        <v>1538</v>
      </c>
      <c r="B316" s="1">
        <v>41333</v>
      </c>
      <c r="C316" t="s">
        <v>1539</v>
      </c>
      <c r="D316">
        <v>1</v>
      </c>
      <c r="E316" t="s">
        <v>1540</v>
      </c>
      <c r="F316" t="s">
        <v>948</v>
      </c>
      <c r="G316" s="33" t="s">
        <v>947</v>
      </c>
      <c r="H316" s="46">
        <f t="shared" si="19"/>
        <v>252.5</v>
      </c>
      <c r="I316" s="46">
        <f>39.05+1.35</f>
        <v>40.4</v>
      </c>
      <c r="K316" s="2"/>
    </row>
    <row r="317" spans="1:12">
      <c r="A317" t="s">
        <v>1538</v>
      </c>
      <c r="B317" s="1">
        <v>41333</v>
      </c>
      <c r="C317" t="s">
        <v>1539</v>
      </c>
      <c r="D317">
        <v>1</v>
      </c>
      <c r="E317" t="s">
        <v>1540</v>
      </c>
      <c r="F317" s="33" t="s">
        <v>1671</v>
      </c>
      <c r="G317" s="33" t="s">
        <v>1672</v>
      </c>
      <c r="H317" s="46">
        <f t="shared" si="19"/>
        <v>250.12500000000003</v>
      </c>
      <c r="I317" s="46">
        <v>40.020000000000003</v>
      </c>
      <c r="K317" s="2"/>
    </row>
    <row r="318" spans="1:12">
      <c r="A318" t="s">
        <v>1538</v>
      </c>
      <c r="B318" s="1">
        <v>41333</v>
      </c>
      <c r="C318" t="s">
        <v>1539</v>
      </c>
      <c r="D318">
        <v>1</v>
      </c>
      <c r="E318" t="s">
        <v>1540</v>
      </c>
      <c r="F318" s="33" t="s">
        <v>941</v>
      </c>
      <c r="G318" s="33" t="s">
        <v>1641</v>
      </c>
      <c r="H318" s="46">
        <f t="shared" si="19"/>
        <v>73.25</v>
      </c>
      <c r="I318" s="46">
        <v>11.72</v>
      </c>
      <c r="J318" s="14">
        <f>575.88-H316-H317-H318</f>
        <v>4.9999999999670308E-3</v>
      </c>
      <c r="K318" s="2">
        <f>92.14-I316-I317-I318</f>
        <v>0</v>
      </c>
      <c r="L318" t="s">
        <v>900</v>
      </c>
    </row>
    <row r="319" spans="1:12">
      <c r="A319" t="s">
        <v>1550</v>
      </c>
      <c r="B319" s="1">
        <v>41333</v>
      </c>
      <c r="C319" t="s">
        <v>1551</v>
      </c>
      <c r="D319">
        <v>1</v>
      </c>
      <c r="E319" t="s">
        <v>1552</v>
      </c>
      <c r="F319" t="s">
        <v>948</v>
      </c>
      <c r="G319" s="33" t="s">
        <v>947</v>
      </c>
      <c r="H319" s="46">
        <f t="shared" si="19"/>
        <v>695.375</v>
      </c>
      <c r="I319" s="56">
        <f>105.54+5.72</f>
        <v>111.26</v>
      </c>
      <c r="K319" s="2"/>
    </row>
    <row r="320" spans="1:12">
      <c r="A320" t="s">
        <v>1550</v>
      </c>
      <c r="B320" s="1">
        <v>41333</v>
      </c>
      <c r="C320" t="s">
        <v>1551</v>
      </c>
      <c r="D320">
        <v>1</v>
      </c>
      <c r="E320" t="s">
        <v>1552</v>
      </c>
      <c r="F320" s="28" t="s">
        <v>939</v>
      </c>
      <c r="G320" s="28" t="s">
        <v>940</v>
      </c>
      <c r="H320" s="47">
        <f t="shared" si="19"/>
        <v>291.875</v>
      </c>
      <c r="I320" s="57">
        <v>46.7</v>
      </c>
      <c r="K320" s="2"/>
    </row>
    <row r="321" spans="1:12">
      <c r="A321" t="s">
        <v>1550</v>
      </c>
      <c r="B321" s="1">
        <v>41333</v>
      </c>
      <c r="C321" t="s">
        <v>1551</v>
      </c>
      <c r="D321">
        <v>1</v>
      </c>
      <c r="E321" t="s">
        <v>1552</v>
      </c>
      <c r="F321" s="33" t="s">
        <v>1674</v>
      </c>
      <c r="G321" s="33" t="s">
        <v>1675</v>
      </c>
      <c r="H321" s="46">
        <f t="shared" si="19"/>
        <v>81.9375</v>
      </c>
      <c r="I321" s="56">
        <v>13.11</v>
      </c>
      <c r="K321" s="2"/>
    </row>
    <row r="322" spans="1:12">
      <c r="A322" t="s">
        <v>1550</v>
      </c>
      <c r="B322" s="1">
        <v>41333</v>
      </c>
      <c r="C322" t="s">
        <v>1551</v>
      </c>
      <c r="D322">
        <v>1</v>
      </c>
      <c r="E322" t="s">
        <v>1552</v>
      </c>
      <c r="F322" s="28" t="s">
        <v>913</v>
      </c>
      <c r="G322" s="28" t="s">
        <v>914</v>
      </c>
      <c r="H322" s="47">
        <f t="shared" si="19"/>
        <v>772.6875</v>
      </c>
      <c r="I322" s="57">
        <v>123.63</v>
      </c>
      <c r="J322" s="14">
        <f>1841.88-H319-H320-H321-H322</f>
        <v>5.0000000001091394E-3</v>
      </c>
      <c r="K322" s="2">
        <f>294.7-I319-I320-I321-I322</f>
        <v>0</v>
      </c>
      <c r="L322" t="s">
        <v>900</v>
      </c>
    </row>
    <row r="323" spans="1:12">
      <c r="A323" t="s">
        <v>1432</v>
      </c>
      <c r="B323" s="1">
        <v>41333</v>
      </c>
      <c r="C323" t="s">
        <v>1417</v>
      </c>
      <c r="D323">
        <v>1</v>
      </c>
      <c r="E323" t="s">
        <v>1433</v>
      </c>
      <c r="F323" t="s">
        <v>948</v>
      </c>
      <c r="G323" t="s">
        <v>947</v>
      </c>
      <c r="H323" s="46">
        <f t="shared" si="19"/>
        <v>346</v>
      </c>
      <c r="I323" s="46">
        <f>53.11+2.25</f>
        <v>55.36</v>
      </c>
      <c r="K323" s="2"/>
    </row>
    <row r="324" spans="1:12">
      <c r="A324" t="s">
        <v>1432</v>
      </c>
      <c r="B324" s="1">
        <v>41333</v>
      </c>
      <c r="C324" t="s">
        <v>1417</v>
      </c>
      <c r="D324">
        <v>1</v>
      </c>
      <c r="E324" t="s">
        <v>1433</v>
      </c>
      <c r="F324" s="28" t="s">
        <v>1676</v>
      </c>
      <c r="G324" s="28" t="s">
        <v>1677</v>
      </c>
      <c r="H324" s="47">
        <f t="shared" si="19"/>
        <v>417</v>
      </c>
      <c r="I324" s="47">
        <v>66.72</v>
      </c>
      <c r="J324" s="14">
        <f>763-H323-H324</f>
        <v>0</v>
      </c>
      <c r="K324" s="2">
        <f>122.08-I323-I324</f>
        <v>0</v>
      </c>
      <c r="L324" t="s">
        <v>900</v>
      </c>
    </row>
    <row r="325" spans="1:12">
      <c r="A325" t="s">
        <v>1553</v>
      </c>
      <c r="B325" s="1">
        <v>41333</v>
      </c>
      <c r="C325" t="s">
        <v>1554</v>
      </c>
      <c r="D325">
        <v>1</v>
      </c>
      <c r="E325" t="s">
        <v>1555</v>
      </c>
      <c r="F325" t="s">
        <v>948</v>
      </c>
      <c r="G325" s="33" t="s">
        <v>947</v>
      </c>
      <c r="H325" s="46">
        <f t="shared" si="19"/>
        <v>694</v>
      </c>
      <c r="I325" s="46">
        <f>105.54+5.5</f>
        <v>111.04</v>
      </c>
      <c r="K325" s="2"/>
    </row>
    <row r="326" spans="1:12">
      <c r="A326" t="s">
        <v>1553</v>
      </c>
      <c r="B326" s="1">
        <v>41333</v>
      </c>
      <c r="C326" t="s">
        <v>1554</v>
      </c>
      <c r="D326">
        <v>1</v>
      </c>
      <c r="E326" t="s">
        <v>1555</v>
      </c>
      <c r="F326" s="28" t="s">
        <v>939</v>
      </c>
      <c r="G326" s="28" t="s">
        <v>940</v>
      </c>
      <c r="H326" s="47">
        <f t="shared" si="19"/>
        <v>333.5625</v>
      </c>
      <c r="I326" s="47">
        <v>53.37</v>
      </c>
      <c r="K326" s="2"/>
    </row>
    <row r="327" spans="1:12">
      <c r="A327" t="s">
        <v>1553</v>
      </c>
      <c r="B327" s="1">
        <v>41333</v>
      </c>
      <c r="C327" t="s">
        <v>1554</v>
      </c>
      <c r="D327">
        <v>1</v>
      </c>
      <c r="E327" t="s">
        <v>1555</v>
      </c>
      <c r="F327" s="33" t="s">
        <v>1674</v>
      </c>
      <c r="G327" s="33" t="s">
        <v>1675</v>
      </c>
      <c r="H327" s="46">
        <f t="shared" si="19"/>
        <v>81.9375</v>
      </c>
      <c r="I327" s="46">
        <v>13.11</v>
      </c>
      <c r="K327" s="2"/>
    </row>
    <row r="328" spans="1:12">
      <c r="A328" t="s">
        <v>1553</v>
      </c>
      <c r="B328" s="1">
        <v>41333</v>
      </c>
      <c r="C328" t="s">
        <v>1554</v>
      </c>
      <c r="D328">
        <v>1</v>
      </c>
      <c r="E328" t="s">
        <v>1555</v>
      </c>
      <c r="F328" s="28" t="s">
        <v>913</v>
      </c>
      <c r="G328" s="28" t="s">
        <v>914</v>
      </c>
      <c r="H328" s="47">
        <f t="shared" si="19"/>
        <v>689.875</v>
      </c>
      <c r="I328" s="47">
        <v>110.38</v>
      </c>
      <c r="J328" s="14">
        <f>1799.38-H325-H326-H327-H328</f>
        <v>5.0000000001091394E-3</v>
      </c>
      <c r="K328" s="2">
        <f>287.9-I325-I326-I327-I328</f>
        <v>0</v>
      </c>
      <c r="L328" t="s">
        <v>900</v>
      </c>
    </row>
    <row r="329" spans="1:12">
      <c r="A329" t="s">
        <v>1436</v>
      </c>
      <c r="B329" s="1">
        <v>41333</v>
      </c>
      <c r="C329" t="s">
        <v>1417</v>
      </c>
      <c r="D329">
        <v>1</v>
      </c>
      <c r="E329" t="s">
        <v>1437</v>
      </c>
      <c r="F329" t="s">
        <v>948</v>
      </c>
      <c r="G329" t="s">
        <v>947</v>
      </c>
      <c r="H329" s="46">
        <f t="shared" si="19"/>
        <v>346.0625</v>
      </c>
      <c r="I329" s="46">
        <f>53.8+1.57</f>
        <v>55.37</v>
      </c>
      <c r="K329" s="2"/>
    </row>
    <row r="330" spans="1:12">
      <c r="A330" t="s">
        <v>1436</v>
      </c>
      <c r="B330" s="1">
        <v>41333</v>
      </c>
      <c r="C330" t="s">
        <v>1417</v>
      </c>
      <c r="D330">
        <v>1</v>
      </c>
      <c r="E330" t="s">
        <v>1437</v>
      </c>
      <c r="F330" s="33" t="s">
        <v>1642</v>
      </c>
      <c r="G330" s="33" t="s">
        <v>1643</v>
      </c>
      <c r="H330" s="46">
        <f t="shared" si="19"/>
        <v>60</v>
      </c>
      <c r="I330" s="46">
        <v>9.6</v>
      </c>
      <c r="K330" s="2"/>
    </row>
    <row r="331" spans="1:12">
      <c r="A331" t="s">
        <v>1436</v>
      </c>
      <c r="B331" s="1">
        <v>41333</v>
      </c>
      <c r="C331" t="s">
        <v>1417</v>
      </c>
      <c r="D331">
        <v>1</v>
      </c>
      <c r="E331" t="s">
        <v>1437</v>
      </c>
      <c r="F331" s="28" t="s">
        <v>1679</v>
      </c>
      <c r="G331" s="28" t="s">
        <v>1680</v>
      </c>
      <c r="H331" s="47">
        <f t="shared" si="19"/>
        <v>291.875</v>
      </c>
      <c r="I331" s="47">
        <v>46.7</v>
      </c>
      <c r="J331" s="14">
        <f>697.94-H329-H330-H331</f>
        <v>2.5000000000545697E-3</v>
      </c>
      <c r="K331" s="2">
        <f>111.67-I329-I330-I331</f>
        <v>0</v>
      </c>
      <c r="L331" t="s">
        <v>900</v>
      </c>
    </row>
    <row r="332" spans="1:12">
      <c r="A332" t="s">
        <v>1428</v>
      </c>
      <c r="B332" s="1">
        <v>41333</v>
      </c>
      <c r="C332" t="s">
        <v>1417</v>
      </c>
      <c r="D332">
        <v>1</v>
      </c>
      <c r="E332" t="s">
        <v>1429</v>
      </c>
      <c r="F332" t="s">
        <v>948</v>
      </c>
      <c r="G332" t="s">
        <v>947</v>
      </c>
      <c r="H332" s="46">
        <f t="shared" si="19"/>
        <v>347.49999999999994</v>
      </c>
      <c r="I332" s="46">
        <f>53.8+1.8</f>
        <v>55.599999999999994</v>
      </c>
      <c r="K332" s="2"/>
    </row>
    <row r="333" spans="1:12">
      <c r="A333" t="s">
        <v>1428</v>
      </c>
      <c r="B333" s="1">
        <v>41333</v>
      </c>
      <c r="C333" t="s">
        <v>1417</v>
      </c>
      <c r="D333">
        <v>1</v>
      </c>
      <c r="E333" t="s">
        <v>1429</v>
      </c>
      <c r="F333" s="28" t="s">
        <v>939</v>
      </c>
      <c r="G333" s="28" t="s">
        <v>940</v>
      </c>
      <c r="H333" s="47">
        <f t="shared" si="19"/>
        <v>333.5625</v>
      </c>
      <c r="I333" s="47">
        <v>53.37</v>
      </c>
      <c r="K333" s="2"/>
    </row>
    <row r="334" spans="1:12">
      <c r="A334" t="s">
        <v>1428</v>
      </c>
      <c r="B334" s="1">
        <v>41333</v>
      </c>
      <c r="C334" t="s">
        <v>1417</v>
      </c>
      <c r="D334">
        <v>1</v>
      </c>
      <c r="E334" t="s">
        <v>1429</v>
      </c>
      <c r="F334" s="33" t="s">
        <v>933</v>
      </c>
      <c r="G334" s="33" t="s">
        <v>934</v>
      </c>
      <c r="H334" s="46">
        <f t="shared" si="19"/>
        <v>75</v>
      </c>
      <c r="I334" s="46">
        <v>12</v>
      </c>
      <c r="J334" s="14">
        <f>756.06-H332-H333-H334</f>
        <v>-2.4999999999977263E-3</v>
      </c>
      <c r="K334" s="2">
        <f>120.97-I332-I333-I334</f>
        <v>0</v>
      </c>
      <c r="L334" t="s">
        <v>900</v>
      </c>
    </row>
    <row r="335" spans="1:12">
      <c r="A335" t="s">
        <v>1517</v>
      </c>
      <c r="B335" s="1">
        <v>41333</v>
      </c>
      <c r="C335" t="s">
        <v>1518</v>
      </c>
      <c r="D335">
        <v>1</v>
      </c>
      <c r="E335" t="s">
        <v>1519</v>
      </c>
      <c r="F335" t="s">
        <v>948</v>
      </c>
      <c r="G335" t="s">
        <v>947</v>
      </c>
      <c r="H335" s="46">
        <f t="shared" si="19"/>
        <v>694.3125</v>
      </c>
      <c r="I335" s="46">
        <f>105.54+5.55</f>
        <v>111.09</v>
      </c>
      <c r="K335" s="2"/>
    </row>
    <row r="336" spans="1:12">
      <c r="A336" t="s">
        <v>1517</v>
      </c>
      <c r="B336" s="1">
        <v>41333</v>
      </c>
      <c r="C336" t="s">
        <v>1518</v>
      </c>
      <c r="D336">
        <v>1</v>
      </c>
      <c r="E336" t="s">
        <v>1519</v>
      </c>
      <c r="F336" s="28" t="s">
        <v>939</v>
      </c>
      <c r="G336" s="28" t="s">
        <v>1681</v>
      </c>
      <c r="H336" s="47">
        <f t="shared" si="19"/>
        <v>333.5625</v>
      </c>
      <c r="I336" s="47">
        <v>53.37</v>
      </c>
      <c r="K336" s="2"/>
    </row>
    <row r="337" spans="1:12">
      <c r="A337" t="s">
        <v>1517</v>
      </c>
      <c r="B337" s="1">
        <v>41333</v>
      </c>
      <c r="C337" t="s">
        <v>1518</v>
      </c>
      <c r="D337">
        <v>1</v>
      </c>
      <c r="E337" t="s">
        <v>1519</v>
      </c>
      <c r="F337" s="33" t="s">
        <v>1682</v>
      </c>
      <c r="G337" s="33" t="s">
        <v>1683</v>
      </c>
      <c r="H337" s="46">
        <f t="shared" si="19"/>
        <v>47.4375</v>
      </c>
      <c r="I337" s="46">
        <v>7.59</v>
      </c>
      <c r="K337" s="2"/>
    </row>
    <row r="338" spans="1:12">
      <c r="A338" t="s">
        <v>1517</v>
      </c>
      <c r="B338" s="1">
        <v>41333</v>
      </c>
      <c r="C338" t="s">
        <v>1518</v>
      </c>
      <c r="D338">
        <v>1</v>
      </c>
      <c r="E338" t="s">
        <v>1519</v>
      </c>
      <c r="F338" s="28" t="s">
        <v>913</v>
      </c>
      <c r="G338" s="28" t="s">
        <v>1661</v>
      </c>
      <c r="H338" s="47">
        <f t="shared" si="19"/>
        <v>699.0625</v>
      </c>
      <c r="I338" s="47">
        <v>111.85</v>
      </c>
      <c r="J338" s="14">
        <f>1774.38-H335-H336-H337-H338</f>
        <v>5.0000000001091394E-3</v>
      </c>
      <c r="K338" s="2">
        <f>283.9-I335-I336-I337-I338</f>
        <v>0</v>
      </c>
      <c r="L338" t="s">
        <v>900</v>
      </c>
    </row>
    <row r="339" spans="1:12">
      <c r="A339" t="s">
        <v>1511</v>
      </c>
      <c r="B339" s="1">
        <v>41333</v>
      </c>
      <c r="C339" t="s">
        <v>1512</v>
      </c>
      <c r="D339">
        <v>1</v>
      </c>
      <c r="E339" t="s">
        <v>1513</v>
      </c>
      <c r="F339" t="s">
        <v>948</v>
      </c>
      <c r="G339" t="s">
        <v>947</v>
      </c>
      <c r="H339" s="46">
        <f t="shared" si="19"/>
        <v>406.3125</v>
      </c>
      <c r="I339" s="46">
        <f>62.77+2.24</f>
        <v>65.010000000000005</v>
      </c>
      <c r="K339" s="2"/>
    </row>
    <row r="340" spans="1:12">
      <c r="A340" t="s">
        <v>1511</v>
      </c>
      <c r="B340" s="1">
        <v>41333</v>
      </c>
      <c r="C340" t="s">
        <v>1512</v>
      </c>
      <c r="D340">
        <v>1</v>
      </c>
      <c r="E340" t="s">
        <v>1513</v>
      </c>
      <c r="F340" s="28" t="s">
        <v>1684</v>
      </c>
      <c r="G340" s="28" t="s">
        <v>1685</v>
      </c>
      <c r="H340" s="47">
        <f t="shared" si="19"/>
        <v>416.93749999999994</v>
      </c>
      <c r="I340" s="47">
        <v>66.709999999999994</v>
      </c>
      <c r="K340" s="2"/>
    </row>
    <row r="341" spans="1:12">
      <c r="A341" t="s">
        <v>1511</v>
      </c>
      <c r="B341" s="1">
        <v>41333</v>
      </c>
      <c r="C341" t="s">
        <v>1512</v>
      </c>
      <c r="D341">
        <v>1</v>
      </c>
      <c r="E341" t="s">
        <v>1513</v>
      </c>
      <c r="F341" s="33" t="s">
        <v>933</v>
      </c>
      <c r="G341" s="33" t="s">
        <v>934</v>
      </c>
      <c r="H341" s="46">
        <f t="shared" si="19"/>
        <v>75</v>
      </c>
      <c r="I341" s="46">
        <v>12</v>
      </c>
      <c r="J341" s="14">
        <f>898.25-H339-H340-H341</f>
        <v>0</v>
      </c>
      <c r="K341" s="2">
        <f>143.72-I339-I340-I341</f>
        <v>0</v>
      </c>
      <c r="L341" t="s">
        <v>900</v>
      </c>
    </row>
    <row r="342" spans="1:12">
      <c r="A342" t="s">
        <v>1502</v>
      </c>
      <c r="B342" s="1">
        <v>41333</v>
      </c>
      <c r="C342" t="s">
        <v>1503</v>
      </c>
      <c r="D342">
        <v>1</v>
      </c>
      <c r="E342" t="s">
        <v>1504</v>
      </c>
      <c r="F342" t="s">
        <v>948</v>
      </c>
      <c r="G342" t="s">
        <v>947</v>
      </c>
      <c r="H342" s="46">
        <f t="shared" si="19"/>
        <v>406.3125</v>
      </c>
      <c r="I342" s="46">
        <f>62.77+2.24</f>
        <v>65.010000000000005</v>
      </c>
      <c r="K342" s="2"/>
    </row>
    <row r="343" spans="1:12">
      <c r="A343" t="s">
        <v>1502</v>
      </c>
      <c r="B343" s="1">
        <v>41333</v>
      </c>
      <c r="C343" t="s">
        <v>1503</v>
      </c>
      <c r="D343">
        <v>1</v>
      </c>
      <c r="E343" t="s">
        <v>1504</v>
      </c>
      <c r="F343" s="28" t="s">
        <v>1684</v>
      </c>
      <c r="G343" s="28" t="s">
        <v>1685</v>
      </c>
      <c r="H343" s="47">
        <f t="shared" si="19"/>
        <v>416.93749999999994</v>
      </c>
      <c r="I343" s="47">
        <v>66.709999999999994</v>
      </c>
      <c r="K343" s="2"/>
    </row>
    <row r="344" spans="1:12">
      <c r="A344" t="s">
        <v>1502</v>
      </c>
      <c r="B344" s="1">
        <v>41333</v>
      </c>
      <c r="C344" t="s">
        <v>1503</v>
      </c>
      <c r="D344">
        <v>1</v>
      </c>
      <c r="E344" t="s">
        <v>1504</v>
      </c>
      <c r="F344" s="33" t="s">
        <v>933</v>
      </c>
      <c r="G344" s="33" t="s">
        <v>934</v>
      </c>
      <c r="H344" s="46">
        <f t="shared" si="19"/>
        <v>75</v>
      </c>
      <c r="I344" s="46">
        <v>12</v>
      </c>
      <c r="J344" s="14">
        <f>898.25-H342-H343-H344</f>
        <v>0</v>
      </c>
      <c r="K344" s="2">
        <f>143.72-I342-I343-I344</f>
        <v>0</v>
      </c>
      <c r="L344" t="s">
        <v>900</v>
      </c>
    </row>
    <row r="345" spans="1:12">
      <c r="A345" t="s">
        <v>441</v>
      </c>
      <c r="B345" s="1">
        <v>41333</v>
      </c>
      <c r="C345" t="s">
        <v>1520</v>
      </c>
      <c r="D345">
        <v>1</v>
      </c>
      <c r="E345" t="s">
        <v>1521</v>
      </c>
      <c r="F345" t="s">
        <v>948</v>
      </c>
      <c r="G345" t="s">
        <v>947</v>
      </c>
      <c r="H345" s="46">
        <f t="shared" si="19"/>
        <v>143.6875</v>
      </c>
      <c r="I345" s="46">
        <f>21.1+1.89</f>
        <v>22.990000000000002</v>
      </c>
      <c r="K345" s="2"/>
    </row>
    <row r="346" spans="1:12">
      <c r="A346" t="s">
        <v>441</v>
      </c>
      <c r="B346" s="1">
        <v>41333</v>
      </c>
      <c r="C346" t="s">
        <v>1520</v>
      </c>
      <c r="D346">
        <v>1</v>
      </c>
      <c r="E346" t="s">
        <v>1521</v>
      </c>
      <c r="F346" s="33" t="s">
        <v>941</v>
      </c>
      <c r="G346" s="33" t="s">
        <v>1641</v>
      </c>
      <c r="H346" s="46">
        <f t="shared" si="19"/>
        <v>64.625</v>
      </c>
      <c r="I346" s="46">
        <v>10.34</v>
      </c>
      <c r="K346" s="2"/>
    </row>
    <row r="347" spans="1:12">
      <c r="A347" t="s">
        <v>441</v>
      </c>
      <c r="B347" s="1">
        <v>41333</v>
      </c>
      <c r="C347" t="s">
        <v>1520</v>
      </c>
      <c r="D347">
        <v>1</v>
      </c>
      <c r="E347" t="s">
        <v>1521</v>
      </c>
      <c r="F347" s="28" t="s">
        <v>925</v>
      </c>
      <c r="G347" s="28" t="s">
        <v>926</v>
      </c>
      <c r="H347" s="47">
        <f t="shared" si="19"/>
        <v>349.5625</v>
      </c>
      <c r="I347" s="47">
        <v>55.93</v>
      </c>
      <c r="J347" s="14">
        <f>557.88-H345-H346-H347</f>
        <v>4.9999999999954525E-3</v>
      </c>
      <c r="K347" s="2">
        <f>89.26-I345-I346-I347</f>
        <v>0</v>
      </c>
      <c r="L347" t="s">
        <v>900</v>
      </c>
    </row>
    <row r="348" spans="1:12">
      <c r="A348" t="s">
        <v>1524</v>
      </c>
      <c r="B348" s="1">
        <v>41333</v>
      </c>
      <c r="C348" t="s">
        <v>1525</v>
      </c>
      <c r="D348">
        <v>1</v>
      </c>
      <c r="E348" t="s">
        <v>1526</v>
      </c>
      <c r="F348" t="s">
        <v>948</v>
      </c>
      <c r="G348" t="s">
        <v>947</v>
      </c>
      <c r="H348" s="46">
        <f t="shared" si="19"/>
        <v>173.0625</v>
      </c>
      <c r="I348" s="46">
        <f>26.35+1.34</f>
        <v>27.69</v>
      </c>
      <c r="K348" s="2"/>
    </row>
    <row r="349" spans="1:12">
      <c r="A349" t="s">
        <v>1524</v>
      </c>
      <c r="B349" s="1">
        <v>41333</v>
      </c>
      <c r="C349" t="s">
        <v>1525</v>
      </c>
      <c r="D349">
        <v>1</v>
      </c>
      <c r="E349" t="s">
        <v>1526</v>
      </c>
      <c r="F349" s="28" t="s">
        <v>1687</v>
      </c>
      <c r="G349" s="28" t="s">
        <v>1688</v>
      </c>
      <c r="H349" s="47">
        <f t="shared" si="19"/>
        <v>250.1875</v>
      </c>
      <c r="I349" s="47">
        <v>40.03</v>
      </c>
      <c r="J349" s="14">
        <f>423.25-H348-H349</f>
        <v>0</v>
      </c>
      <c r="K349" s="2">
        <f>67.72-I348-I349</f>
        <v>0</v>
      </c>
      <c r="L349" t="s">
        <v>900</v>
      </c>
    </row>
    <row r="350" spans="1:12">
      <c r="A350" t="s">
        <v>1430</v>
      </c>
      <c r="B350" s="1">
        <v>41333</v>
      </c>
      <c r="C350" t="s">
        <v>1417</v>
      </c>
      <c r="D350">
        <v>1</v>
      </c>
      <c r="E350" t="s">
        <v>1431</v>
      </c>
      <c r="F350" t="s">
        <v>948</v>
      </c>
      <c r="G350" t="s">
        <v>947</v>
      </c>
      <c r="H350" s="46">
        <f t="shared" si="19"/>
        <v>197.8125</v>
      </c>
      <c r="I350" s="46">
        <f>19.32+12.33</f>
        <v>31.65</v>
      </c>
      <c r="K350" s="2"/>
    </row>
    <row r="351" spans="1:12">
      <c r="A351" t="s">
        <v>1430</v>
      </c>
      <c r="B351" s="1">
        <v>41333</v>
      </c>
      <c r="C351" t="s">
        <v>1417</v>
      </c>
      <c r="D351">
        <v>1</v>
      </c>
      <c r="E351" t="s">
        <v>1431</v>
      </c>
      <c r="F351" s="28" t="s">
        <v>1689</v>
      </c>
      <c r="G351" s="28" t="s">
        <v>1690</v>
      </c>
      <c r="H351" s="47">
        <f t="shared" si="19"/>
        <v>291.875</v>
      </c>
      <c r="I351" s="47">
        <v>46.7</v>
      </c>
      <c r="J351" s="14">
        <f>489.69-H350-H351</f>
        <v>2.4999999999977263E-3</v>
      </c>
      <c r="K351" s="2">
        <f>78.35-I350-I351</f>
        <v>0</v>
      </c>
      <c r="L351" t="s">
        <v>900</v>
      </c>
    </row>
    <row r="352" spans="1:12">
      <c r="A352" t="s">
        <v>1527</v>
      </c>
      <c r="B352" s="1">
        <v>41333</v>
      </c>
      <c r="C352" t="s">
        <v>1528</v>
      </c>
      <c r="D352">
        <v>1</v>
      </c>
      <c r="E352" t="s">
        <v>1529</v>
      </c>
      <c r="F352" t="s">
        <v>948</v>
      </c>
      <c r="G352" t="s">
        <v>947</v>
      </c>
      <c r="H352" s="46">
        <f t="shared" si="19"/>
        <v>234.1875</v>
      </c>
      <c r="I352" s="46">
        <f>28.29+9.18</f>
        <v>37.47</v>
      </c>
      <c r="K352" s="2"/>
    </row>
    <row r="353" spans="1:12">
      <c r="A353" t="s">
        <v>1527</v>
      </c>
      <c r="B353" s="1">
        <v>41333</v>
      </c>
      <c r="C353" t="s">
        <v>1528</v>
      </c>
      <c r="D353">
        <v>1</v>
      </c>
      <c r="E353" t="s">
        <v>1529</v>
      </c>
      <c r="F353" s="28" t="s">
        <v>1691</v>
      </c>
      <c r="G353" s="28" t="s">
        <v>1692</v>
      </c>
      <c r="H353" s="47">
        <f t="shared" si="19"/>
        <v>333.5625</v>
      </c>
      <c r="I353" s="47">
        <v>53.37</v>
      </c>
      <c r="J353" s="14">
        <f>567.75-H352-H353</f>
        <v>0</v>
      </c>
      <c r="K353" s="2">
        <f>90.84-I352-I353</f>
        <v>0</v>
      </c>
      <c r="L353" t="s">
        <v>900</v>
      </c>
    </row>
    <row r="354" spans="1:12">
      <c r="A354" t="s">
        <v>1514</v>
      </c>
      <c r="B354" s="1">
        <v>41333</v>
      </c>
      <c r="C354" t="s">
        <v>1515</v>
      </c>
      <c r="D354">
        <v>1</v>
      </c>
      <c r="E354" t="s">
        <v>1516</v>
      </c>
      <c r="F354" s="33" t="s">
        <v>1693</v>
      </c>
      <c r="G354" s="33" t="s">
        <v>1694</v>
      </c>
      <c r="H354" s="3">
        <f t="shared" ref="H354:H373" si="20">+I354/0.16</f>
        <v>118.99999999999999</v>
      </c>
      <c r="I354" s="3">
        <v>19.04</v>
      </c>
      <c r="J354" s="14" t="e">
        <f>+H354-#REF!</f>
        <v>#REF!</v>
      </c>
      <c r="K354" s="2" t="e">
        <f>+I354-#REF!</f>
        <v>#REF!</v>
      </c>
      <c r="L354" t="s">
        <v>900</v>
      </c>
    </row>
    <row r="355" spans="1:12">
      <c r="A355" t="s">
        <v>1424</v>
      </c>
      <c r="B355" s="1">
        <v>41333</v>
      </c>
      <c r="C355" t="s">
        <v>1417</v>
      </c>
      <c r="D355">
        <v>1</v>
      </c>
      <c r="E355" t="s">
        <v>1425</v>
      </c>
      <c r="F355" t="s">
        <v>948</v>
      </c>
      <c r="G355" t="s">
        <v>947</v>
      </c>
      <c r="H355" s="46">
        <f t="shared" ref="H355:H366" si="21">I355/0.16</f>
        <v>230.75</v>
      </c>
      <c r="I355" s="46">
        <f>19.59+17.33</f>
        <v>36.92</v>
      </c>
      <c r="K355" s="2"/>
    </row>
    <row r="356" spans="1:12">
      <c r="A356" t="s">
        <v>1424</v>
      </c>
      <c r="B356" s="1">
        <v>41333</v>
      </c>
      <c r="C356" t="s">
        <v>1417</v>
      </c>
      <c r="D356">
        <v>1</v>
      </c>
      <c r="E356" t="s">
        <v>1425</v>
      </c>
      <c r="F356" s="33" t="s">
        <v>1649</v>
      </c>
      <c r="G356" s="33" t="s">
        <v>1650</v>
      </c>
      <c r="H356" s="46">
        <f t="shared" si="21"/>
        <v>92.25</v>
      </c>
      <c r="I356" s="46">
        <v>14.76</v>
      </c>
      <c r="K356" s="2"/>
    </row>
    <row r="357" spans="1:12">
      <c r="A357" t="s">
        <v>1424</v>
      </c>
      <c r="B357" s="1">
        <v>41333</v>
      </c>
      <c r="C357" t="s">
        <v>1417</v>
      </c>
      <c r="D357">
        <v>1</v>
      </c>
      <c r="E357" t="s">
        <v>1425</v>
      </c>
      <c r="F357" t="s">
        <v>1696</v>
      </c>
      <c r="G357" t="s">
        <v>1697</v>
      </c>
      <c r="H357" s="46">
        <f t="shared" si="21"/>
        <v>325.25</v>
      </c>
      <c r="I357" s="46">
        <v>52.04</v>
      </c>
      <c r="K357" s="2"/>
    </row>
    <row r="358" spans="1:12">
      <c r="A358" t="s">
        <v>1424</v>
      </c>
      <c r="B358" s="1">
        <v>41333</v>
      </c>
      <c r="C358" t="s">
        <v>1417</v>
      </c>
      <c r="D358">
        <v>1</v>
      </c>
      <c r="E358" t="s">
        <v>1425</v>
      </c>
      <c r="F358" s="28" t="s">
        <v>905</v>
      </c>
      <c r="G358" s="28" t="s">
        <v>906</v>
      </c>
      <c r="H358" s="47">
        <f t="shared" si="21"/>
        <v>689.875</v>
      </c>
      <c r="I358" s="47">
        <v>110.38</v>
      </c>
      <c r="J358" s="14">
        <f>1338.13-H355-H356-H357-H358</f>
        <v>5.0000000001091394E-3</v>
      </c>
      <c r="K358" s="2">
        <f>214.1-I355-I356-I357-I358</f>
        <v>0</v>
      </c>
      <c r="L358" t="s">
        <v>900</v>
      </c>
    </row>
    <row r="359" spans="1:12">
      <c r="A359" t="s">
        <v>1426</v>
      </c>
      <c r="B359" s="1">
        <v>41333</v>
      </c>
      <c r="C359" t="s">
        <v>1417</v>
      </c>
      <c r="D359">
        <v>1</v>
      </c>
      <c r="E359" t="s">
        <v>1427</v>
      </c>
      <c r="F359" t="s">
        <v>948</v>
      </c>
      <c r="G359" t="s">
        <v>947</v>
      </c>
      <c r="H359" s="46">
        <f t="shared" si="21"/>
        <v>757.4375</v>
      </c>
      <c r="I359" s="46">
        <f>57.53+63.66</f>
        <v>121.19</v>
      </c>
      <c r="K359" s="2"/>
    </row>
    <row r="360" spans="1:12">
      <c r="A360" t="s">
        <v>1426</v>
      </c>
      <c r="B360" s="1">
        <v>41333</v>
      </c>
      <c r="C360" t="s">
        <v>1417</v>
      </c>
      <c r="D360">
        <v>1</v>
      </c>
      <c r="E360" t="s">
        <v>1427</v>
      </c>
      <c r="F360" s="33" t="s">
        <v>1649</v>
      </c>
      <c r="G360" s="33" t="s">
        <v>1666</v>
      </c>
      <c r="H360" s="46">
        <f t="shared" si="21"/>
        <v>170.6875</v>
      </c>
      <c r="I360" s="46">
        <v>27.31</v>
      </c>
      <c r="K360" s="2"/>
    </row>
    <row r="361" spans="1:12">
      <c r="A361" t="s">
        <v>1426</v>
      </c>
      <c r="B361" s="1">
        <v>41333</v>
      </c>
      <c r="C361" t="s">
        <v>1417</v>
      </c>
      <c r="D361">
        <v>1</v>
      </c>
      <c r="E361" t="s">
        <v>1427</v>
      </c>
      <c r="F361" s="28" t="s">
        <v>1698</v>
      </c>
      <c r="G361" s="28" t="s">
        <v>1699</v>
      </c>
      <c r="H361" s="47">
        <f t="shared" si="21"/>
        <v>495.625</v>
      </c>
      <c r="I361" s="47">
        <v>79.3</v>
      </c>
      <c r="K361" s="2"/>
    </row>
    <row r="362" spans="1:12">
      <c r="A362" t="s">
        <v>1426</v>
      </c>
      <c r="B362" s="1">
        <v>41333</v>
      </c>
      <c r="C362" t="s">
        <v>1417</v>
      </c>
      <c r="D362">
        <v>1</v>
      </c>
      <c r="E362" t="s">
        <v>1427</v>
      </c>
      <c r="F362" s="28" t="s">
        <v>1700</v>
      </c>
      <c r="G362" s="28" t="s">
        <v>1701</v>
      </c>
      <c r="H362" s="47">
        <f t="shared" si="21"/>
        <v>708.8125</v>
      </c>
      <c r="I362" s="47">
        <v>113.41</v>
      </c>
      <c r="K362" s="2"/>
    </row>
    <row r="363" spans="1:12">
      <c r="A363" t="s">
        <v>1426</v>
      </c>
      <c r="B363" s="1">
        <v>41333</v>
      </c>
      <c r="C363" t="s">
        <v>1417</v>
      </c>
      <c r="D363">
        <v>1</v>
      </c>
      <c r="E363" t="s">
        <v>1427</v>
      </c>
      <c r="F363" s="33" t="s">
        <v>1702</v>
      </c>
      <c r="G363" s="33" t="s">
        <v>1703</v>
      </c>
      <c r="H363" s="46">
        <f t="shared" si="21"/>
        <v>94.8125</v>
      </c>
      <c r="I363" s="46">
        <v>15.17</v>
      </c>
      <c r="K363" s="2"/>
    </row>
    <row r="364" spans="1:12">
      <c r="A364" t="s">
        <v>1426</v>
      </c>
      <c r="B364" s="1">
        <v>41333</v>
      </c>
      <c r="C364" t="s">
        <v>1417</v>
      </c>
      <c r="D364">
        <v>1</v>
      </c>
      <c r="E364" t="s">
        <v>1427</v>
      </c>
      <c r="F364" s="35" t="s">
        <v>1704</v>
      </c>
      <c r="G364" s="35" t="s">
        <v>1705</v>
      </c>
      <c r="H364" s="57">
        <f t="shared" si="21"/>
        <v>166.8125</v>
      </c>
      <c r="I364" s="57">
        <v>26.69</v>
      </c>
      <c r="J364" s="14">
        <f>2394.19-H359-H360-H361-H362-H363-H364</f>
        <v>2.5000000000545697E-3</v>
      </c>
      <c r="K364" s="2">
        <f>383.07-I359-I360-I361-I362-I363-I364</f>
        <v>0</v>
      </c>
      <c r="L364" t="s">
        <v>900</v>
      </c>
    </row>
    <row r="365" spans="1:12">
      <c r="A365" t="s">
        <v>1508</v>
      </c>
      <c r="B365" s="1">
        <v>41333</v>
      </c>
      <c r="C365" t="s">
        <v>1509</v>
      </c>
      <c r="D365">
        <v>1</v>
      </c>
      <c r="E365" t="s">
        <v>1510</v>
      </c>
      <c r="F365" s="33" t="s">
        <v>1706</v>
      </c>
      <c r="G365" s="33" t="s">
        <v>1707</v>
      </c>
      <c r="H365" s="46">
        <f t="shared" si="21"/>
        <v>102.75</v>
      </c>
      <c r="I365" s="46">
        <f>14.48+1.96</f>
        <v>16.440000000000001</v>
      </c>
      <c r="K365" s="2"/>
    </row>
    <row r="366" spans="1:12">
      <c r="A366" t="s">
        <v>1508</v>
      </c>
      <c r="B366" s="1">
        <v>41333</v>
      </c>
      <c r="C366" t="s">
        <v>1509</v>
      </c>
      <c r="D366">
        <v>1</v>
      </c>
      <c r="E366" t="s">
        <v>1510</v>
      </c>
      <c r="F366" s="28" t="s">
        <v>901</v>
      </c>
      <c r="G366" s="28" t="s">
        <v>1708</v>
      </c>
      <c r="H366" s="47">
        <f t="shared" si="21"/>
        <v>362.75</v>
      </c>
      <c r="I366" s="47">
        <v>58.04</v>
      </c>
      <c r="J366" s="14">
        <f>465.5-H365-H366</f>
        <v>0</v>
      </c>
      <c r="K366" s="2">
        <f>74.48-I365-I366</f>
        <v>0</v>
      </c>
      <c r="L366" t="s">
        <v>900</v>
      </c>
    </row>
    <row r="367" spans="1:12">
      <c r="A367" t="s">
        <v>1382</v>
      </c>
      <c r="B367" s="1">
        <v>41333</v>
      </c>
      <c r="C367" t="s">
        <v>1383</v>
      </c>
      <c r="D367">
        <v>1</v>
      </c>
      <c r="E367" t="s">
        <v>1384</v>
      </c>
      <c r="F367" s="32" t="s">
        <v>890</v>
      </c>
      <c r="G367" s="33" t="s">
        <v>891</v>
      </c>
      <c r="H367" s="3">
        <f t="shared" si="20"/>
        <v>256977.81249999997</v>
      </c>
      <c r="I367" s="3">
        <v>41116.449999999997</v>
      </c>
      <c r="K367" s="2"/>
    </row>
    <row r="368" spans="1:12">
      <c r="A368" t="s">
        <v>259</v>
      </c>
      <c r="B368" s="1">
        <v>41326</v>
      </c>
      <c r="C368" t="s">
        <v>1221</v>
      </c>
      <c r="D368">
        <v>1</v>
      </c>
      <c r="E368" t="s">
        <v>1222</v>
      </c>
      <c r="F368" s="32" t="s">
        <v>890</v>
      </c>
      <c r="G368" s="33" t="s">
        <v>891</v>
      </c>
      <c r="H368" s="3">
        <f t="shared" si="20"/>
        <v>291468.0625</v>
      </c>
      <c r="I368" s="3">
        <v>46634.89</v>
      </c>
      <c r="K368" s="2"/>
    </row>
    <row r="369" spans="1:11">
      <c r="A369" t="s">
        <v>1087</v>
      </c>
      <c r="B369" s="1">
        <v>41318</v>
      </c>
      <c r="C369" t="s">
        <v>1088</v>
      </c>
      <c r="D369">
        <v>1</v>
      </c>
      <c r="E369" t="s">
        <v>1089</v>
      </c>
      <c r="F369" s="32" t="s">
        <v>890</v>
      </c>
      <c r="G369" s="33" t="s">
        <v>891</v>
      </c>
      <c r="H369" s="3">
        <f t="shared" si="20"/>
        <v>220623.6875</v>
      </c>
      <c r="I369" s="3">
        <v>35299.79</v>
      </c>
      <c r="K369" s="2"/>
    </row>
    <row r="370" spans="1:11">
      <c r="A370" t="s">
        <v>1311</v>
      </c>
      <c r="B370" s="1">
        <v>41332</v>
      </c>
      <c r="C370" t="s">
        <v>1312</v>
      </c>
      <c r="D370">
        <v>1</v>
      </c>
      <c r="E370" t="s">
        <v>1089</v>
      </c>
      <c r="F370" s="32" t="s">
        <v>890</v>
      </c>
      <c r="G370" s="33" t="s">
        <v>891</v>
      </c>
      <c r="H370" s="3">
        <f t="shared" si="20"/>
        <v>330513.5625</v>
      </c>
      <c r="I370" s="3">
        <v>52882.17</v>
      </c>
      <c r="K370" s="2"/>
    </row>
    <row r="371" spans="1:11">
      <c r="A371" t="s">
        <v>1341</v>
      </c>
      <c r="B371" s="1">
        <v>41333</v>
      </c>
      <c r="C371" t="s">
        <v>1342</v>
      </c>
      <c r="D371">
        <v>1</v>
      </c>
      <c r="E371" t="s">
        <v>1089</v>
      </c>
      <c r="F371" s="32" t="s">
        <v>890</v>
      </c>
      <c r="G371" s="33" t="s">
        <v>891</v>
      </c>
      <c r="H371" s="3">
        <f t="shared" si="20"/>
        <v>277752.6875</v>
      </c>
      <c r="I371" s="3">
        <v>44440.43</v>
      </c>
      <c r="K371" s="2"/>
    </row>
    <row r="372" spans="1:11">
      <c r="A372" t="s">
        <v>1014</v>
      </c>
      <c r="B372" s="1">
        <v>41311</v>
      </c>
      <c r="C372" t="s">
        <v>1015</v>
      </c>
      <c r="D372">
        <v>1</v>
      </c>
      <c r="E372" t="s">
        <v>1016</v>
      </c>
      <c r="F372" s="58" t="s">
        <v>1709</v>
      </c>
      <c r="G372" s="43" t="s">
        <v>1710</v>
      </c>
      <c r="H372" s="3">
        <f t="shared" si="20"/>
        <v>1726.3124999999998</v>
      </c>
      <c r="I372" s="3">
        <v>276.20999999999998</v>
      </c>
      <c r="K372" s="2"/>
    </row>
    <row r="373" spans="1:11">
      <c r="A373" t="s">
        <v>365</v>
      </c>
      <c r="B373" s="1">
        <v>41332</v>
      </c>
      <c r="C373" t="s">
        <v>1331</v>
      </c>
      <c r="D373">
        <v>2</v>
      </c>
      <c r="E373" t="s">
        <v>1332</v>
      </c>
      <c r="F373" s="41" t="s">
        <v>1711</v>
      </c>
      <c r="G373" s="33" t="s">
        <v>1332</v>
      </c>
      <c r="H373" s="3">
        <f t="shared" si="20"/>
        <v>2650</v>
      </c>
      <c r="I373" s="3">
        <v>424</v>
      </c>
      <c r="K373" s="2"/>
    </row>
    <row r="374" spans="1:11">
      <c r="A374" t="s">
        <v>1405</v>
      </c>
      <c r="B374" s="1">
        <v>41333</v>
      </c>
      <c r="C374" t="s">
        <v>436</v>
      </c>
      <c r="D374">
        <v>1</v>
      </c>
      <c r="E374" t="s">
        <v>1406</v>
      </c>
      <c r="F374" t="s">
        <v>948</v>
      </c>
      <c r="G374" t="s">
        <v>947</v>
      </c>
      <c r="H374" s="46">
        <f t="shared" ref="H374:H384" si="22">I374/0.16</f>
        <v>450.12499999999994</v>
      </c>
      <c r="I374" s="46">
        <v>72.02</v>
      </c>
      <c r="K374" s="2"/>
    </row>
    <row r="375" spans="1:11">
      <c r="A375" t="s">
        <v>1405</v>
      </c>
      <c r="B375" s="1">
        <v>41333</v>
      </c>
      <c r="C375" t="s">
        <v>436</v>
      </c>
      <c r="D375">
        <v>1</v>
      </c>
      <c r="E375" t="s">
        <v>1406</v>
      </c>
      <c r="F375" s="33" t="s">
        <v>1713</v>
      </c>
      <c r="G375" s="33" t="s">
        <v>1714</v>
      </c>
      <c r="H375" s="46">
        <f t="shared" si="22"/>
        <v>97.4375</v>
      </c>
      <c r="I375" s="46">
        <v>15.59</v>
      </c>
      <c r="K375" s="2"/>
    </row>
    <row r="376" spans="1:11">
      <c r="A376" t="s">
        <v>1405</v>
      </c>
      <c r="B376" s="1">
        <v>41333</v>
      </c>
      <c r="C376" t="s">
        <v>436</v>
      </c>
      <c r="D376">
        <v>1</v>
      </c>
      <c r="E376" t="s">
        <v>1406</v>
      </c>
      <c r="F376" s="33" t="s">
        <v>1713</v>
      </c>
      <c r="G376" s="33" t="s">
        <v>1714</v>
      </c>
      <c r="H376" s="46">
        <f t="shared" si="22"/>
        <v>224.125</v>
      </c>
      <c r="I376" s="46">
        <v>35.86</v>
      </c>
      <c r="K376" s="2"/>
    </row>
    <row r="377" spans="1:11">
      <c r="A377" t="s">
        <v>1405</v>
      </c>
      <c r="B377" s="1">
        <v>41333</v>
      </c>
      <c r="C377" t="s">
        <v>436</v>
      </c>
      <c r="D377">
        <v>1</v>
      </c>
      <c r="E377" t="s">
        <v>1406</v>
      </c>
      <c r="F377" s="33" t="s">
        <v>1715</v>
      </c>
      <c r="G377" s="33" t="s">
        <v>1716</v>
      </c>
      <c r="H377" s="46">
        <f t="shared" si="22"/>
        <v>154.3125</v>
      </c>
      <c r="I377" s="46">
        <v>24.69</v>
      </c>
      <c r="K377" s="2"/>
    </row>
    <row r="378" spans="1:11">
      <c r="A378" t="s">
        <v>1405</v>
      </c>
      <c r="B378" s="1">
        <v>41333</v>
      </c>
      <c r="C378" t="s">
        <v>436</v>
      </c>
      <c r="D378">
        <v>1</v>
      </c>
      <c r="E378" t="s">
        <v>1406</v>
      </c>
      <c r="F378" s="33" t="s">
        <v>1717</v>
      </c>
      <c r="G378" s="33" t="s">
        <v>1718</v>
      </c>
      <c r="H378" s="46">
        <f t="shared" si="22"/>
        <v>5324.875</v>
      </c>
      <c r="I378" s="46">
        <v>851.98</v>
      </c>
      <c r="K378" s="2"/>
    </row>
    <row r="379" spans="1:11">
      <c r="A379" t="s">
        <v>1405</v>
      </c>
      <c r="B379" s="1">
        <v>41333</v>
      </c>
      <c r="C379" t="s">
        <v>436</v>
      </c>
      <c r="D379">
        <v>1</v>
      </c>
      <c r="E379" t="s">
        <v>1406</v>
      </c>
      <c r="F379" s="33" t="s">
        <v>1719</v>
      </c>
      <c r="G379" s="33" t="s">
        <v>1720</v>
      </c>
      <c r="H379" s="46">
        <f t="shared" si="22"/>
        <v>101.75</v>
      </c>
      <c r="I379" s="46">
        <v>16.28</v>
      </c>
      <c r="J379" s="14">
        <f>6352.63-H374-H375-H376-H377-H378-H379</f>
        <v>5.0000000001091394E-3</v>
      </c>
      <c r="K379" s="2">
        <f>1016.42-I374-I375-I376-I377-I378-I379</f>
        <v>-1.4210854715202004E-13</v>
      </c>
    </row>
    <row r="380" spans="1:11">
      <c r="A380" t="s">
        <v>1558</v>
      </c>
      <c r="B380" s="1">
        <v>41333</v>
      </c>
      <c r="C380" t="s">
        <v>436</v>
      </c>
      <c r="D380">
        <v>1</v>
      </c>
      <c r="E380" t="s">
        <v>1559</v>
      </c>
      <c r="F380" t="s">
        <v>948</v>
      </c>
      <c r="G380" t="s">
        <v>1581</v>
      </c>
      <c r="H380" s="3">
        <f t="shared" si="22"/>
        <v>6.0625</v>
      </c>
      <c r="I380" s="46">
        <v>0.97</v>
      </c>
      <c r="K380" s="2"/>
    </row>
    <row r="381" spans="1:11">
      <c r="A381" t="s">
        <v>1558</v>
      </c>
      <c r="B381" s="1">
        <v>41333</v>
      </c>
      <c r="C381" t="s">
        <v>436</v>
      </c>
      <c r="D381">
        <v>1</v>
      </c>
      <c r="E381" t="s">
        <v>1559</v>
      </c>
      <c r="F381" s="33" t="s">
        <v>1588</v>
      </c>
      <c r="G381" s="33" t="s">
        <v>1589</v>
      </c>
      <c r="H381" s="46">
        <f t="shared" si="22"/>
        <v>1606.5</v>
      </c>
      <c r="I381" s="46">
        <v>257.04000000000002</v>
      </c>
      <c r="K381" s="2"/>
    </row>
    <row r="382" spans="1:11">
      <c r="A382" t="s">
        <v>1558</v>
      </c>
      <c r="B382" s="1">
        <v>41333</v>
      </c>
      <c r="C382" t="s">
        <v>436</v>
      </c>
      <c r="D382">
        <v>1</v>
      </c>
      <c r="E382" t="s">
        <v>1559</v>
      </c>
      <c r="F382" s="33" t="s">
        <v>1722</v>
      </c>
      <c r="G382" s="33" t="s">
        <v>1723</v>
      </c>
      <c r="H382" s="46">
        <f t="shared" si="22"/>
        <v>112.0625</v>
      </c>
      <c r="I382" s="46">
        <v>17.93</v>
      </c>
      <c r="K382" s="2"/>
    </row>
    <row r="383" spans="1:11">
      <c r="A383" t="s">
        <v>1558</v>
      </c>
      <c r="B383" s="1">
        <v>41333</v>
      </c>
      <c r="C383" t="s">
        <v>436</v>
      </c>
      <c r="D383">
        <v>1</v>
      </c>
      <c r="E383" t="s">
        <v>1559</v>
      </c>
      <c r="F383" s="28" t="s">
        <v>1724</v>
      </c>
      <c r="G383" s="28" t="s">
        <v>1725</v>
      </c>
      <c r="H383" s="47">
        <f t="shared" si="22"/>
        <v>250.99999999999997</v>
      </c>
      <c r="I383" s="47">
        <v>40.159999999999997</v>
      </c>
      <c r="K383" s="2"/>
    </row>
    <row r="384" spans="1:11">
      <c r="A384" t="s">
        <v>1558</v>
      </c>
      <c r="B384" s="1">
        <v>41333</v>
      </c>
      <c r="C384" t="s">
        <v>436</v>
      </c>
      <c r="D384">
        <v>1</v>
      </c>
      <c r="E384" t="s">
        <v>1559</v>
      </c>
      <c r="F384" s="33" t="s">
        <v>1726</v>
      </c>
      <c r="G384" s="33" t="s">
        <v>1727</v>
      </c>
      <c r="H384" s="46">
        <f t="shared" si="22"/>
        <v>66</v>
      </c>
      <c r="I384" s="46">
        <v>10.56</v>
      </c>
      <c r="J384" s="14">
        <f>2041.63-H380-H381-H382-H383-H384</f>
        <v>5.0000000001375611E-3</v>
      </c>
      <c r="K384" s="2">
        <f>326.66-I380-I381-I382-I383-I384</f>
        <v>-1.9539925233402755E-14</v>
      </c>
    </row>
    <row r="385" spans="1:11">
      <c r="A385" t="s">
        <v>175</v>
      </c>
      <c r="B385" s="1">
        <v>41320</v>
      </c>
      <c r="C385" t="s">
        <v>1133</v>
      </c>
      <c r="D385">
        <v>1</v>
      </c>
      <c r="E385" t="s">
        <v>370</v>
      </c>
      <c r="F385" s="33" t="s">
        <v>888</v>
      </c>
      <c r="G385" s="33" t="s">
        <v>370</v>
      </c>
      <c r="H385" s="3">
        <f t="shared" ref="H385:H387" si="23">+I385/0.16</f>
        <v>12500</v>
      </c>
      <c r="I385" s="3">
        <v>2000</v>
      </c>
      <c r="K385" s="2"/>
    </row>
    <row r="386" spans="1:11">
      <c r="A386" t="s">
        <v>393</v>
      </c>
      <c r="B386" s="1">
        <v>41330</v>
      </c>
      <c r="C386" t="s">
        <v>1286</v>
      </c>
      <c r="D386">
        <v>1</v>
      </c>
      <c r="E386" t="s">
        <v>1287</v>
      </c>
      <c r="F386" s="33" t="s">
        <v>1728</v>
      </c>
      <c r="G386" s="33" t="s">
        <v>1287</v>
      </c>
      <c r="H386" s="3">
        <f t="shared" si="23"/>
        <v>1831.5</v>
      </c>
      <c r="I386" s="3">
        <v>293.04000000000002</v>
      </c>
      <c r="K386" s="2"/>
    </row>
    <row r="387" spans="1:11">
      <c r="A387" t="s">
        <v>1468</v>
      </c>
      <c r="B387" s="1">
        <v>41333</v>
      </c>
      <c r="C387" t="s">
        <v>1417</v>
      </c>
      <c r="D387">
        <v>1</v>
      </c>
      <c r="E387" t="s">
        <v>1469</v>
      </c>
      <c r="F387" s="33" t="s">
        <v>1729</v>
      </c>
      <c r="G387" s="33" t="s">
        <v>1730</v>
      </c>
      <c r="H387" s="3">
        <f t="shared" si="23"/>
        <v>604.8125</v>
      </c>
      <c r="I387" s="3">
        <v>96.77</v>
      </c>
      <c r="K387" s="2"/>
    </row>
    <row r="388" spans="1:11">
      <c r="J388" s="14"/>
    </row>
    <row r="389" spans="1:11">
      <c r="H389" s="3">
        <f>SUM(H10:H388)</f>
        <v>21424215.75</v>
      </c>
      <c r="I389" s="3">
        <f>SUM(I10:I388)</f>
        <v>3427874.5199999986</v>
      </c>
    </row>
    <row r="391" spans="1:11">
      <c r="H391" s="3">
        <f>4312525.99-884654.23</f>
        <v>3427871.7600000002</v>
      </c>
      <c r="I391" s="136">
        <f>+I389-H391</f>
        <v>2.7599999983794987</v>
      </c>
    </row>
    <row r="394" spans="1:11">
      <c r="A394" s="151"/>
      <c r="B394" s="151"/>
      <c r="C394" s="151"/>
      <c r="D394" s="151"/>
      <c r="E394" s="151"/>
      <c r="F394" s="151" t="s">
        <v>724</v>
      </c>
      <c r="G394" s="151" t="s">
        <v>725</v>
      </c>
      <c r="H394" s="152" t="s">
        <v>732</v>
      </c>
      <c r="I394" s="151" t="s">
        <v>726</v>
      </c>
      <c r="J394" s="151" t="s">
        <v>7073</v>
      </c>
    </row>
    <row r="395" spans="1:11">
      <c r="A395" s="174" t="s">
        <v>7099</v>
      </c>
      <c r="B395">
        <v>85</v>
      </c>
      <c r="F395" s="33" t="s">
        <v>747</v>
      </c>
      <c r="G395" s="33" t="s">
        <v>1557</v>
      </c>
      <c r="H395" s="3">
        <f>+I395/0.16</f>
        <v>320.125</v>
      </c>
      <c r="I395" s="3">
        <f>+SUMIF($F$10:$F$387,F395,$I$10:$I$387)</f>
        <v>51.22</v>
      </c>
    </row>
    <row r="396" spans="1:11">
      <c r="A396" s="174" t="s">
        <v>7099</v>
      </c>
      <c r="B396">
        <v>85</v>
      </c>
      <c r="F396" s="33" t="s">
        <v>1571</v>
      </c>
      <c r="G396" s="33" t="s">
        <v>1285</v>
      </c>
      <c r="H396" s="3">
        <f t="shared" ref="H396:H459" si="24">+I396/0.16</f>
        <v>19000</v>
      </c>
      <c r="I396" s="3">
        <f t="shared" ref="I396:I459" si="25">+SUMIF($F$10:$F$387,F396,$I$10:$I$387)</f>
        <v>3040</v>
      </c>
    </row>
    <row r="397" spans="1:11">
      <c r="A397" s="174" t="s">
        <v>7099</v>
      </c>
      <c r="B397">
        <v>85</v>
      </c>
      <c r="F397" s="38" t="s">
        <v>1574</v>
      </c>
      <c r="G397" s="38" t="s">
        <v>991</v>
      </c>
      <c r="H397" s="3">
        <f t="shared" si="24"/>
        <v>172553.9375</v>
      </c>
      <c r="I397" s="3">
        <f t="shared" si="25"/>
        <v>27608.63</v>
      </c>
    </row>
    <row r="398" spans="1:11">
      <c r="A398" s="174" t="s">
        <v>7099</v>
      </c>
      <c r="B398">
        <v>85</v>
      </c>
      <c r="F398" s="37" t="s">
        <v>1578</v>
      </c>
      <c r="G398" s="44" t="s">
        <v>1579</v>
      </c>
      <c r="H398" s="3">
        <f t="shared" si="24"/>
        <v>1604.9375</v>
      </c>
      <c r="I398" s="3">
        <f t="shared" si="25"/>
        <v>256.79000000000002</v>
      </c>
    </row>
    <row r="399" spans="1:11">
      <c r="A399" s="174" t="s">
        <v>7099</v>
      </c>
      <c r="B399">
        <v>85</v>
      </c>
      <c r="F399" s="33" t="s">
        <v>1590</v>
      </c>
      <c r="G399" s="33" t="s">
        <v>1466</v>
      </c>
      <c r="H399" s="3">
        <f t="shared" si="24"/>
        <v>650</v>
      </c>
      <c r="I399" s="3">
        <f t="shared" si="25"/>
        <v>104</v>
      </c>
    </row>
    <row r="400" spans="1:11">
      <c r="A400" s="174" t="s">
        <v>7099</v>
      </c>
      <c r="B400">
        <v>85</v>
      </c>
      <c r="F400" s="28" t="s">
        <v>939</v>
      </c>
      <c r="G400" s="28" t="s">
        <v>940</v>
      </c>
      <c r="H400" s="3">
        <f t="shared" si="24"/>
        <v>1959.4375</v>
      </c>
      <c r="I400" s="3">
        <f t="shared" si="25"/>
        <v>313.51</v>
      </c>
    </row>
    <row r="401" spans="1:9">
      <c r="A401" s="174" t="s">
        <v>7099</v>
      </c>
      <c r="B401">
        <v>85</v>
      </c>
      <c r="F401" s="33" t="s">
        <v>1671</v>
      </c>
      <c r="G401" s="33" t="s">
        <v>1672</v>
      </c>
      <c r="H401" s="3">
        <f t="shared" si="24"/>
        <v>250.12500000000003</v>
      </c>
      <c r="I401" s="3">
        <f t="shared" si="25"/>
        <v>40.020000000000003</v>
      </c>
    </row>
    <row r="402" spans="1:9">
      <c r="A402" s="174" t="s">
        <v>7099</v>
      </c>
      <c r="B402">
        <v>85</v>
      </c>
      <c r="F402" s="62" t="s">
        <v>1570</v>
      </c>
      <c r="G402" s="62" t="s">
        <v>1160</v>
      </c>
      <c r="H402" s="3">
        <f t="shared" si="24"/>
        <v>6650</v>
      </c>
      <c r="I402" s="3">
        <f t="shared" si="25"/>
        <v>1064</v>
      </c>
    </row>
    <row r="403" spans="1:9">
      <c r="A403" s="174" t="s">
        <v>7099</v>
      </c>
      <c r="B403">
        <v>85</v>
      </c>
      <c r="F403" s="33" t="s">
        <v>1597</v>
      </c>
      <c r="G403" s="33" t="s">
        <v>1051</v>
      </c>
      <c r="H403" s="3">
        <f t="shared" si="24"/>
        <v>3300</v>
      </c>
      <c r="I403" s="3">
        <f t="shared" si="25"/>
        <v>528</v>
      </c>
    </row>
    <row r="404" spans="1:9">
      <c r="A404" s="174" t="s">
        <v>7099</v>
      </c>
      <c r="B404">
        <v>85</v>
      </c>
      <c r="F404" s="33" t="s">
        <v>1649</v>
      </c>
      <c r="G404" s="33" t="s">
        <v>1650</v>
      </c>
      <c r="H404" s="3">
        <f t="shared" si="24"/>
        <v>425.875</v>
      </c>
      <c r="I404" s="3">
        <f t="shared" si="25"/>
        <v>68.14</v>
      </c>
    </row>
    <row r="405" spans="1:9">
      <c r="A405" s="174" t="s">
        <v>7099</v>
      </c>
      <c r="B405">
        <v>85</v>
      </c>
      <c r="F405" s="33" t="s">
        <v>941</v>
      </c>
      <c r="G405" s="33" t="s">
        <v>1641</v>
      </c>
      <c r="H405" s="3">
        <f t="shared" si="24"/>
        <v>204.56250000000003</v>
      </c>
      <c r="I405" s="3">
        <f t="shared" si="25"/>
        <v>32.730000000000004</v>
      </c>
    </row>
    <row r="406" spans="1:9">
      <c r="A406" s="174" t="s">
        <v>7099</v>
      </c>
      <c r="B406">
        <v>85</v>
      </c>
      <c r="F406" s="28" t="s">
        <v>1651</v>
      </c>
      <c r="G406" s="28" t="s">
        <v>1652</v>
      </c>
      <c r="H406" s="3">
        <f t="shared" si="24"/>
        <v>316.8125</v>
      </c>
      <c r="I406" s="3">
        <f t="shared" si="25"/>
        <v>50.69</v>
      </c>
    </row>
    <row r="407" spans="1:9">
      <c r="A407" s="174" t="s">
        <v>7099</v>
      </c>
      <c r="B407">
        <v>85</v>
      </c>
      <c r="F407" s="39" t="s">
        <v>744</v>
      </c>
      <c r="G407" s="33" t="s">
        <v>210</v>
      </c>
      <c r="H407" s="3">
        <f t="shared" si="24"/>
        <v>4071.4374999999995</v>
      </c>
      <c r="I407" s="3">
        <f t="shared" si="25"/>
        <v>651.42999999999995</v>
      </c>
    </row>
    <row r="408" spans="1:9">
      <c r="A408" s="174" t="s">
        <v>7099</v>
      </c>
      <c r="B408">
        <v>85</v>
      </c>
      <c r="F408" s="40" t="s">
        <v>1572</v>
      </c>
      <c r="G408" s="40" t="s">
        <v>1573</v>
      </c>
      <c r="H408" s="3">
        <f t="shared" si="24"/>
        <v>455144.0625</v>
      </c>
      <c r="I408" s="3">
        <f t="shared" si="25"/>
        <v>72823.05</v>
      </c>
    </row>
    <row r="409" spans="1:9">
      <c r="A409" s="174" t="s">
        <v>7099</v>
      </c>
      <c r="B409">
        <v>85</v>
      </c>
      <c r="F409" s="32" t="s">
        <v>821</v>
      </c>
      <c r="G409" s="33" t="s">
        <v>822</v>
      </c>
      <c r="H409" s="3">
        <f t="shared" si="24"/>
        <v>390</v>
      </c>
      <c r="I409" s="3">
        <f t="shared" si="25"/>
        <v>62.4</v>
      </c>
    </row>
    <row r="410" spans="1:9">
      <c r="A410" s="174" t="s">
        <v>7099</v>
      </c>
      <c r="B410">
        <v>85</v>
      </c>
      <c r="F410" s="42" t="s">
        <v>827</v>
      </c>
      <c r="G410" s="39" t="s">
        <v>828</v>
      </c>
      <c r="H410" s="3">
        <f t="shared" si="24"/>
        <v>10227.5625</v>
      </c>
      <c r="I410" s="3">
        <f t="shared" si="25"/>
        <v>1636.41</v>
      </c>
    </row>
    <row r="411" spans="1:9">
      <c r="A411" s="174" t="s">
        <v>7099</v>
      </c>
      <c r="B411">
        <v>85</v>
      </c>
      <c r="F411" s="41" t="s">
        <v>823</v>
      </c>
      <c r="G411" s="43" t="s">
        <v>824</v>
      </c>
      <c r="H411" s="3">
        <f t="shared" si="24"/>
        <v>136.75</v>
      </c>
      <c r="I411" s="3">
        <f t="shared" si="25"/>
        <v>21.88</v>
      </c>
    </row>
    <row r="412" spans="1:9">
      <c r="A412" s="174" t="s">
        <v>7099</v>
      </c>
      <c r="B412">
        <v>85</v>
      </c>
      <c r="F412" s="41" t="s">
        <v>950</v>
      </c>
      <c r="G412" s="43" t="s">
        <v>951</v>
      </c>
      <c r="H412" s="3">
        <f t="shared" si="24"/>
        <v>8562.5625</v>
      </c>
      <c r="I412" s="3">
        <f t="shared" si="25"/>
        <v>1370.01</v>
      </c>
    </row>
    <row r="413" spans="1:9">
      <c r="A413" s="174" t="s">
        <v>7099</v>
      </c>
      <c r="B413">
        <v>85</v>
      </c>
      <c r="F413" s="41" t="s">
        <v>825</v>
      </c>
      <c r="G413" s="43" t="s">
        <v>826</v>
      </c>
      <c r="H413" s="3">
        <f t="shared" si="24"/>
        <v>352</v>
      </c>
      <c r="I413" s="3">
        <f t="shared" si="25"/>
        <v>56.32</v>
      </c>
    </row>
    <row r="414" spans="1:9">
      <c r="A414" s="174" t="s">
        <v>7099</v>
      </c>
      <c r="B414">
        <v>85</v>
      </c>
      <c r="F414" s="33" t="s">
        <v>772</v>
      </c>
      <c r="G414" s="33" t="s">
        <v>29</v>
      </c>
      <c r="H414" s="3">
        <f t="shared" si="24"/>
        <v>1151676.5</v>
      </c>
      <c r="I414" s="3">
        <f t="shared" si="25"/>
        <v>184268.24000000002</v>
      </c>
    </row>
    <row r="415" spans="1:9">
      <c r="A415" s="174" t="s">
        <v>7099</v>
      </c>
      <c r="B415">
        <v>85</v>
      </c>
      <c r="F415" s="41" t="s">
        <v>755</v>
      </c>
      <c r="G415" s="33" t="s">
        <v>756</v>
      </c>
      <c r="H415" s="3">
        <f t="shared" si="24"/>
        <v>1402893</v>
      </c>
      <c r="I415" s="3">
        <f t="shared" si="25"/>
        <v>224462.88</v>
      </c>
    </row>
    <row r="416" spans="1:9">
      <c r="A416" s="174" t="s">
        <v>7099</v>
      </c>
      <c r="B416">
        <v>85</v>
      </c>
      <c r="F416" s="33" t="s">
        <v>1575</v>
      </c>
      <c r="G416" s="33" t="s">
        <v>1421</v>
      </c>
      <c r="H416" s="3">
        <f t="shared" si="24"/>
        <v>31.874999999999996</v>
      </c>
      <c r="I416" s="3">
        <f t="shared" si="25"/>
        <v>5.0999999999999996</v>
      </c>
    </row>
    <row r="417" spans="1:9">
      <c r="A417" s="174" t="s">
        <v>7099</v>
      </c>
      <c r="B417">
        <v>85</v>
      </c>
      <c r="F417" s="42" t="s">
        <v>763</v>
      </c>
      <c r="G417" s="33" t="s">
        <v>284</v>
      </c>
      <c r="H417" s="3">
        <f t="shared" si="24"/>
        <v>800</v>
      </c>
      <c r="I417" s="3">
        <f t="shared" si="25"/>
        <v>128</v>
      </c>
    </row>
    <row r="418" spans="1:9">
      <c r="A418" s="174" t="s">
        <v>7099</v>
      </c>
      <c r="B418">
        <v>85</v>
      </c>
      <c r="F418" s="33" t="s">
        <v>1577</v>
      </c>
      <c r="G418" s="33" t="s">
        <v>1062</v>
      </c>
      <c r="H418" s="3">
        <f t="shared" si="24"/>
        <v>13331.062499999998</v>
      </c>
      <c r="I418" s="3">
        <f t="shared" si="25"/>
        <v>2132.9699999999998</v>
      </c>
    </row>
    <row r="419" spans="1:9">
      <c r="A419" s="174" t="s">
        <v>7099</v>
      </c>
      <c r="B419">
        <v>85</v>
      </c>
      <c r="F419" s="39" t="s">
        <v>764</v>
      </c>
      <c r="G419" s="39" t="s">
        <v>100</v>
      </c>
      <c r="H419" s="3">
        <f t="shared" si="24"/>
        <v>21242.3125</v>
      </c>
      <c r="I419" s="3">
        <f t="shared" si="25"/>
        <v>3398.77</v>
      </c>
    </row>
    <row r="420" spans="1:9">
      <c r="A420" s="174" t="s">
        <v>7099</v>
      </c>
      <c r="B420">
        <v>85</v>
      </c>
      <c r="F420" s="28" t="s">
        <v>1689</v>
      </c>
      <c r="G420" s="28" t="s">
        <v>1690</v>
      </c>
      <c r="H420" s="3">
        <f t="shared" si="24"/>
        <v>291.875</v>
      </c>
      <c r="I420" s="3">
        <f t="shared" si="25"/>
        <v>46.7</v>
      </c>
    </row>
    <row r="421" spans="1:9">
      <c r="A421" s="174" t="s">
        <v>7099</v>
      </c>
      <c r="B421">
        <v>85</v>
      </c>
      <c r="F421" s="33" t="s">
        <v>770</v>
      </c>
      <c r="G421" s="33" t="s">
        <v>1142</v>
      </c>
      <c r="H421" s="3">
        <f t="shared" si="24"/>
        <v>21340</v>
      </c>
      <c r="I421" s="3">
        <f t="shared" si="25"/>
        <v>3414.4</v>
      </c>
    </row>
    <row r="422" spans="1:9">
      <c r="A422" s="174" t="s">
        <v>7099</v>
      </c>
      <c r="B422">
        <v>85</v>
      </c>
      <c r="F422" s="32" t="s">
        <v>759</v>
      </c>
      <c r="G422" s="33" t="s">
        <v>760</v>
      </c>
      <c r="H422" s="3">
        <f t="shared" si="24"/>
        <v>-209860.81250000003</v>
      </c>
      <c r="I422" s="3">
        <f t="shared" si="25"/>
        <v>-33577.730000000003</v>
      </c>
    </row>
    <row r="423" spans="1:9">
      <c r="A423" s="174" t="s">
        <v>7099</v>
      </c>
      <c r="B423">
        <v>85</v>
      </c>
      <c r="F423" s="33" t="s">
        <v>1585</v>
      </c>
      <c r="G423" s="33" t="s">
        <v>999</v>
      </c>
      <c r="H423" s="3">
        <f t="shared" si="24"/>
        <v>13563</v>
      </c>
      <c r="I423" s="3">
        <f t="shared" si="25"/>
        <v>2170.08</v>
      </c>
    </row>
    <row r="424" spans="1:9">
      <c r="A424" s="174" t="s">
        <v>7099</v>
      </c>
      <c r="B424">
        <v>85</v>
      </c>
      <c r="F424" s="33" t="s">
        <v>773</v>
      </c>
      <c r="G424" s="33" t="s">
        <v>514</v>
      </c>
      <c r="H424" s="3">
        <f t="shared" si="24"/>
        <v>44.8125</v>
      </c>
      <c r="I424" s="3">
        <f t="shared" si="25"/>
        <v>7.17</v>
      </c>
    </row>
    <row r="425" spans="1:9">
      <c r="A425" s="174" t="s">
        <v>7099</v>
      </c>
      <c r="B425">
        <v>85</v>
      </c>
      <c r="F425" s="28" t="s">
        <v>1653</v>
      </c>
      <c r="G425" s="28" t="s">
        <v>1654</v>
      </c>
      <c r="H425" s="3">
        <f t="shared" si="24"/>
        <v>681.9375</v>
      </c>
      <c r="I425" s="3">
        <f t="shared" si="25"/>
        <v>109.11</v>
      </c>
    </row>
    <row r="426" spans="1:9">
      <c r="A426" s="174" t="s">
        <v>7099</v>
      </c>
      <c r="B426">
        <v>85</v>
      </c>
      <c r="F426" s="33" t="s">
        <v>767</v>
      </c>
      <c r="G426" s="33" t="s">
        <v>549</v>
      </c>
      <c r="H426" s="3">
        <f t="shared" si="24"/>
        <v>931.0625</v>
      </c>
      <c r="I426" s="3">
        <f t="shared" si="25"/>
        <v>148.97</v>
      </c>
    </row>
    <row r="427" spans="1:9">
      <c r="A427" s="174" t="s">
        <v>7099</v>
      </c>
      <c r="B427">
        <v>85</v>
      </c>
      <c r="F427" s="33" t="s">
        <v>1601</v>
      </c>
      <c r="G427" s="33" t="s">
        <v>1465</v>
      </c>
      <c r="H427" s="3">
        <f t="shared" si="24"/>
        <v>1350</v>
      </c>
      <c r="I427" s="3">
        <f t="shared" si="25"/>
        <v>216</v>
      </c>
    </row>
    <row r="428" spans="1:9">
      <c r="A428" s="174" t="s">
        <v>7099</v>
      </c>
      <c r="B428">
        <v>85</v>
      </c>
      <c r="F428" s="33" t="s">
        <v>1587</v>
      </c>
      <c r="G428" s="33" t="s">
        <v>1239</v>
      </c>
      <c r="H428" s="3">
        <f t="shared" si="24"/>
        <v>204</v>
      </c>
      <c r="I428" s="3">
        <f t="shared" si="25"/>
        <v>32.64</v>
      </c>
    </row>
    <row r="429" spans="1:9">
      <c r="A429" s="174" t="s">
        <v>7099</v>
      </c>
      <c r="B429">
        <v>85</v>
      </c>
      <c r="F429" s="33" t="s">
        <v>1576</v>
      </c>
      <c r="G429" s="33" t="s">
        <v>1059</v>
      </c>
      <c r="H429" s="3">
        <f t="shared" si="24"/>
        <v>788</v>
      </c>
      <c r="I429" s="3">
        <f t="shared" si="25"/>
        <v>126.08</v>
      </c>
    </row>
    <row r="430" spans="1:9">
      <c r="A430" s="174" t="s">
        <v>7099</v>
      </c>
      <c r="B430">
        <v>85</v>
      </c>
      <c r="F430" s="32" t="s">
        <v>761</v>
      </c>
      <c r="G430" s="33" t="s">
        <v>762</v>
      </c>
      <c r="H430" s="3">
        <f t="shared" si="24"/>
        <v>378603.4375</v>
      </c>
      <c r="I430" s="3">
        <f t="shared" si="25"/>
        <v>60576.55</v>
      </c>
    </row>
    <row r="431" spans="1:9">
      <c r="A431" s="174" t="s">
        <v>7099</v>
      </c>
      <c r="B431">
        <v>85</v>
      </c>
      <c r="F431" s="33" t="s">
        <v>777</v>
      </c>
      <c r="G431" s="33" t="s">
        <v>296</v>
      </c>
      <c r="H431" s="3">
        <f t="shared" si="24"/>
        <v>15000</v>
      </c>
      <c r="I431" s="3">
        <f t="shared" si="25"/>
        <v>2400</v>
      </c>
    </row>
    <row r="432" spans="1:9">
      <c r="A432" s="174" t="s">
        <v>7099</v>
      </c>
      <c r="B432">
        <v>85</v>
      </c>
      <c r="F432" s="41" t="s">
        <v>775</v>
      </c>
      <c r="G432" s="33" t="s">
        <v>776</v>
      </c>
      <c r="H432" s="3">
        <f t="shared" si="24"/>
        <v>771633.75</v>
      </c>
      <c r="I432" s="3">
        <f t="shared" si="25"/>
        <v>123461.4</v>
      </c>
    </row>
    <row r="433" spans="1:9">
      <c r="A433" s="174" t="s">
        <v>7099</v>
      </c>
      <c r="B433">
        <v>85</v>
      </c>
      <c r="F433" s="33" t="s">
        <v>1595</v>
      </c>
      <c r="G433" s="33" t="s">
        <v>1596</v>
      </c>
      <c r="H433" s="3">
        <f t="shared" si="24"/>
        <v>220622.625</v>
      </c>
      <c r="I433" s="3">
        <f t="shared" si="25"/>
        <v>35299.620000000003</v>
      </c>
    </row>
    <row r="434" spans="1:9">
      <c r="A434" s="174" t="s">
        <v>7099</v>
      </c>
      <c r="B434">
        <v>85</v>
      </c>
      <c r="F434" s="134" t="s">
        <v>2849</v>
      </c>
      <c r="G434" s="134" t="s">
        <v>7063</v>
      </c>
      <c r="H434" s="3">
        <f t="shared" si="24"/>
        <v>88620.75</v>
      </c>
      <c r="I434" s="3">
        <f t="shared" si="25"/>
        <v>14179.32</v>
      </c>
    </row>
    <row r="435" spans="1:9">
      <c r="A435" s="174" t="s">
        <v>7099</v>
      </c>
      <c r="B435">
        <v>85</v>
      </c>
      <c r="F435" s="33" t="s">
        <v>1594</v>
      </c>
      <c r="G435" s="33" t="s">
        <v>973</v>
      </c>
      <c r="H435" s="3">
        <f t="shared" si="24"/>
        <v>7143.6875</v>
      </c>
      <c r="I435" s="3">
        <f t="shared" si="25"/>
        <v>1142.99</v>
      </c>
    </row>
    <row r="436" spans="1:9">
      <c r="A436" s="174" t="s">
        <v>7099</v>
      </c>
      <c r="B436">
        <v>85</v>
      </c>
      <c r="F436" s="33" t="s">
        <v>781</v>
      </c>
      <c r="G436" s="33" t="s">
        <v>80</v>
      </c>
      <c r="H436" s="3">
        <f t="shared" si="24"/>
        <v>3104.9999999999995</v>
      </c>
      <c r="I436" s="3">
        <f t="shared" si="25"/>
        <v>496.79999999999995</v>
      </c>
    </row>
    <row r="437" spans="1:9">
      <c r="A437" s="174" t="s">
        <v>7099</v>
      </c>
      <c r="B437">
        <v>85</v>
      </c>
      <c r="F437" s="33" t="s">
        <v>1593</v>
      </c>
      <c r="G437" s="33" t="s">
        <v>1446</v>
      </c>
      <c r="H437" s="3">
        <f t="shared" si="24"/>
        <v>223.25</v>
      </c>
      <c r="I437" s="3">
        <f t="shared" si="25"/>
        <v>35.72</v>
      </c>
    </row>
    <row r="438" spans="1:9">
      <c r="A438" s="174" t="s">
        <v>7099</v>
      </c>
      <c r="B438">
        <v>85</v>
      </c>
      <c r="F438" s="41" t="s">
        <v>780</v>
      </c>
      <c r="G438" s="33" t="s">
        <v>373</v>
      </c>
      <c r="H438" s="3">
        <f t="shared" si="24"/>
        <v>15000</v>
      </c>
      <c r="I438" s="3">
        <f t="shared" si="25"/>
        <v>2400</v>
      </c>
    </row>
    <row r="439" spans="1:9">
      <c r="A439" s="174" t="s">
        <v>7099</v>
      </c>
      <c r="B439">
        <v>85</v>
      </c>
      <c r="F439" s="33" t="s">
        <v>784</v>
      </c>
      <c r="G439" s="33" t="s">
        <v>618</v>
      </c>
      <c r="H439" s="3">
        <f t="shared" si="24"/>
        <v>387.93749999999994</v>
      </c>
      <c r="I439" s="3">
        <f t="shared" si="25"/>
        <v>62.069999999999993</v>
      </c>
    </row>
    <row r="440" spans="1:9">
      <c r="A440" s="174" t="s">
        <v>7099</v>
      </c>
      <c r="B440">
        <v>85</v>
      </c>
      <c r="F440" s="33" t="s">
        <v>739</v>
      </c>
      <c r="G440" s="33" t="s">
        <v>1418</v>
      </c>
      <c r="H440" s="3">
        <f t="shared" si="24"/>
        <v>732.75</v>
      </c>
      <c r="I440" s="3">
        <f t="shared" si="25"/>
        <v>117.24000000000001</v>
      </c>
    </row>
    <row r="441" spans="1:9">
      <c r="A441" s="174" t="s">
        <v>7099</v>
      </c>
      <c r="B441">
        <v>85</v>
      </c>
      <c r="F441" s="33" t="s">
        <v>789</v>
      </c>
      <c r="G441" s="33" t="s">
        <v>1444</v>
      </c>
      <c r="H441" s="3">
        <f t="shared" si="24"/>
        <v>144</v>
      </c>
      <c r="I441" s="3">
        <f t="shared" si="25"/>
        <v>23.04</v>
      </c>
    </row>
    <row r="442" spans="1:9">
      <c r="A442" s="174" t="s">
        <v>7099</v>
      </c>
      <c r="B442">
        <v>85</v>
      </c>
      <c r="F442" s="28" t="s">
        <v>1655</v>
      </c>
      <c r="G442" s="28" t="s">
        <v>1656</v>
      </c>
      <c r="H442" s="3">
        <f t="shared" si="24"/>
        <v>682.75</v>
      </c>
      <c r="I442" s="3">
        <f t="shared" si="25"/>
        <v>109.24</v>
      </c>
    </row>
    <row r="443" spans="1:9">
      <c r="A443" s="174" t="s">
        <v>7099</v>
      </c>
      <c r="B443">
        <v>85</v>
      </c>
      <c r="F443" s="28" t="s">
        <v>1611</v>
      </c>
      <c r="G443" s="52" t="s">
        <v>1612</v>
      </c>
      <c r="H443" s="3">
        <f t="shared" si="24"/>
        <v>333.625</v>
      </c>
      <c r="I443" s="3">
        <f t="shared" si="25"/>
        <v>53.38</v>
      </c>
    </row>
    <row r="444" spans="1:9">
      <c r="A444" s="174" t="s">
        <v>7099</v>
      </c>
      <c r="B444">
        <v>85</v>
      </c>
      <c r="F444" s="33" t="s">
        <v>794</v>
      </c>
      <c r="G444" s="33" t="s">
        <v>1451</v>
      </c>
      <c r="H444" s="3">
        <f t="shared" si="24"/>
        <v>126.3125</v>
      </c>
      <c r="I444" s="3">
        <f t="shared" si="25"/>
        <v>20.21</v>
      </c>
    </row>
    <row r="445" spans="1:9">
      <c r="A445" s="174" t="s">
        <v>7099</v>
      </c>
      <c r="B445">
        <v>85</v>
      </c>
      <c r="F445" s="33" t="s">
        <v>1580</v>
      </c>
      <c r="G445" s="33" t="s">
        <v>1442</v>
      </c>
      <c r="H445" s="3">
        <f t="shared" si="24"/>
        <v>175</v>
      </c>
      <c r="I445" s="3">
        <f t="shared" si="25"/>
        <v>28</v>
      </c>
    </row>
    <row r="446" spans="1:9">
      <c r="A446" s="174" t="s">
        <v>7099</v>
      </c>
      <c r="B446">
        <v>85</v>
      </c>
      <c r="F446" s="37" t="s">
        <v>1598</v>
      </c>
      <c r="G446" s="33" t="s">
        <v>1599</v>
      </c>
      <c r="H446" s="3">
        <f t="shared" si="24"/>
        <v>585683.0625</v>
      </c>
      <c r="I446" s="3">
        <f t="shared" si="25"/>
        <v>93709.290000000008</v>
      </c>
    </row>
    <row r="447" spans="1:9">
      <c r="A447" s="174" t="s">
        <v>7099</v>
      </c>
      <c r="B447">
        <v>85</v>
      </c>
      <c r="F447" s="33" t="s">
        <v>793</v>
      </c>
      <c r="G447" s="33" t="s">
        <v>22</v>
      </c>
      <c r="H447" s="3">
        <f t="shared" si="24"/>
        <v>69659.125</v>
      </c>
      <c r="I447" s="3">
        <f t="shared" si="25"/>
        <v>11145.46</v>
      </c>
    </row>
    <row r="448" spans="1:9">
      <c r="A448" s="174" t="s">
        <v>7099</v>
      </c>
      <c r="B448">
        <v>85</v>
      </c>
      <c r="F448" s="33" t="s">
        <v>1642</v>
      </c>
      <c r="G448" s="33" t="s">
        <v>1643</v>
      </c>
      <c r="H448" s="3">
        <f t="shared" si="24"/>
        <v>120</v>
      </c>
      <c r="I448" s="3">
        <f t="shared" si="25"/>
        <v>19.2</v>
      </c>
    </row>
    <row r="449" spans="1:9">
      <c r="A449" s="174" t="s">
        <v>7099</v>
      </c>
      <c r="B449">
        <v>85</v>
      </c>
      <c r="F449" s="33" t="s">
        <v>1713</v>
      </c>
      <c r="G449" s="33" t="s">
        <v>1714</v>
      </c>
      <c r="H449" s="3">
        <f t="shared" si="24"/>
        <v>321.5625</v>
      </c>
      <c r="I449" s="3">
        <f t="shared" si="25"/>
        <v>51.45</v>
      </c>
    </row>
    <row r="450" spans="1:9">
      <c r="A450" s="174" t="s">
        <v>7099</v>
      </c>
      <c r="B450">
        <v>85</v>
      </c>
      <c r="F450" s="28" t="s">
        <v>1698</v>
      </c>
      <c r="G450" s="28" t="s">
        <v>1699</v>
      </c>
      <c r="H450" s="3">
        <f t="shared" si="24"/>
        <v>495.625</v>
      </c>
      <c r="I450" s="3">
        <f t="shared" si="25"/>
        <v>79.3</v>
      </c>
    </row>
    <row r="451" spans="1:9">
      <c r="A451" s="174" t="s">
        <v>7099</v>
      </c>
      <c r="B451">
        <v>85</v>
      </c>
      <c r="F451" t="s">
        <v>948</v>
      </c>
      <c r="G451" t="s">
        <v>947</v>
      </c>
      <c r="H451" s="3">
        <f t="shared" si="24"/>
        <v>17834.75</v>
      </c>
      <c r="I451" s="3">
        <f t="shared" si="25"/>
        <v>2853.56</v>
      </c>
    </row>
    <row r="452" spans="1:9">
      <c r="A452" s="174" t="s">
        <v>7099</v>
      </c>
      <c r="B452">
        <v>85</v>
      </c>
      <c r="F452" s="28" t="s">
        <v>1679</v>
      </c>
      <c r="G452" s="28" t="s">
        <v>1680</v>
      </c>
      <c r="H452" s="3">
        <f t="shared" si="24"/>
        <v>291.875</v>
      </c>
      <c r="I452" s="3">
        <f t="shared" si="25"/>
        <v>46.7</v>
      </c>
    </row>
    <row r="453" spans="1:9">
      <c r="A453" s="174" t="s">
        <v>7099</v>
      </c>
      <c r="B453">
        <v>85</v>
      </c>
      <c r="F453" s="28" t="s">
        <v>1687</v>
      </c>
      <c r="G453" s="28" t="s">
        <v>1688</v>
      </c>
      <c r="H453" s="3">
        <f t="shared" si="24"/>
        <v>250.1875</v>
      </c>
      <c r="I453" s="3">
        <f t="shared" si="25"/>
        <v>40.03</v>
      </c>
    </row>
    <row r="454" spans="1:9">
      <c r="A454" s="174" t="s">
        <v>7099</v>
      </c>
      <c r="B454">
        <v>85</v>
      </c>
      <c r="F454" t="s">
        <v>1696</v>
      </c>
      <c r="G454" t="s">
        <v>1697</v>
      </c>
      <c r="H454" s="3">
        <f t="shared" si="24"/>
        <v>325.25</v>
      </c>
      <c r="I454" s="3">
        <f t="shared" si="25"/>
        <v>52.04</v>
      </c>
    </row>
    <row r="455" spans="1:9">
      <c r="A455" s="174" t="s">
        <v>7099</v>
      </c>
      <c r="B455">
        <v>85</v>
      </c>
      <c r="F455" t="s">
        <v>1569</v>
      </c>
      <c r="G455" t="s">
        <v>1490</v>
      </c>
      <c r="H455" s="3">
        <f t="shared" si="24"/>
        <v>86.187499999999986</v>
      </c>
      <c r="I455" s="3">
        <f t="shared" si="25"/>
        <v>13.79</v>
      </c>
    </row>
    <row r="456" spans="1:9">
      <c r="A456" s="174" t="s">
        <v>7099</v>
      </c>
      <c r="B456">
        <v>85</v>
      </c>
      <c r="F456" s="28" t="s">
        <v>1647</v>
      </c>
      <c r="G456" s="28" t="s">
        <v>1648</v>
      </c>
      <c r="H456" s="3">
        <f t="shared" si="24"/>
        <v>250.12500000000003</v>
      </c>
      <c r="I456" s="3">
        <f t="shared" si="25"/>
        <v>40.020000000000003</v>
      </c>
    </row>
    <row r="457" spans="1:9">
      <c r="A457" s="174" t="s">
        <v>7099</v>
      </c>
      <c r="B457">
        <v>85</v>
      </c>
      <c r="F457" s="28" t="s">
        <v>1591</v>
      </c>
      <c r="G457" s="28" t="s">
        <v>1592</v>
      </c>
      <c r="H457" s="3">
        <f t="shared" si="24"/>
        <v>1395</v>
      </c>
      <c r="I457" s="3">
        <f t="shared" si="25"/>
        <v>223.20000000000002</v>
      </c>
    </row>
    <row r="458" spans="1:9">
      <c r="A458" s="174" t="s">
        <v>7099</v>
      </c>
      <c r="B458">
        <v>85</v>
      </c>
      <c r="F458" s="33" t="s">
        <v>1715</v>
      </c>
      <c r="G458" s="33" t="s">
        <v>1716</v>
      </c>
      <c r="H458" s="3">
        <f t="shared" si="24"/>
        <v>154.3125</v>
      </c>
      <c r="I458" s="3">
        <f t="shared" si="25"/>
        <v>24.69</v>
      </c>
    </row>
    <row r="459" spans="1:9">
      <c r="A459" s="174" t="s">
        <v>7099</v>
      </c>
      <c r="B459">
        <v>85</v>
      </c>
      <c r="F459" s="33" t="s">
        <v>1600</v>
      </c>
      <c r="G459" s="33" t="s">
        <v>1011</v>
      </c>
      <c r="H459" s="3">
        <f t="shared" si="24"/>
        <v>10379.375</v>
      </c>
      <c r="I459" s="3">
        <f t="shared" si="25"/>
        <v>1660.7</v>
      </c>
    </row>
    <row r="460" spans="1:9">
      <c r="A460" s="174" t="s">
        <v>7099</v>
      </c>
      <c r="B460">
        <v>85</v>
      </c>
      <c r="F460" s="42" t="s">
        <v>1607</v>
      </c>
      <c r="G460" s="39" t="s">
        <v>1608</v>
      </c>
      <c r="H460" s="3">
        <f t="shared" ref="H460:H523" si="26">+I460/0.16</f>
        <v>125.875</v>
      </c>
      <c r="I460" s="3">
        <f t="shared" ref="I460:I523" si="27">+SUMIF($F$10:$F$387,F460,$I$10:$I$387)</f>
        <v>20.14</v>
      </c>
    </row>
    <row r="461" spans="1:9">
      <c r="A461" s="174" t="s">
        <v>7099</v>
      </c>
      <c r="B461">
        <v>85</v>
      </c>
      <c r="F461" s="41" t="s">
        <v>830</v>
      </c>
      <c r="G461" s="43" t="s">
        <v>831</v>
      </c>
      <c r="H461" s="3">
        <f t="shared" si="26"/>
        <v>521</v>
      </c>
      <c r="I461" s="3">
        <f t="shared" si="27"/>
        <v>83.36</v>
      </c>
    </row>
    <row r="462" spans="1:9">
      <c r="A462" s="174" t="s">
        <v>7099</v>
      </c>
      <c r="B462">
        <v>85</v>
      </c>
      <c r="F462" s="33" t="s">
        <v>1621</v>
      </c>
      <c r="G462" s="33" t="s">
        <v>1622</v>
      </c>
      <c r="H462" s="3">
        <f t="shared" si="26"/>
        <v>6003.125</v>
      </c>
      <c r="I462" s="3">
        <f t="shared" si="27"/>
        <v>960.5</v>
      </c>
    </row>
    <row r="463" spans="1:9">
      <c r="A463" s="174" t="s">
        <v>7099</v>
      </c>
      <c r="B463">
        <v>85</v>
      </c>
      <c r="F463" s="33" t="s">
        <v>1602</v>
      </c>
      <c r="G463" s="33" t="s">
        <v>1163</v>
      </c>
      <c r="H463" s="3">
        <f t="shared" si="26"/>
        <v>13086.4375</v>
      </c>
      <c r="I463" s="3">
        <f t="shared" si="27"/>
        <v>2093.83</v>
      </c>
    </row>
    <row r="464" spans="1:9">
      <c r="A464" s="174" t="s">
        <v>7099</v>
      </c>
      <c r="B464">
        <v>85</v>
      </c>
      <c r="F464" s="33" t="s">
        <v>803</v>
      </c>
      <c r="G464" s="33" t="s">
        <v>74</v>
      </c>
      <c r="H464" s="3">
        <f t="shared" si="26"/>
        <v>6999.875</v>
      </c>
      <c r="I464" s="3">
        <f t="shared" si="27"/>
        <v>1119.98</v>
      </c>
    </row>
    <row r="465" spans="1:10">
      <c r="A465" s="174" t="s">
        <v>7099</v>
      </c>
      <c r="B465">
        <v>85</v>
      </c>
      <c r="F465" s="134" t="s">
        <v>7064</v>
      </c>
      <c r="G465" s="134" t="s">
        <v>7065</v>
      </c>
      <c r="H465" s="3">
        <f t="shared" si="26"/>
        <v>267241.375</v>
      </c>
      <c r="I465" s="3">
        <f t="shared" si="27"/>
        <v>42758.62</v>
      </c>
    </row>
    <row r="466" spans="1:10">
      <c r="A466" s="174" t="s">
        <v>7099</v>
      </c>
      <c r="B466">
        <v>85</v>
      </c>
      <c r="F466" s="33" t="s">
        <v>805</v>
      </c>
      <c r="G466" s="33" t="s">
        <v>112</v>
      </c>
      <c r="H466" s="3">
        <f t="shared" si="26"/>
        <v>25000</v>
      </c>
      <c r="I466" s="3">
        <f t="shared" si="27"/>
        <v>4000</v>
      </c>
    </row>
    <row r="467" spans="1:10">
      <c r="A467" s="174" t="s">
        <v>7099</v>
      </c>
      <c r="B467">
        <v>85</v>
      </c>
      <c r="F467" s="28" t="s">
        <v>1667</v>
      </c>
      <c r="G467" s="28" t="s">
        <v>1668</v>
      </c>
      <c r="H467" s="3">
        <f t="shared" si="26"/>
        <v>83.375</v>
      </c>
      <c r="I467" s="3">
        <f t="shared" si="27"/>
        <v>13.34</v>
      </c>
    </row>
    <row r="468" spans="1:10">
      <c r="A468" s="174" t="s">
        <v>7099</v>
      </c>
      <c r="B468">
        <v>85</v>
      </c>
      <c r="F468" s="33" t="s">
        <v>1588</v>
      </c>
      <c r="G468" s="33" t="s">
        <v>1589</v>
      </c>
      <c r="H468" s="3">
        <f t="shared" si="26"/>
        <v>3263</v>
      </c>
      <c r="I468" s="3">
        <f t="shared" si="27"/>
        <v>522.08000000000004</v>
      </c>
    </row>
    <row r="469" spans="1:10">
      <c r="A469" s="174" t="s">
        <v>7099</v>
      </c>
      <c r="B469">
        <v>85</v>
      </c>
      <c r="F469" s="33" t="s">
        <v>1722</v>
      </c>
      <c r="G469" s="33" t="s">
        <v>1723</v>
      </c>
      <c r="H469" s="3">
        <f t="shared" si="26"/>
        <v>112.0625</v>
      </c>
      <c r="I469" s="3">
        <f t="shared" si="27"/>
        <v>17.93</v>
      </c>
    </row>
    <row r="470" spans="1:10">
      <c r="A470" s="174" t="s">
        <v>7099</v>
      </c>
      <c r="B470">
        <v>6</v>
      </c>
      <c r="F470" s="11" t="s">
        <v>802</v>
      </c>
      <c r="G470" s="11" t="s">
        <v>226</v>
      </c>
      <c r="H470" s="3">
        <f t="shared" si="26"/>
        <v>304</v>
      </c>
      <c r="I470" s="3">
        <f t="shared" si="27"/>
        <v>48.64</v>
      </c>
      <c r="J470">
        <f>10.76+7.6</f>
        <v>18.36</v>
      </c>
    </row>
    <row r="471" spans="1:10">
      <c r="A471" s="174" t="s">
        <v>7099</v>
      </c>
      <c r="B471">
        <v>85</v>
      </c>
      <c r="F471" s="41" t="s">
        <v>1603</v>
      </c>
      <c r="G471" s="33" t="s">
        <v>1184</v>
      </c>
      <c r="H471" s="3">
        <f t="shared" si="26"/>
        <v>1896.5625</v>
      </c>
      <c r="I471" s="3">
        <f t="shared" si="27"/>
        <v>303.45</v>
      </c>
    </row>
    <row r="472" spans="1:10">
      <c r="A472" s="174" t="s">
        <v>7099</v>
      </c>
      <c r="B472">
        <v>85</v>
      </c>
      <c r="F472" s="33" t="s">
        <v>806</v>
      </c>
      <c r="G472" s="33" t="s">
        <v>207</v>
      </c>
      <c r="H472" s="3">
        <f t="shared" si="26"/>
        <v>1029</v>
      </c>
      <c r="I472" s="3">
        <f t="shared" si="27"/>
        <v>164.64</v>
      </c>
    </row>
    <row r="473" spans="1:10">
      <c r="A473" s="174" t="s">
        <v>7099</v>
      </c>
      <c r="B473">
        <v>85</v>
      </c>
      <c r="F473" s="33" t="s">
        <v>811</v>
      </c>
      <c r="G473" s="33" t="s">
        <v>184</v>
      </c>
      <c r="H473" s="3">
        <f t="shared" si="26"/>
        <v>1028</v>
      </c>
      <c r="I473" s="3">
        <f t="shared" si="27"/>
        <v>164.48</v>
      </c>
    </row>
    <row r="474" spans="1:10">
      <c r="A474" s="174" t="s">
        <v>7099</v>
      </c>
      <c r="B474">
        <v>85</v>
      </c>
      <c r="F474" s="33" t="s">
        <v>1618</v>
      </c>
      <c r="G474" s="33" t="s">
        <v>1487</v>
      </c>
      <c r="H474" s="3">
        <f t="shared" si="26"/>
        <v>50</v>
      </c>
      <c r="I474" s="3">
        <f t="shared" si="27"/>
        <v>8</v>
      </c>
    </row>
    <row r="475" spans="1:10">
      <c r="A475" s="174" t="s">
        <v>7099</v>
      </c>
      <c r="B475">
        <v>85</v>
      </c>
      <c r="F475" s="51" t="s">
        <v>814</v>
      </c>
      <c r="G475" s="33" t="s">
        <v>815</v>
      </c>
      <c r="H475" s="3">
        <f t="shared" si="26"/>
        <v>211715.1875</v>
      </c>
      <c r="I475" s="3">
        <f t="shared" si="27"/>
        <v>33874.43</v>
      </c>
    </row>
    <row r="476" spans="1:10">
      <c r="A476" s="174" t="s">
        <v>7099</v>
      </c>
      <c r="B476">
        <v>85</v>
      </c>
      <c r="F476" s="33" t="s">
        <v>754</v>
      </c>
      <c r="G476" s="33" t="s">
        <v>1219</v>
      </c>
      <c r="H476" s="3">
        <f t="shared" si="26"/>
        <v>1800</v>
      </c>
      <c r="I476" s="3">
        <f t="shared" si="27"/>
        <v>288</v>
      </c>
    </row>
    <row r="477" spans="1:10">
      <c r="A477" s="174" t="s">
        <v>7099</v>
      </c>
      <c r="B477">
        <v>6</v>
      </c>
      <c r="F477" s="18" t="s">
        <v>816</v>
      </c>
      <c r="G477" s="19" t="s">
        <v>817</v>
      </c>
      <c r="H477" s="3">
        <f t="shared" si="26"/>
        <v>107142.875</v>
      </c>
      <c r="I477" s="3">
        <f t="shared" si="27"/>
        <v>17142.86</v>
      </c>
      <c r="J477">
        <v>11428.57</v>
      </c>
    </row>
    <row r="478" spans="1:10">
      <c r="A478" s="174" t="s">
        <v>7099</v>
      </c>
      <c r="B478">
        <v>85</v>
      </c>
      <c r="F478" s="33" t="s">
        <v>1606</v>
      </c>
      <c r="G478" s="33" t="s">
        <v>1261</v>
      </c>
      <c r="H478" s="3">
        <f t="shared" si="26"/>
        <v>15405</v>
      </c>
      <c r="I478" s="3">
        <f t="shared" si="27"/>
        <v>2464.8000000000002</v>
      </c>
    </row>
    <row r="479" spans="1:10">
      <c r="A479" s="174" t="s">
        <v>7099</v>
      </c>
      <c r="B479">
        <v>85</v>
      </c>
      <c r="F479" s="33" t="s">
        <v>1582</v>
      </c>
      <c r="G479" s="33" t="s">
        <v>1583</v>
      </c>
      <c r="H479" s="3">
        <f t="shared" si="26"/>
        <v>142.3125</v>
      </c>
      <c r="I479" s="3">
        <f t="shared" si="27"/>
        <v>22.77</v>
      </c>
    </row>
    <row r="480" spans="1:10">
      <c r="A480" s="174" t="s">
        <v>7099</v>
      </c>
      <c r="B480">
        <v>85</v>
      </c>
      <c r="F480" s="33" t="s">
        <v>1674</v>
      </c>
      <c r="G480" s="33" t="s">
        <v>1675</v>
      </c>
      <c r="H480" s="3">
        <f t="shared" si="26"/>
        <v>163.875</v>
      </c>
      <c r="I480" s="3">
        <f t="shared" si="27"/>
        <v>26.22</v>
      </c>
    </row>
    <row r="481" spans="1:10">
      <c r="A481" s="174" t="s">
        <v>7099</v>
      </c>
      <c r="B481">
        <v>85</v>
      </c>
      <c r="F481" s="33" t="s">
        <v>738</v>
      </c>
      <c r="G481" s="33" t="s">
        <v>517</v>
      </c>
      <c r="H481" s="3">
        <f t="shared" si="26"/>
        <v>155.1875</v>
      </c>
      <c r="I481" s="3">
        <f t="shared" si="27"/>
        <v>24.83</v>
      </c>
    </row>
    <row r="482" spans="1:10">
      <c r="A482" s="174" t="s">
        <v>7099</v>
      </c>
      <c r="B482">
        <v>85</v>
      </c>
      <c r="F482" s="33" t="s">
        <v>952</v>
      </c>
      <c r="G482" s="33" t="s">
        <v>115</v>
      </c>
      <c r="H482" s="3">
        <f t="shared" si="26"/>
        <v>1845</v>
      </c>
      <c r="I482" s="3">
        <f t="shared" si="27"/>
        <v>295.2</v>
      </c>
    </row>
    <row r="483" spans="1:10">
      <c r="A483" s="174" t="s">
        <v>7099</v>
      </c>
      <c r="B483">
        <v>85</v>
      </c>
      <c r="F483" s="33" t="s">
        <v>1644</v>
      </c>
      <c r="G483" s="33" t="s">
        <v>1645</v>
      </c>
      <c r="H483" s="3">
        <f t="shared" si="26"/>
        <v>333.5625</v>
      </c>
      <c r="I483" s="3">
        <f t="shared" si="27"/>
        <v>53.37</v>
      </c>
    </row>
    <row r="484" spans="1:10">
      <c r="A484" s="174" t="s">
        <v>7099</v>
      </c>
      <c r="B484">
        <v>85</v>
      </c>
      <c r="F484" s="33" t="s">
        <v>820</v>
      </c>
      <c r="G484" s="33" t="s">
        <v>97</v>
      </c>
      <c r="H484" s="3">
        <f t="shared" si="26"/>
        <v>4129.5625</v>
      </c>
      <c r="I484" s="3">
        <f t="shared" si="27"/>
        <v>660.73</v>
      </c>
    </row>
    <row r="485" spans="1:10">
      <c r="A485" s="174" t="s">
        <v>7099</v>
      </c>
      <c r="B485">
        <v>85</v>
      </c>
      <c r="F485" s="33" t="s">
        <v>917</v>
      </c>
      <c r="G485" s="33" t="s">
        <v>130</v>
      </c>
      <c r="H485" s="3">
        <f t="shared" si="26"/>
        <v>4241</v>
      </c>
      <c r="I485" s="3">
        <f t="shared" si="27"/>
        <v>678.56</v>
      </c>
    </row>
    <row r="486" spans="1:10">
      <c r="A486" s="174" t="s">
        <v>7099</v>
      </c>
      <c r="B486">
        <v>85</v>
      </c>
      <c r="F486" s="33" t="s">
        <v>1706</v>
      </c>
      <c r="G486" s="33" t="s">
        <v>1707</v>
      </c>
      <c r="H486" s="3">
        <f t="shared" si="26"/>
        <v>102.75</v>
      </c>
      <c r="I486" s="3">
        <f t="shared" si="27"/>
        <v>16.440000000000001</v>
      </c>
    </row>
    <row r="487" spans="1:10">
      <c r="A487" s="174" t="s">
        <v>7099</v>
      </c>
      <c r="B487">
        <v>85</v>
      </c>
      <c r="F487" s="33" t="s">
        <v>1604</v>
      </c>
      <c r="G487" s="33" t="s">
        <v>1475</v>
      </c>
      <c r="H487" s="3">
        <f t="shared" si="26"/>
        <v>75</v>
      </c>
      <c r="I487" s="3">
        <f t="shared" si="27"/>
        <v>12</v>
      </c>
    </row>
    <row r="488" spans="1:10">
      <c r="A488" s="174" t="s">
        <v>7099</v>
      </c>
      <c r="B488">
        <v>85</v>
      </c>
      <c r="F488" s="33" t="s">
        <v>1615</v>
      </c>
      <c r="G488" s="33" t="s">
        <v>1473</v>
      </c>
      <c r="H488" s="3">
        <f t="shared" si="26"/>
        <v>262.62499999999994</v>
      </c>
      <c r="I488" s="3">
        <f t="shared" si="27"/>
        <v>42.019999999999996</v>
      </c>
    </row>
    <row r="489" spans="1:10">
      <c r="A489" s="174" t="s">
        <v>7099</v>
      </c>
      <c r="B489">
        <v>85</v>
      </c>
      <c r="F489" s="33" t="s">
        <v>818</v>
      </c>
      <c r="G489" s="33" t="s">
        <v>819</v>
      </c>
      <c r="H489" s="3">
        <f t="shared" si="26"/>
        <v>657.49999999999989</v>
      </c>
      <c r="I489" s="3">
        <f t="shared" si="27"/>
        <v>105.19999999999999</v>
      </c>
    </row>
    <row r="490" spans="1:10">
      <c r="A490" s="174" t="s">
        <v>7099</v>
      </c>
      <c r="B490">
        <v>85</v>
      </c>
      <c r="F490" s="33" t="s">
        <v>839</v>
      </c>
      <c r="G490" s="33" t="s">
        <v>229</v>
      </c>
      <c r="H490" s="3">
        <f t="shared" si="26"/>
        <v>1371</v>
      </c>
      <c r="I490" s="3">
        <f t="shared" si="27"/>
        <v>219.36</v>
      </c>
    </row>
    <row r="491" spans="1:10">
      <c r="A491" s="174" t="s">
        <v>7099</v>
      </c>
      <c r="B491">
        <v>85</v>
      </c>
      <c r="F491" s="33" t="s">
        <v>1693</v>
      </c>
      <c r="G491" s="33" t="s">
        <v>1694</v>
      </c>
      <c r="H491" s="3">
        <f t="shared" si="26"/>
        <v>118.99999999999999</v>
      </c>
      <c r="I491" s="3">
        <f t="shared" si="27"/>
        <v>19.04</v>
      </c>
    </row>
    <row r="492" spans="1:10">
      <c r="A492" s="174" t="s">
        <v>7099</v>
      </c>
      <c r="B492">
        <v>85</v>
      </c>
      <c r="F492" s="33" t="s">
        <v>1619</v>
      </c>
      <c r="G492" s="33" t="s">
        <v>1013</v>
      </c>
      <c r="H492" s="3">
        <f t="shared" si="26"/>
        <v>3500</v>
      </c>
      <c r="I492" s="3">
        <f t="shared" si="27"/>
        <v>560</v>
      </c>
    </row>
    <row r="493" spans="1:10">
      <c r="A493" s="174" t="s">
        <v>7099</v>
      </c>
      <c r="B493">
        <v>85</v>
      </c>
      <c r="F493" s="28" t="s">
        <v>1700</v>
      </c>
      <c r="G493" s="28" t="s">
        <v>1701</v>
      </c>
      <c r="H493" s="3">
        <f t="shared" si="26"/>
        <v>708.8125</v>
      </c>
      <c r="I493" s="3">
        <f t="shared" si="27"/>
        <v>113.41</v>
      </c>
    </row>
    <row r="494" spans="1:10">
      <c r="A494" s="174" t="s">
        <v>7099</v>
      </c>
      <c r="B494">
        <v>6</v>
      </c>
      <c r="F494" s="18" t="s">
        <v>843</v>
      </c>
      <c r="G494" s="19" t="s">
        <v>844</v>
      </c>
      <c r="H494" s="3">
        <f t="shared" si="26"/>
        <v>107142.875</v>
      </c>
      <c r="I494" s="3">
        <f t="shared" si="27"/>
        <v>17142.86</v>
      </c>
      <c r="J494">
        <v>11428.57</v>
      </c>
    </row>
    <row r="495" spans="1:10">
      <c r="A495" s="174" t="s">
        <v>7099</v>
      </c>
      <c r="B495">
        <v>85</v>
      </c>
      <c r="F495" s="33" t="s">
        <v>846</v>
      </c>
      <c r="G495" s="33" t="s">
        <v>287</v>
      </c>
      <c r="H495" s="3">
        <f t="shared" si="26"/>
        <v>649.5</v>
      </c>
      <c r="I495" s="3">
        <f t="shared" si="27"/>
        <v>103.92</v>
      </c>
    </row>
    <row r="496" spans="1:10">
      <c r="A496" s="174" t="s">
        <v>7099</v>
      </c>
      <c r="B496">
        <v>85</v>
      </c>
      <c r="F496" s="42" t="s">
        <v>1620</v>
      </c>
      <c r="G496" s="33" t="s">
        <v>1186</v>
      </c>
      <c r="H496" s="3">
        <f t="shared" si="26"/>
        <v>3000</v>
      </c>
      <c r="I496" s="3">
        <f t="shared" si="27"/>
        <v>480</v>
      </c>
    </row>
    <row r="497" spans="1:9">
      <c r="A497" s="174" t="s">
        <v>7099</v>
      </c>
      <c r="B497">
        <v>85</v>
      </c>
      <c r="F497" s="33" t="s">
        <v>847</v>
      </c>
      <c r="G497" s="33" t="s">
        <v>541</v>
      </c>
      <c r="H497" s="3">
        <f t="shared" si="26"/>
        <v>124.5625</v>
      </c>
      <c r="I497" s="3">
        <f t="shared" si="27"/>
        <v>19.93</v>
      </c>
    </row>
    <row r="498" spans="1:9">
      <c r="A498" s="174" t="s">
        <v>7099</v>
      </c>
      <c r="B498">
        <v>85</v>
      </c>
      <c r="F498" s="41" t="s">
        <v>854</v>
      </c>
      <c r="G498" s="33" t="s">
        <v>855</v>
      </c>
      <c r="H498" s="3">
        <f t="shared" si="26"/>
        <v>330512.6875</v>
      </c>
      <c r="I498" s="3">
        <f t="shared" si="27"/>
        <v>52882.03</v>
      </c>
    </row>
    <row r="499" spans="1:9">
      <c r="A499" s="174" t="s">
        <v>7099</v>
      </c>
      <c r="B499">
        <v>85</v>
      </c>
      <c r="F499" s="41" t="s">
        <v>856</v>
      </c>
      <c r="G499" s="33" t="s">
        <v>857</v>
      </c>
      <c r="H499" s="3">
        <f t="shared" si="26"/>
        <v>796707.56249999988</v>
      </c>
      <c r="I499" s="3">
        <f t="shared" si="27"/>
        <v>127473.20999999999</v>
      </c>
    </row>
    <row r="500" spans="1:9">
      <c r="A500" s="174" t="s">
        <v>7099</v>
      </c>
      <c r="B500">
        <v>85</v>
      </c>
      <c r="F500" s="33" t="s">
        <v>851</v>
      </c>
      <c r="G500" s="33" t="s">
        <v>86</v>
      </c>
      <c r="H500" s="3">
        <f t="shared" si="26"/>
        <v>463.5625</v>
      </c>
      <c r="I500" s="3">
        <f t="shared" si="27"/>
        <v>74.17</v>
      </c>
    </row>
    <row r="501" spans="1:9">
      <c r="A501" s="174" t="s">
        <v>7099</v>
      </c>
      <c r="B501">
        <v>85</v>
      </c>
      <c r="F501" s="33" t="s">
        <v>1717</v>
      </c>
      <c r="G501" s="33" t="s">
        <v>1718</v>
      </c>
      <c r="H501" s="3">
        <f t="shared" si="26"/>
        <v>5324.875</v>
      </c>
      <c r="I501" s="3">
        <f t="shared" si="27"/>
        <v>851.98</v>
      </c>
    </row>
    <row r="502" spans="1:9">
      <c r="A502" s="174" t="s">
        <v>7099</v>
      </c>
      <c r="B502">
        <v>85</v>
      </c>
      <c r="F502" s="33" t="s">
        <v>1639</v>
      </c>
      <c r="G502" s="33" t="s">
        <v>1640</v>
      </c>
      <c r="H502" s="3">
        <f t="shared" si="26"/>
        <v>78.4375</v>
      </c>
      <c r="I502" s="3">
        <f t="shared" si="27"/>
        <v>12.55</v>
      </c>
    </row>
    <row r="503" spans="1:9">
      <c r="A503" s="174" t="s">
        <v>7099</v>
      </c>
      <c r="B503">
        <v>85</v>
      </c>
      <c r="F503" s="28" t="s">
        <v>925</v>
      </c>
      <c r="G503" s="28" t="s">
        <v>926</v>
      </c>
      <c r="H503" s="3">
        <f t="shared" si="26"/>
        <v>622.6875</v>
      </c>
      <c r="I503" s="3">
        <f t="shared" si="27"/>
        <v>99.63</v>
      </c>
    </row>
    <row r="504" spans="1:9">
      <c r="A504" s="174" t="s">
        <v>7099</v>
      </c>
      <c r="B504">
        <v>85</v>
      </c>
      <c r="F504" s="33" t="s">
        <v>849</v>
      </c>
      <c r="G504" s="33" t="s">
        <v>127</v>
      </c>
      <c r="H504" s="3">
        <f t="shared" si="26"/>
        <v>5600</v>
      </c>
      <c r="I504" s="3">
        <f t="shared" si="27"/>
        <v>896</v>
      </c>
    </row>
    <row r="505" spans="1:9">
      <c r="A505" s="174" t="s">
        <v>7099</v>
      </c>
      <c r="B505">
        <v>85</v>
      </c>
      <c r="F505" s="33" t="s">
        <v>850</v>
      </c>
      <c r="G505" s="33" t="s">
        <v>89</v>
      </c>
      <c r="H505" s="3">
        <f t="shared" si="26"/>
        <v>19675</v>
      </c>
      <c r="I505" s="3">
        <f t="shared" si="27"/>
        <v>3148</v>
      </c>
    </row>
    <row r="506" spans="1:9">
      <c r="A506" s="174" t="s">
        <v>7099</v>
      </c>
      <c r="B506">
        <v>85</v>
      </c>
      <c r="F506" s="33" t="s">
        <v>1609</v>
      </c>
      <c r="G506" s="33" t="s">
        <v>1610</v>
      </c>
      <c r="H506" s="3">
        <f t="shared" si="26"/>
        <v>1009.5</v>
      </c>
      <c r="I506" s="3">
        <f t="shared" si="27"/>
        <v>161.52000000000001</v>
      </c>
    </row>
    <row r="507" spans="1:9">
      <c r="A507" s="174" t="s">
        <v>7099</v>
      </c>
      <c r="B507">
        <v>85</v>
      </c>
      <c r="F507" s="28" t="s">
        <v>1724</v>
      </c>
      <c r="G507" s="28" t="s">
        <v>1725</v>
      </c>
      <c r="H507" s="3">
        <f t="shared" si="26"/>
        <v>250.99999999999997</v>
      </c>
      <c r="I507" s="3">
        <f t="shared" si="27"/>
        <v>40.159999999999997</v>
      </c>
    </row>
    <row r="508" spans="1:9">
      <c r="A508" s="174" t="s">
        <v>7099</v>
      </c>
      <c r="B508">
        <v>85</v>
      </c>
      <c r="F508" s="37" t="s">
        <v>1626</v>
      </c>
      <c r="G508" s="33" t="s">
        <v>1627</v>
      </c>
      <c r="H508" s="3">
        <f t="shared" si="26"/>
        <v>233357.93749999997</v>
      </c>
      <c r="I508" s="3">
        <f t="shared" si="27"/>
        <v>37337.269999999997</v>
      </c>
    </row>
    <row r="509" spans="1:9">
      <c r="A509" s="174" t="s">
        <v>7099</v>
      </c>
      <c r="B509">
        <v>85</v>
      </c>
      <c r="F509" s="33" t="s">
        <v>1726</v>
      </c>
      <c r="G509" s="33" t="s">
        <v>1727</v>
      </c>
      <c r="H509" s="3">
        <f t="shared" si="26"/>
        <v>66</v>
      </c>
      <c r="I509" s="3">
        <f t="shared" si="27"/>
        <v>10.56</v>
      </c>
    </row>
    <row r="510" spans="1:9">
      <c r="A510" s="174" t="s">
        <v>7099</v>
      </c>
      <c r="B510">
        <v>85</v>
      </c>
      <c r="F510" s="33" t="s">
        <v>858</v>
      </c>
      <c r="G510" s="33" t="s">
        <v>121</v>
      </c>
      <c r="H510" s="3">
        <f t="shared" si="26"/>
        <v>1400</v>
      </c>
      <c r="I510" s="3">
        <f t="shared" si="27"/>
        <v>224</v>
      </c>
    </row>
    <row r="511" spans="1:9">
      <c r="A511" s="174" t="s">
        <v>7099</v>
      </c>
      <c r="B511">
        <v>85</v>
      </c>
      <c r="F511" s="28" t="s">
        <v>923</v>
      </c>
      <c r="G511" s="28" t="s">
        <v>1657</v>
      </c>
      <c r="H511" s="3">
        <f t="shared" si="26"/>
        <v>166.75</v>
      </c>
      <c r="I511" s="3">
        <f t="shared" si="27"/>
        <v>26.68</v>
      </c>
    </row>
    <row r="512" spans="1:9">
      <c r="A512" s="174" t="s">
        <v>7099</v>
      </c>
      <c r="B512">
        <v>85</v>
      </c>
      <c r="F512" s="33" t="s">
        <v>1662</v>
      </c>
      <c r="G512" s="33" t="s">
        <v>1663</v>
      </c>
      <c r="H512" s="3">
        <f t="shared" si="26"/>
        <v>312.5</v>
      </c>
      <c r="I512" s="3">
        <f t="shared" si="27"/>
        <v>50</v>
      </c>
    </row>
    <row r="513" spans="1:9">
      <c r="A513" s="174" t="s">
        <v>7099</v>
      </c>
      <c r="B513">
        <v>85</v>
      </c>
      <c r="F513" s="33" t="s">
        <v>1702</v>
      </c>
      <c r="G513" s="33" t="s">
        <v>1703</v>
      </c>
      <c r="H513" s="3">
        <f t="shared" si="26"/>
        <v>94.8125</v>
      </c>
      <c r="I513" s="3">
        <f t="shared" si="27"/>
        <v>15.17</v>
      </c>
    </row>
    <row r="514" spans="1:9">
      <c r="A514" s="174" t="s">
        <v>7099</v>
      </c>
      <c r="B514">
        <v>85</v>
      </c>
      <c r="F514" s="33" t="s">
        <v>1625</v>
      </c>
      <c r="G514" s="33" t="s">
        <v>1047</v>
      </c>
      <c r="H514" s="3">
        <f t="shared" si="26"/>
        <v>19910</v>
      </c>
      <c r="I514" s="3">
        <f t="shared" si="27"/>
        <v>3185.6</v>
      </c>
    </row>
    <row r="515" spans="1:9">
      <c r="A515" s="174" t="s">
        <v>7099</v>
      </c>
      <c r="B515">
        <v>85</v>
      </c>
      <c r="F515" s="33" t="s">
        <v>921</v>
      </c>
      <c r="G515" s="33" t="s">
        <v>922</v>
      </c>
      <c r="H515" s="3">
        <f t="shared" si="26"/>
        <v>32367.750000000007</v>
      </c>
      <c r="I515" s="3">
        <f t="shared" si="27"/>
        <v>5178.8400000000011</v>
      </c>
    </row>
    <row r="516" spans="1:9">
      <c r="A516" s="174" t="s">
        <v>7099</v>
      </c>
      <c r="B516">
        <v>85</v>
      </c>
      <c r="F516" s="33" t="s">
        <v>869</v>
      </c>
      <c r="G516" s="33" t="s">
        <v>1455</v>
      </c>
      <c r="H516" s="3">
        <f t="shared" si="26"/>
        <v>27.187499999999996</v>
      </c>
      <c r="I516" s="3">
        <f t="shared" si="27"/>
        <v>4.3499999999999996</v>
      </c>
    </row>
    <row r="517" spans="1:9">
      <c r="A517" s="174" t="s">
        <v>7099</v>
      </c>
      <c r="B517">
        <v>85</v>
      </c>
      <c r="F517" s="33" t="s">
        <v>868</v>
      </c>
      <c r="G517" s="33" t="s">
        <v>94</v>
      </c>
      <c r="H517" s="3">
        <f t="shared" si="26"/>
        <v>49300</v>
      </c>
      <c r="I517" s="3">
        <f t="shared" si="27"/>
        <v>7888</v>
      </c>
    </row>
    <row r="518" spans="1:9">
      <c r="A518" s="174" t="s">
        <v>7099</v>
      </c>
      <c r="B518">
        <v>85</v>
      </c>
      <c r="F518" s="33" t="s">
        <v>1658</v>
      </c>
      <c r="G518" s="33" t="s">
        <v>1659</v>
      </c>
      <c r="H518" s="3">
        <f t="shared" si="26"/>
        <v>129.3125</v>
      </c>
      <c r="I518" s="3">
        <f t="shared" si="27"/>
        <v>20.69</v>
      </c>
    </row>
    <row r="519" spans="1:9">
      <c r="A519" s="174" t="s">
        <v>7099</v>
      </c>
      <c r="B519">
        <v>85</v>
      </c>
      <c r="F519" s="33" t="s">
        <v>742</v>
      </c>
      <c r="G519" s="33" t="s">
        <v>1453</v>
      </c>
      <c r="H519" s="3">
        <f t="shared" si="26"/>
        <v>90.5</v>
      </c>
      <c r="I519" s="3">
        <f t="shared" si="27"/>
        <v>14.48</v>
      </c>
    </row>
    <row r="520" spans="1:9">
      <c r="A520" s="174" t="s">
        <v>7099</v>
      </c>
      <c r="B520">
        <v>85</v>
      </c>
      <c r="F520" s="33" t="s">
        <v>1623</v>
      </c>
      <c r="G520" s="33" t="s">
        <v>1624</v>
      </c>
      <c r="H520" s="3">
        <f t="shared" si="26"/>
        <v>2493.125</v>
      </c>
      <c r="I520" s="3">
        <f t="shared" si="27"/>
        <v>398.9</v>
      </c>
    </row>
    <row r="521" spans="1:9">
      <c r="A521" s="174" t="s">
        <v>7099</v>
      </c>
      <c r="B521">
        <v>85</v>
      </c>
      <c r="F521" s="33" t="s">
        <v>1605</v>
      </c>
      <c r="G521" s="33" t="s">
        <v>1485</v>
      </c>
      <c r="H521" s="3">
        <f t="shared" si="26"/>
        <v>75</v>
      </c>
      <c r="I521" s="3">
        <f t="shared" si="27"/>
        <v>12</v>
      </c>
    </row>
    <row r="522" spans="1:9">
      <c r="A522" s="174" t="s">
        <v>7099</v>
      </c>
      <c r="B522">
        <v>85</v>
      </c>
      <c r="F522" s="33" t="s">
        <v>1682</v>
      </c>
      <c r="G522" s="33" t="s">
        <v>1683</v>
      </c>
      <c r="H522" s="3">
        <f t="shared" si="26"/>
        <v>47.4375</v>
      </c>
      <c r="I522" s="3">
        <f t="shared" si="27"/>
        <v>7.59</v>
      </c>
    </row>
    <row r="523" spans="1:9">
      <c r="A523" s="174" t="s">
        <v>7099</v>
      </c>
      <c r="B523">
        <v>85</v>
      </c>
      <c r="F523" s="41" t="s">
        <v>865</v>
      </c>
      <c r="G523" s="33" t="s">
        <v>158</v>
      </c>
      <c r="H523" s="3">
        <f t="shared" si="26"/>
        <v>1580</v>
      </c>
      <c r="I523" s="3">
        <f t="shared" si="27"/>
        <v>252.8</v>
      </c>
    </row>
    <row r="524" spans="1:9">
      <c r="A524" s="174" t="s">
        <v>7099</v>
      </c>
      <c r="B524">
        <v>85</v>
      </c>
      <c r="F524" s="33" t="s">
        <v>1628</v>
      </c>
      <c r="G524" s="33" t="s">
        <v>1629</v>
      </c>
      <c r="H524" s="3">
        <f t="shared" ref="H524:H561" si="28">+I524/0.16</f>
        <v>1582</v>
      </c>
      <c r="I524" s="3">
        <f t="shared" ref="I524:I561" si="29">+SUMIF($F$10:$F$387,F524,$I$10:$I$387)</f>
        <v>253.12</v>
      </c>
    </row>
    <row r="525" spans="1:9">
      <c r="A525" s="174" t="s">
        <v>7099</v>
      </c>
      <c r="B525">
        <v>85</v>
      </c>
      <c r="F525" s="33" t="s">
        <v>1616</v>
      </c>
      <c r="G525" s="33" t="s">
        <v>1493</v>
      </c>
      <c r="H525" s="3">
        <f t="shared" si="28"/>
        <v>267.25</v>
      </c>
      <c r="I525" s="3">
        <f t="shared" si="29"/>
        <v>42.76</v>
      </c>
    </row>
    <row r="526" spans="1:9">
      <c r="A526" s="174" t="s">
        <v>7099</v>
      </c>
      <c r="B526">
        <v>85</v>
      </c>
      <c r="F526" s="33" t="s">
        <v>875</v>
      </c>
      <c r="G526" s="33" t="s">
        <v>19</v>
      </c>
      <c r="H526" s="3">
        <f t="shared" si="28"/>
        <v>36308.8125</v>
      </c>
      <c r="I526" s="3">
        <f t="shared" si="29"/>
        <v>5809.41</v>
      </c>
    </row>
    <row r="527" spans="1:9">
      <c r="A527" s="174" t="s">
        <v>7099</v>
      </c>
      <c r="B527">
        <v>85</v>
      </c>
      <c r="F527" s="28" t="s">
        <v>943</v>
      </c>
      <c r="G527" s="28" t="s">
        <v>1731</v>
      </c>
      <c r="H527" s="3">
        <f t="shared" si="28"/>
        <v>904.25</v>
      </c>
      <c r="I527" s="3">
        <f t="shared" si="29"/>
        <v>144.68</v>
      </c>
    </row>
    <row r="528" spans="1:9">
      <c r="A528" s="174" t="s">
        <v>7099</v>
      </c>
      <c r="B528">
        <v>85</v>
      </c>
      <c r="F528" s="28" t="s">
        <v>1684</v>
      </c>
      <c r="G528" s="28" t="s">
        <v>1685</v>
      </c>
      <c r="H528" s="3">
        <f t="shared" si="28"/>
        <v>833.87499999999989</v>
      </c>
      <c r="I528" s="3">
        <f t="shared" si="29"/>
        <v>133.41999999999999</v>
      </c>
    </row>
    <row r="529" spans="1:9">
      <c r="A529" s="174" t="s">
        <v>7099</v>
      </c>
      <c r="B529">
        <v>85</v>
      </c>
      <c r="F529" s="41" t="s">
        <v>1630</v>
      </c>
      <c r="G529" t="s">
        <v>1002</v>
      </c>
      <c r="H529" s="3">
        <f t="shared" si="28"/>
        <v>8600</v>
      </c>
      <c r="I529" s="3">
        <f t="shared" si="29"/>
        <v>1376</v>
      </c>
    </row>
    <row r="530" spans="1:9">
      <c r="A530" s="174" t="s">
        <v>7099</v>
      </c>
      <c r="B530">
        <v>85</v>
      </c>
      <c r="F530" s="28" t="s">
        <v>1691</v>
      </c>
      <c r="G530" s="28" t="s">
        <v>1692</v>
      </c>
      <c r="H530" s="3">
        <f t="shared" si="28"/>
        <v>333.5625</v>
      </c>
      <c r="I530" s="3">
        <f t="shared" si="29"/>
        <v>53.37</v>
      </c>
    </row>
    <row r="531" spans="1:9">
      <c r="A531" s="174" t="s">
        <v>7099</v>
      </c>
      <c r="B531">
        <v>85</v>
      </c>
      <c r="F531" s="33" t="s">
        <v>878</v>
      </c>
      <c r="G531" s="33" t="s">
        <v>319</v>
      </c>
      <c r="H531" s="3">
        <f t="shared" si="28"/>
        <v>168861</v>
      </c>
      <c r="I531" s="3">
        <f t="shared" si="29"/>
        <v>27017.759999999998</v>
      </c>
    </row>
    <row r="532" spans="1:9">
      <c r="A532" s="174" t="s">
        <v>7099</v>
      </c>
      <c r="B532">
        <v>85</v>
      </c>
      <c r="F532" s="28" t="s">
        <v>877</v>
      </c>
      <c r="G532" s="28" t="s">
        <v>223</v>
      </c>
      <c r="H532" s="3">
        <f t="shared" si="28"/>
        <v>20600</v>
      </c>
      <c r="I532" s="3">
        <f t="shared" si="29"/>
        <v>3296</v>
      </c>
    </row>
    <row r="533" spans="1:9">
      <c r="A533" s="174" t="s">
        <v>7099</v>
      </c>
      <c r="B533">
        <v>85</v>
      </c>
      <c r="F533" s="28" t="s">
        <v>905</v>
      </c>
      <c r="G533" s="28" t="s">
        <v>906</v>
      </c>
      <c r="H533" s="3">
        <f t="shared" si="28"/>
        <v>689.875</v>
      </c>
      <c r="I533" s="3">
        <f t="shared" si="29"/>
        <v>110.38</v>
      </c>
    </row>
    <row r="534" spans="1:9">
      <c r="A534" s="174" t="s">
        <v>7099</v>
      </c>
      <c r="B534">
        <v>85</v>
      </c>
      <c r="F534" s="28" t="s">
        <v>1669</v>
      </c>
      <c r="G534" s="28" t="s">
        <v>1670</v>
      </c>
      <c r="H534" s="3">
        <f t="shared" si="28"/>
        <v>333.4375</v>
      </c>
      <c r="I534" s="3">
        <f t="shared" si="29"/>
        <v>53.35</v>
      </c>
    </row>
    <row r="535" spans="1:9">
      <c r="A535" s="174" t="s">
        <v>7099</v>
      </c>
      <c r="B535">
        <v>85</v>
      </c>
      <c r="F535" s="41" t="s">
        <v>915</v>
      </c>
      <c r="G535" s="43" t="s">
        <v>916</v>
      </c>
      <c r="H535" s="3">
        <f t="shared" si="28"/>
        <v>63</v>
      </c>
      <c r="I535" s="3">
        <f t="shared" si="29"/>
        <v>10.08</v>
      </c>
    </row>
    <row r="536" spans="1:9">
      <c r="A536" s="174" t="s">
        <v>7099</v>
      </c>
      <c r="B536">
        <v>85</v>
      </c>
      <c r="F536" s="28" t="s">
        <v>913</v>
      </c>
      <c r="G536" s="28" t="s">
        <v>914</v>
      </c>
      <c r="H536" s="3">
        <f t="shared" si="28"/>
        <v>3502.9375</v>
      </c>
      <c r="I536" s="3">
        <f t="shared" si="29"/>
        <v>560.47</v>
      </c>
    </row>
    <row r="537" spans="1:9">
      <c r="A537" s="174" t="s">
        <v>7099</v>
      </c>
      <c r="B537">
        <v>85</v>
      </c>
      <c r="F537" s="33" t="s">
        <v>1664</v>
      </c>
      <c r="G537" s="33" t="s">
        <v>1665</v>
      </c>
      <c r="H537" s="3">
        <f t="shared" si="28"/>
        <v>375.125</v>
      </c>
      <c r="I537" s="3">
        <f t="shared" si="29"/>
        <v>60.02</v>
      </c>
    </row>
    <row r="538" spans="1:9">
      <c r="A538" s="174" t="s">
        <v>7099</v>
      </c>
      <c r="B538">
        <v>85</v>
      </c>
      <c r="F538" t="s">
        <v>7066</v>
      </c>
      <c r="G538" t="s">
        <v>7067</v>
      </c>
      <c r="H538" s="3">
        <f t="shared" si="28"/>
        <v>18990</v>
      </c>
      <c r="I538" s="3">
        <f t="shared" si="29"/>
        <v>3038.4</v>
      </c>
    </row>
    <row r="539" spans="1:9">
      <c r="A539" s="174" t="s">
        <v>7099</v>
      </c>
      <c r="B539">
        <v>85</v>
      </c>
      <c r="F539" s="33" t="s">
        <v>884</v>
      </c>
      <c r="G539" s="33" t="s">
        <v>535</v>
      </c>
      <c r="H539" s="3">
        <f t="shared" si="28"/>
        <v>1379.25</v>
      </c>
      <c r="I539" s="3">
        <f t="shared" si="29"/>
        <v>220.68</v>
      </c>
    </row>
    <row r="540" spans="1:9">
      <c r="A540" s="174" t="s">
        <v>7099</v>
      </c>
      <c r="B540">
        <v>85</v>
      </c>
      <c r="F540" s="33" t="s">
        <v>933</v>
      </c>
      <c r="G540" s="33" t="s">
        <v>934</v>
      </c>
      <c r="H540" s="3">
        <f t="shared" si="28"/>
        <v>225</v>
      </c>
      <c r="I540" s="3">
        <f t="shared" si="29"/>
        <v>36</v>
      </c>
    </row>
    <row r="541" spans="1:9">
      <c r="A541" s="174" t="s">
        <v>7099</v>
      </c>
      <c r="B541">
        <v>85</v>
      </c>
      <c r="F541" s="41" t="s">
        <v>876</v>
      </c>
      <c r="G541" s="33" t="s">
        <v>306</v>
      </c>
      <c r="H541" s="3">
        <f t="shared" si="28"/>
        <v>32611.374999999996</v>
      </c>
      <c r="I541" s="3">
        <f t="shared" si="29"/>
        <v>5217.82</v>
      </c>
    </row>
    <row r="542" spans="1:9">
      <c r="A542" s="174" t="s">
        <v>7099</v>
      </c>
      <c r="B542">
        <v>85</v>
      </c>
      <c r="F542" s="28" t="s">
        <v>901</v>
      </c>
      <c r="G542" s="28" t="s">
        <v>1708</v>
      </c>
      <c r="H542" s="3">
        <f t="shared" si="28"/>
        <v>362.75</v>
      </c>
      <c r="I542" s="3">
        <f t="shared" si="29"/>
        <v>58.04</v>
      </c>
    </row>
    <row r="543" spans="1:9">
      <c r="A543" s="174" t="s">
        <v>7099</v>
      </c>
      <c r="B543">
        <v>85</v>
      </c>
      <c r="F543" s="42" t="s">
        <v>1631</v>
      </c>
      <c r="G543" s="33" t="s">
        <v>1199</v>
      </c>
      <c r="H543" s="3">
        <f t="shared" si="28"/>
        <v>18901.8125</v>
      </c>
      <c r="I543" s="3">
        <f t="shared" si="29"/>
        <v>3024.29</v>
      </c>
    </row>
    <row r="544" spans="1:9">
      <c r="A544" s="174" t="s">
        <v>7099</v>
      </c>
      <c r="B544">
        <v>85</v>
      </c>
      <c r="F544" s="35" t="s">
        <v>1704</v>
      </c>
      <c r="G544" s="35" t="s">
        <v>1705</v>
      </c>
      <c r="H544" s="3">
        <f t="shared" si="28"/>
        <v>166.8125</v>
      </c>
      <c r="I544" s="3">
        <f t="shared" si="29"/>
        <v>26.69</v>
      </c>
    </row>
    <row r="545" spans="1:9">
      <c r="A545" s="174" t="s">
        <v>7099</v>
      </c>
      <c r="B545">
        <v>85</v>
      </c>
      <c r="F545" s="28" t="s">
        <v>1676</v>
      </c>
      <c r="G545" s="28" t="s">
        <v>1677</v>
      </c>
      <c r="H545" s="3">
        <f t="shared" si="28"/>
        <v>417</v>
      </c>
      <c r="I545" s="3">
        <f t="shared" si="29"/>
        <v>66.72</v>
      </c>
    </row>
    <row r="546" spans="1:9">
      <c r="A546" s="174" t="s">
        <v>7099</v>
      </c>
      <c r="B546">
        <v>85</v>
      </c>
      <c r="F546" s="33" t="s">
        <v>1719</v>
      </c>
      <c r="G546" s="33" t="s">
        <v>1720</v>
      </c>
      <c r="H546" s="3">
        <f t="shared" si="28"/>
        <v>101.75</v>
      </c>
      <c r="I546" s="3">
        <f t="shared" si="29"/>
        <v>16.28</v>
      </c>
    </row>
    <row r="547" spans="1:9">
      <c r="A547" s="174" t="s">
        <v>7099</v>
      </c>
      <c r="B547">
        <v>85</v>
      </c>
      <c r="F547" s="23" t="s">
        <v>829</v>
      </c>
      <c r="G547" s="24" t="s">
        <v>6</v>
      </c>
      <c r="H547" s="3">
        <f t="shared" si="28"/>
        <v>881006.56249999988</v>
      </c>
      <c r="I547" s="3">
        <f t="shared" si="29"/>
        <v>140961.04999999999</v>
      </c>
    </row>
    <row r="548" spans="1:9">
      <c r="A548" s="174" t="s">
        <v>7099</v>
      </c>
      <c r="B548">
        <v>85</v>
      </c>
      <c r="F548" s="33" t="s">
        <v>1632</v>
      </c>
      <c r="G548" s="33" t="s">
        <v>968</v>
      </c>
      <c r="H548" s="3">
        <f t="shared" si="28"/>
        <v>37734.3125</v>
      </c>
      <c r="I548" s="3">
        <f t="shared" si="29"/>
        <v>6037.49</v>
      </c>
    </row>
    <row r="549" spans="1:9">
      <c r="A549" s="174" t="s">
        <v>7099</v>
      </c>
      <c r="B549">
        <v>85</v>
      </c>
      <c r="F549" s="33" t="s">
        <v>1633</v>
      </c>
      <c r="G549" s="33" t="s">
        <v>1634</v>
      </c>
      <c r="H549" s="3">
        <f t="shared" si="28"/>
        <v>532805.125</v>
      </c>
      <c r="I549" s="3">
        <f t="shared" si="29"/>
        <v>85248.82</v>
      </c>
    </row>
    <row r="550" spans="1:9">
      <c r="A550" s="174" t="s">
        <v>7099</v>
      </c>
      <c r="B550">
        <v>85</v>
      </c>
      <c r="F550" s="30" t="s">
        <v>886</v>
      </c>
      <c r="G550" s="31" t="s">
        <v>887</v>
      </c>
      <c r="H550" s="3">
        <f t="shared" si="28"/>
        <v>10668079.375000002</v>
      </c>
      <c r="I550" s="3">
        <f t="shared" si="29"/>
        <v>1706892.7000000004</v>
      </c>
    </row>
    <row r="551" spans="1:9">
      <c r="A551" s="174" t="s">
        <v>7099</v>
      </c>
      <c r="B551">
        <v>85</v>
      </c>
      <c r="F551" s="53" t="s">
        <v>1635</v>
      </c>
      <c r="G551" s="54" t="s">
        <v>1636</v>
      </c>
      <c r="H551" s="3">
        <f t="shared" si="28"/>
        <v>-253071.81249999997</v>
      </c>
      <c r="I551" s="3">
        <f t="shared" si="29"/>
        <v>-40491.49</v>
      </c>
    </row>
    <row r="552" spans="1:9">
      <c r="A552" s="174" t="s">
        <v>7099</v>
      </c>
      <c r="B552">
        <v>85</v>
      </c>
      <c r="F552" s="37" t="s">
        <v>1637</v>
      </c>
      <c r="G552" s="55" t="s">
        <v>1638</v>
      </c>
      <c r="H552" s="3">
        <f t="shared" si="28"/>
        <v>253943.3125</v>
      </c>
      <c r="I552" s="3">
        <f t="shared" si="29"/>
        <v>40630.93</v>
      </c>
    </row>
    <row r="553" spans="1:9">
      <c r="A553" s="174" t="s">
        <v>7099</v>
      </c>
      <c r="B553">
        <v>85</v>
      </c>
      <c r="F553" s="33" t="s">
        <v>879</v>
      </c>
      <c r="G553" s="33" t="s">
        <v>52</v>
      </c>
      <c r="H553" s="3">
        <f t="shared" si="28"/>
        <v>1897.4374999999998</v>
      </c>
      <c r="I553" s="3">
        <f t="shared" si="29"/>
        <v>303.58999999999997</v>
      </c>
    </row>
    <row r="554" spans="1:9">
      <c r="A554" s="174" t="s">
        <v>7099</v>
      </c>
      <c r="B554">
        <v>85</v>
      </c>
      <c r="F554" s="32" t="s">
        <v>890</v>
      </c>
      <c r="G554" s="33" t="s">
        <v>891</v>
      </c>
      <c r="H554" s="3">
        <f t="shared" si="28"/>
        <v>1377335.8124999998</v>
      </c>
      <c r="I554" s="3">
        <f t="shared" si="29"/>
        <v>220373.72999999998</v>
      </c>
    </row>
    <row r="555" spans="1:9">
      <c r="A555" s="174" t="s">
        <v>7099</v>
      </c>
      <c r="B555">
        <v>85</v>
      </c>
      <c r="F555" s="33" t="s">
        <v>1613</v>
      </c>
      <c r="G555" s="33" t="s">
        <v>1614</v>
      </c>
      <c r="H555" s="3">
        <f t="shared" si="28"/>
        <v>185.0625</v>
      </c>
      <c r="I555" s="3">
        <f t="shared" si="29"/>
        <v>29.61</v>
      </c>
    </row>
    <row r="556" spans="1:9">
      <c r="A556" s="174" t="s">
        <v>7099</v>
      </c>
      <c r="B556">
        <v>85</v>
      </c>
      <c r="F556" s="41" t="s">
        <v>1711</v>
      </c>
      <c r="G556" s="33" t="s">
        <v>1332</v>
      </c>
      <c r="H556" s="3">
        <f t="shared" si="28"/>
        <v>2650</v>
      </c>
      <c r="I556" s="3">
        <f t="shared" si="29"/>
        <v>424</v>
      </c>
    </row>
    <row r="557" spans="1:9">
      <c r="A557" s="174" t="s">
        <v>7099</v>
      </c>
      <c r="B557">
        <v>85</v>
      </c>
      <c r="F557" s="33" t="s">
        <v>1617</v>
      </c>
      <c r="G557" s="33" t="s">
        <v>1461</v>
      </c>
      <c r="H557" s="3">
        <f t="shared" si="28"/>
        <v>172.4375</v>
      </c>
      <c r="I557" s="3">
        <f t="shared" si="29"/>
        <v>27.59</v>
      </c>
    </row>
    <row r="558" spans="1:9">
      <c r="A558" s="174" t="s">
        <v>7099</v>
      </c>
      <c r="B558">
        <v>85</v>
      </c>
      <c r="F558" s="58" t="s">
        <v>1709</v>
      </c>
      <c r="G558" s="43" t="s">
        <v>1710</v>
      </c>
      <c r="H558" s="3">
        <f t="shared" si="28"/>
        <v>1726.3124999999998</v>
      </c>
      <c r="I558" s="3">
        <f t="shared" si="29"/>
        <v>276.20999999999998</v>
      </c>
    </row>
    <row r="559" spans="1:9">
      <c r="A559" s="174" t="s">
        <v>7099</v>
      </c>
      <c r="B559">
        <v>85</v>
      </c>
      <c r="F559" s="33" t="s">
        <v>888</v>
      </c>
      <c r="G559" s="33" t="s">
        <v>370</v>
      </c>
      <c r="H559" s="3">
        <f t="shared" si="28"/>
        <v>12500</v>
      </c>
      <c r="I559" s="3">
        <f t="shared" si="29"/>
        <v>2000</v>
      </c>
    </row>
    <row r="560" spans="1:9">
      <c r="A560" s="174" t="s">
        <v>7099</v>
      </c>
      <c r="B560">
        <v>85</v>
      </c>
      <c r="F560" s="33" t="s">
        <v>1728</v>
      </c>
      <c r="G560" s="33" t="s">
        <v>1287</v>
      </c>
      <c r="H560" s="3">
        <f t="shared" si="28"/>
        <v>1831.5</v>
      </c>
      <c r="I560" s="3">
        <f t="shared" si="29"/>
        <v>293.04000000000002</v>
      </c>
    </row>
    <row r="561" spans="1:11">
      <c r="A561" s="174" t="s">
        <v>7099</v>
      </c>
      <c r="B561">
        <v>85</v>
      </c>
      <c r="F561" s="33" t="s">
        <v>1729</v>
      </c>
      <c r="G561" s="33" t="s">
        <v>1730</v>
      </c>
      <c r="H561" s="3">
        <f t="shared" si="28"/>
        <v>604.8125</v>
      </c>
      <c r="I561" s="3">
        <f t="shared" si="29"/>
        <v>96.77</v>
      </c>
    </row>
    <row r="562" spans="1:11">
      <c r="H562" s="14">
        <f>SUM(H395:H561)</f>
        <v>21424215.75</v>
      </c>
      <c r="I562" s="14">
        <f>SUM(I395:I561)</f>
        <v>3427874.5199999996</v>
      </c>
    </row>
    <row r="563" spans="1:11">
      <c r="I563" s="14"/>
    </row>
    <row r="564" spans="1:11">
      <c r="H564" s="14">
        <f>+H389</f>
        <v>21424215.75</v>
      </c>
      <c r="I564" s="14">
        <f>+I389</f>
        <v>3427874.5199999986</v>
      </c>
      <c r="J564" s="14">
        <f>+SUM(J395:J562)</f>
        <v>22875.5</v>
      </c>
    </row>
    <row r="565" spans="1:11">
      <c r="H565" s="14">
        <f>+H562-H564</f>
        <v>0</v>
      </c>
      <c r="J565" s="3">
        <f>22857.14+304.23</f>
        <v>23161.37</v>
      </c>
    </row>
    <row r="566" spans="1:11">
      <c r="J566" s="136">
        <f>+J565-J564</f>
        <v>285.86999999999898</v>
      </c>
      <c r="K566" t="s">
        <v>7074</v>
      </c>
    </row>
  </sheetData>
  <autoFilter ref="A9:I387"/>
  <sortState ref="A10:J308">
    <sortCondition ref="E10:E308"/>
  </sortState>
  <conditionalFormatting sqref="F395:G450 F452:G561 G451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L528"/>
  <sheetViews>
    <sheetView zoomScale="80" zoomScaleNormal="80" workbookViewId="0">
      <pane ySplit="9" topLeftCell="A371" activePane="bottomLeft" state="frozen"/>
      <selection pane="bottomLeft" activeCell="A371" sqref="A371:A523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3" bestFit="1" customWidth="1"/>
    <col min="4" max="4" width="2" bestFit="1" customWidth="1"/>
    <col min="5" max="5" width="39.5703125" bestFit="1" customWidth="1"/>
    <col min="6" max="6" width="16.7109375" bestFit="1" customWidth="1"/>
    <col min="7" max="7" width="52.85546875" bestFit="1" customWidth="1"/>
    <col min="8" max="9" width="14.140625" style="3" bestFit="1" customWidth="1"/>
    <col min="10" max="10" width="14.140625" bestFit="1" customWidth="1"/>
  </cols>
  <sheetData>
    <row r="1" spans="1:9">
      <c r="A1" t="s">
        <v>729</v>
      </c>
    </row>
    <row r="2" spans="1:9">
      <c r="A2" t="s">
        <v>1732</v>
      </c>
      <c r="B2">
        <v>2013</v>
      </c>
    </row>
    <row r="3" spans="1:9">
      <c r="A3" t="s">
        <v>731</v>
      </c>
    </row>
    <row r="9" spans="1:9">
      <c r="A9" s="6" t="s">
        <v>721</v>
      </c>
      <c r="B9" s="6" t="s">
        <v>722</v>
      </c>
      <c r="C9" s="6" t="s">
        <v>1568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7" t="s">
        <v>726</v>
      </c>
    </row>
    <row r="10" spans="1:9">
      <c r="A10" t="s">
        <v>2204</v>
      </c>
      <c r="B10" s="1">
        <v>41354</v>
      </c>
      <c r="C10" t="s">
        <v>2205</v>
      </c>
      <c r="D10">
        <v>1</v>
      </c>
      <c r="E10" t="s">
        <v>124</v>
      </c>
      <c r="F10" s="33" t="s">
        <v>733</v>
      </c>
      <c r="G10" s="33" t="s">
        <v>124</v>
      </c>
      <c r="H10" s="3">
        <f t="shared" ref="H10:H48" si="0">+I10/0.16</f>
        <v>6614.6874999999991</v>
      </c>
      <c r="I10" s="3">
        <v>1058.3499999999999</v>
      </c>
    </row>
    <row r="11" spans="1:9">
      <c r="A11" t="s">
        <v>1836</v>
      </c>
      <c r="B11" s="1">
        <v>41353</v>
      </c>
      <c r="C11" t="s">
        <v>1837</v>
      </c>
      <c r="D11">
        <v>1</v>
      </c>
      <c r="E11" t="s">
        <v>1838</v>
      </c>
      <c r="F11" s="33" t="s">
        <v>2267</v>
      </c>
      <c r="G11" s="33" t="s">
        <v>1757</v>
      </c>
      <c r="H11" s="3">
        <f t="shared" si="0"/>
        <v>277752.6875</v>
      </c>
      <c r="I11" s="3">
        <v>44440.43</v>
      </c>
    </row>
    <row r="12" spans="1:9">
      <c r="A12" t="s">
        <v>1839</v>
      </c>
      <c r="B12" s="1">
        <v>41353</v>
      </c>
      <c r="C12" t="s">
        <v>1840</v>
      </c>
      <c r="D12">
        <v>1</v>
      </c>
      <c r="E12" t="s">
        <v>1841</v>
      </c>
      <c r="F12" s="32" t="s">
        <v>734</v>
      </c>
      <c r="G12" s="33" t="s">
        <v>735</v>
      </c>
      <c r="H12" s="3">
        <f t="shared" si="0"/>
        <v>277752.8125</v>
      </c>
      <c r="I12" s="3">
        <v>44440.45</v>
      </c>
    </row>
    <row r="13" spans="1:9">
      <c r="A13" t="s">
        <v>1755</v>
      </c>
      <c r="B13" s="1">
        <v>41341</v>
      </c>
      <c r="C13" t="s">
        <v>1756</v>
      </c>
      <c r="D13">
        <v>1</v>
      </c>
      <c r="E13" t="s">
        <v>1757</v>
      </c>
      <c r="F13" s="33" t="s">
        <v>2267</v>
      </c>
      <c r="G13" s="33" t="s">
        <v>1757</v>
      </c>
      <c r="H13" s="3">
        <f t="shared" si="0"/>
        <v>253943.3125</v>
      </c>
      <c r="I13" s="3">
        <v>40630.93</v>
      </c>
    </row>
    <row r="14" spans="1:9">
      <c r="A14" t="s">
        <v>1900</v>
      </c>
      <c r="B14" s="1">
        <v>41360</v>
      </c>
      <c r="C14" t="s">
        <v>1901</v>
      </c>
      <c r="D14">
        <v>1</v>
      </c>
      <c r="E14" t="s">
        <v>1902</v>
      </c>
      <c r="F14" s="32" t="s">
        <v>736</v>
      </c>
      <c r="G14" s="33" t="s">
        <v>737</v>
      </c>
      <c r="H14" s="3">
        <f t="shared" si="0"/>
        <v>211715.1875</v>
      </c>
      <c r="I14" s="3">
        <v>33874.43</v>
      </c>
    </row>
    <row r="15" spans="1:9">
      <c r="A15" t="s">
        <v>1966</v>
      </c>
      <c r="B15" s="1">
        <v>41364</v>
      </c>
      <c r="C15" t="s">
        <v>1962</v>
      </c>
      <c r="D15">
        <v>1</v>
      </c>
      <c r="E15" t="s">
        <v>517</v>
      </c>
      <c r="F15" s="33" t="s">
        <v>738</v>
      </c>
      <c r="G15" s="33" t="s">
        <v>2268</v>
      </c>
      <c r="H15" s="3">
        <f t="shared" si="0"/>
        <v>143.375</v>
      </c>
      <c r="I15" s="3">
        <v>22.94</v>
      </c>
    </row>
    <row r="16" spans="1:9">
      <c r="A16" t="s">
        <v>2013</v>
      </c>
      <c r="B16" s="1">
        <v>41364</v>
      </c>
      <c r="C16" t="s">
        <v>2014</v>
      </c>
      <c r="D16">
        <v>1</v>
      </c>
      <c r="E16" t="s">
        <v>602</v>
      </c>
      <c r="F16" s="33" t="s">
        <v>742</v>
      </c>
      <c r="G16" s="33" t="s">
        <v>602</v>
      </c>
      <c r="H16" s="3">
        <f t="shared" si="0"/>
        <v>614.25</v>
      </c>
      <c r="I16" s="3">
        <v>98.28</v>
      </c>
    </row>
    <row r="17" spans="1:9">
      <c r="A17" t="s">
        <v>1443</v>
      </c>
      <c r="B17" s="1">
        <v>41364</v>
      </c>
      <c r="C17" t="s">
        <v>2081</v>
      </c>
      <c r="D17">
        <v>1</v>
      </c>
      <c r="E17" t="s">
        <v>2082</v>
      </c>
      <c r="F17" s="33" t="s">
        <v>2269</v>
      </c>
      <c r="G17" s="33" t="s">
        <v>2080</v>
      </c>
      <c r="H17" s="3">
        <f t="shared" si="0"/>
        <v>378</v>
      </c>
      <c r="I17" s="3">
        <v>60.48</v>
      </c>
    </row>
    <row r="18" spans="1:9">
      <c r="A18" t="s">
        <v>2078</v>
      </c>
      <c r="B18" s="1">
        <v>41364</v>
      </c>
      <c r="C18" t="s">
        <v>2079</v>
      </c>
      <c r="D18">
        <v>1</v>
      </c>
      <c r="E18" t="s">
        <v>2080</v>
      </c>
      <c r="F18" s="33" t="s">
        <v>2269</v>
      </c>
      <c r="G18" s="33" t="s">
        <v>2080</v>
      </c>
      <c r="H18" s="3">
        <f t="shared" si="0"/>
        <v>378</v>
      </c>
      <c r="I18" s="3">
        <v>60.48</v>
      </c>
    </row>
    <row r="19" spans="1:9">
      <c r="A19" t="s">
        <v>1445</v>
      </c>
      <c r="B19" s="1">
        <v>41364</v>
      </c>
      <c r="C19" t="s">
        <v>2083</v>
      </c>
      <c r="D19">
        <v>1</v>
      </c>
      <c r="E19" t="s">
        <v>2080</v>
      </c>
      <c r="F19" s="33" t="s">
        <v>2269</v>
      </c>
      <c r="G19" s="33" t="s">
        <v>2080</v>
      </c>
      <c r="H19" s="3">
        <f t="shared" si="0"/>
        <v>294</v>
      </c>
      <c r="I19" s="3">
        <v>47.04</v>
      </c>
    </row>
    <row r="20" spans="1:9">
      <c r="A20" t="s">
        <v>1890</v>
      </c>
      <c r="B20" s="1">
        <v>41359</v>
      </c>
      <c r="C20" t="s">
        <v>1891</v>
      </c>
      <c r="D20">
        <v>1</v>
      </c>
      <c r="E20" t="s">
        <v>1251</v>
      </c>
      <c r="F20" s="33" t="s">
        <v>1572</v>
      </c>
      <c r="G20" s="33" t="s">
        <v>1251</v>
      </c>
      <c r="H20" s="3">
        <f t="shared" si="0"/>
        <v>277752.6875</v>
      </c>
      <c r="I20" s="3">
        <v>44440.43</v>
      </c>
    </row>
    <row r="21" spans="1:9">
      <c r="A21" t="s">
        <v>1936</v>
      </c>
      <c r="B21" s="1">
        <v>41364</v>
      </c>
      <c r="C21" t="s">
        <v>1937</v>
      </c>
      <c r="D21">
        <v>1</v>
      </c>
      <c r="E21" t="s">
        <v>1938</v>
      </c>
      <c r="F21" s="41" t="s">
        <v>745</v>
      </c>
      <c r="G21" s="37" t="s">
        <v>746</v>
      </c>
      <c r="H21" s="3">
        <f t="shared" si="0"/>
        <v>256977.75</v>
      </c>
      <c r="I21" s="3">
        <v>41116.44</v>
      </c>
    </row>
    <row r="22" spans="1:9">
      <c r="A22" t="s">
        <v>1758</v>
      </c>
      <c r="B22" s="1">
        <v>41341</v>
      </c>
      <c r="C22" t="s">
        <v>1759</v>
      </c>
      <c r="D22">
        <v>1</v>
      </c>
      <c r="E22" t="s">
        <v>1760</v>
      </c>
      <c r="F22" s="33" t="s">
        <v>1574</v>
      </c>
      <c r="G22" s="33" t="s">
        <v>1760</v>
      </c>
      <c r="H22" s="3">
        <f t="shared" si="0"/>
        <v>352771.3125</v>
      </c>
      <c r="I22" s="3">
        <v>56443.41</v>
      </c>
    </row>
    <row r="23" spans="1:9">
      <c r="A23" t="s">
        <v>1801</v>
      </c>
      <c r="B23" s="1">
        <v>41347</v>
      </c>
      <c r="C23" t="s">
        <v>1802</v>
      </c>
      <c r="D23">
        <v>1</v>
      </c>
      <c r="E23" t="s">
        <v>1803</v>
      </c>
      <c r="F23" s="41" t="s">
        <v>1574</v>
      </c>
      <c r="G23" s="33" t="s">
        <v>1803</v>
      </c>
      <c r="H23" s="3">
        <f t="shared" si="0"/>
        <v>277751.8125</v>
      </c>
      <c r="I23" s="3">
        <v>44440.29</v>
      </c>
    </row>
    <row r="24" spans="1:9">
      <c r="A24" t="s">
        <v>1970</v>
      </c>
      <c r="B24" s="1">
        <v>41364</v>
      </c>
      <c r="C24" t="s">
        <v>1971</v>
      </c>
      <c r="D24">
        <v>1</v>
      </c>
      <c r="E24" t="s">
        <v>481</v>
      </c>
      <c r="F24" s="33" t="s">
        <v>748</v>
      </c>
      <c r="G24" s="33" t="s">
        <v>481</v>
      </c>
      <c r="H24" s="3">
        <f t="shared" si="0"/>
        <v>258.5</v>
      </c>
      <c r="I24" s="3">
        <v>41.36</v>
      </c>
    </row>
    <row r="25" spans="1:9">
      <c r="A25" t="s">
        <v>1147</v>
      </c>
      <c r="B25" s="1">
        <v>41346</v>
      </c>
      <c r="C25" t="s">
        <v>2144</v>
      </c>
      <c r="D25">
        <v>1</v>
      </c>
      <c r="E25" t="s">
        <v>2182</v>
      </c>
      <c r="F25" s="41" t="s">
        <v>946</v>
      </c>
      <c r="G25" s="33" t="s">
        <v>2271</v>
      </c>
      <c r="H25" s="3">
        <f t="shared" si="0"/>
        <v>-1831.5</v>
      </c>
      <c r="I25" s="3">
        <v>-293.04000000000002</v>
      </c>
    </row>
    <row r="26" spans="1:9">
      <c r="A26" t="s">
        <v>2015</v>
      </c>
      <c r="B26" s="1">
        <v>41364</v>
      </c>
      <c r="C26" t="s">
        <v>2016</v>
      </c>
      <c r="D26">
        <v>1</v>
      </c>
      <c r="E26" t="s">
        <v>552</v>
      </c>
      <c r="F26" s="33" t="s">
        <v>752</v>
      </c>
      <c r="G26" s="33" t="s">
        <v>552</v>
      </c>
      <c r="H26" s="3">
        <f t="shared" si="0"/>
        <v>37.9375</v>
      </c>
      <c r="I26" s="3">
        <v>6.07</v>
      </c>
    </row>
    <row r="27" spans="1:9">
      <c r="A27" t="s">
        <v>1887</v>
      </c>
      <c r="B27" s="1">
        <v>41359</v>
      </c>
      <c r="C27" t="s">
        <v>1888</v>
      </c>
      <c r="D27">
        <v>1</v>
      </c>
      <c r="E27" t="s">
        <v>1889</v>
      </c>
      <c r="F27" s="33" t="s">
        <v>944</v>
      </c>
      <c r="G27" s="33" t="s">
        <v>1889</v>
      </c>
      <c r="H27" s="3">
        <f t="shared" si="0"/>
        <v>220622.625</v>
      </c>
      <c r="I27" s="3">
        <v>35299.620000000003</v>
      </c>
    </row>
    <row r="28" spans="1:9">
      <c r="A28" t="s">
        <v>1987</v>
      </c>
      <c r="B28" s="1">
        <v>41364</v>
      </c>
      <c r="C28" t="s">
        <v>1988</v>
      </c>
      <c r="D28">
        <v>1</v>
      </c>
      <c r="E28" t="s">
        <v>1989</v>
      </c>
      <c r="F28" s="33" t="s">
        <v>946</v>
      </c>
      <c r="G28" s="33" t="s">
        <v>947</v>
      </c>
      <c r="H28" s="3">
        <f t="shared" si="0"/>
        <v>56.0625</v>
      </c>
      <c r="I28" s="3">
        <v>8.9700000000000006</v>
      </c>
    </row>
    <row r="29" spans="1:9">
      <c r="A29" t="s">
        <v>1457</v>
      </c>
      <c r="B29" s="1">
        <v>41364</v>
      </c>
      <c r="C29" t="s">
        <v>2089</v>
      </c>
      <c r="D29">
        <v>1</v>
      </c>
      <c r="E29" t="s">
        <v>1501</v>
      </c>
      <c r="F29" s="33" t="s">
        <v>946</v>
      </c>
      <c r="G29" s="33" t="s">
        <v>947</v>
      </c>
      <c r="H29" s="3">
        <f t="shared" si="0"/>
        <v>1039.6875</v>
      </c>
      <c r="I29" s="3">
        <v>166.35</v>
      </c>
    </row>
    <row r="30" spans="1:9">
      <c r="A30" t="s">
        <v>420</v>
      </c>
      <c r="B30" s="1">
        <v>41364</v>
      </c>
      <c r="C30" t="s">
        <v>2097</v>
      </c>
      <c r="D30">
        <v>1</v>
      </c>
      <c r="E30" t="s">
        <v>2098</v>
      </c>
      <c r="F30" s="33" t="s">
        <v>946</v>
      </c>
      <c r="G30" s="33" t="s">
        <v>947</v>
      </c>
      <c r="H30" s="3">
        <f t="shared" si="0"/>
        <v>224.125</v>
      </c>
      <c r="I30" s="3">
        <v>35.86</v>
      </c>
    </row>
    <row r="31" spans="1:9">
      <c r="A31" t="s">
        <v>1896</v>
      </c>
      <c r="B31" s="1">
        <v>41360</v>
      </c>
      <c r="C31" t="s">
        <v>1897</v>
      </c>
      <c r="D31">
        <v>1</v>
      </c>
      <c r="E31" t="s">
        <v>1898</v>
      </c>
      <c r="F31" s="41" t="s">
        <v>755</v>
      </c>
      <c r="G31" s="33" t="s">
        <v>756</v>
      </c>
      <c r="H31" s="3">
        <f t="shared" si="0"/>
        <v>211715.1875</v>
      </c>
      <c r="I31" s="3">
        <v>33874.43</v>
      </c>
    </row>
    <row r="32" spans="1:9">
      <c r="A32" t="s">
        <v>1366</v>
      </c>
      <c r="B32" s="1">
        <v>41360</v>
      </c>
      <c r="C32" t="s">
        <v>1899</v>
      </c>
      <c r="D32">
        <v>1</v>
      </c>
      <c r="E32" t="s">
        <v>1898</v>
      </c>
      <c r="F32" s="41" t="s">
        <v>755</v>
      </c>
      <c r="G32" s="33" t="s">
        <v>756</v>
      </c>
      <c r="H32" s="3">
        <f t="shared" si="0"/>
        <v>211715.1875</v>
      </c>
      <c r="I32" s="3">
        <v>33874.43</v>
      </c>
    </row>
    <row r="33" spans="1:9">
      <c r="A33" t="s">
        <v>1903</v>
      </c>
      <c r="B33" s="1">
        <v>41360</v>
      </c>
      <c r="C33" t="s">
        <v>1904</v>
      </c>
      <c r="D33">
        <v>1</v>
      </c>
      <c r="E33" t="s">
        <v>1898</v>
      </c>
      <c r="F33" s="41" t="s">
        <v>755</v>
      </c>
      <c r="G33" s="33" t="s">
        <v>756</v>
      </c>
      <c r="H33" s="3">
        <f t="shared" si="0"/>
        <v>211715.1875</v>
      </c>
      <c r="I33" s="3">
        <v>33874.43</v>
      </c>
    </row>
    <row r="34" spans="1:9">
      <c r="A34" t="s">
        <v>1905</v>
      </c>
      <c r="B34" s="1">
        <v>41360</v>
      </c>
      <c r="C34" t="s">
        <v>1906</v>
      </c>
      <c r="D34">
        <v>1</v>
      </c>
      <c r="E34" t="s">
        <v>1898</v>
      </c>
      <c r="F34" s="41" t="s">
        <v>755</v>
      </c>
      <c r="G34" s="33" t="s">
        <v>756</v>
      </c>
      <c r="H34" s="3">
        <f t="shared" si="0"/>
        <v>211715.1875</v>
      </c>
      <c r="I34" s="3">
        <v>33874.43</v>
      </c>
    </row>
    <row r="35" spans="1:9">
      <c r="A35" t="s">
        <v>1907</v>
      </c>
      <c r="B35" s="1">
        <v>41360</v>
      </c>
      <c r="C35" t="s">
        <v>1899</v>
      </c>
      <c r="D35">
        <v>1</v>
      </c>
      <c r="E35" t="s">
        <v>1898</v>
      </c>
      <c r="F35" s="41" t="s">
        <v>755</v>
      </c>
      <c r="G35" s="33" t="s">
        <v>756</v>
      </c>
      <c r="H35" s="3">
        <f t="shared" si="0"/>
        <v>-211715.1875</v>
      </c>
      <c r="I35" s="3">
        <v>-33874.43</v>
      </c>
    </row>
    <row r="36" spans="1:9">
      <c r="A36" t="s">
        <v>1795</v>
      </c>
      <c r="B36" s="1">
        <v>41347</v>
      </c>
      <c r="C36" t="s">
        <v>1796</v>
      </c>
      <c r="D36">
        <v>1</v>
      </c>
      <c r="E36" t="s">
        <v>1797</v>
      </c>
      <c r="F36" s="41" t="s">
        <v>755</v>
      </c>
      <c r="G36" s="33" t="s">
        <v>756</v>
      </c>
      <c r="H36" s="3">
        <f t="shared" si="0"/>
        <v>277751.8125</v>
      </c>
      <c r="I36" s="3">
        <v>44440.29</v>
      </c>
    </row>
    <row r="37" spans="1:9">
      <c r="A37" t="s">
        <v>1826</v>
      </c>
      <c r="B37" s="1">
        <v>41348</v>
      </c>
      <c r="C37" t="s">
        <v>1827</v>
      </c>
      <c r="D37">
        <v>1</v>
      </c>
      <c r="E37" t="s">
        <v>1356</v>
      </c>
      <c r="F37" s="41" t="s">
        <v>755</v>
      </c>
      <c r="G37" s="33" t="s">
        <v>756</v>
      </c>
      <c r="H37" s="3">
        <f t="shared" si="0"/>
        <v>330512.6875</v>
      </c>
      <c r="I37" s="3">
        <v>52882.03</v>
      </c>
    </row>
    <row r="38" spans="1:9">
      <c r="A38" t="s">
        <v>1786</v>
      </c>
      <c r="B38" s="1">
        <v>41346</v>
      </c>
      <c r="C38" t="s">
        <v>1787</v>
      </c>
      <c r="D38">
        <v>1</v>
      </c>
      <c r="E38" t="s">
        <v>1788</v>
      </c>
      <c r="F38" s="41" t="s">
        <v>755</v>
      </c>
      <c r="G38" s="33" t="s">
        <v>756</v>
      </c>
      <c r="H38" s="3">
        <f t="shared" si="0"/>
        <v>167896.875</v>
      </c>
      <c r="I38" s="3">
        <v>26863.5</v>
      </c>
    </row>
    <row r="39" spans="1:9">
      <c r="A39" t="s">
        <v>2105</v>
      </c>
      <c r="B39" s="1">
        <v>41364</v>
      </c>
      <c r="C39" t="s">
        <v>2106</v>
      </c>
      <c r="D39">
        <v>1</v>
      </c>
      <c r="E39" t="s">
        <v>2107</v>
      </c>
      <c r="F39" s="33" t="s">
        <v>1575</v>
      </c>
      <c r="G39" s="33" t="s">
        <v>1421</v>
      </c>
      <c r="H39" s="3">
        <f t="shared" si="0"/>
        <v>134.5</v>
      </c>
      <c r="I39" s="3">
        <v>21.52</v>
      </c>
    </row>
    <row r="40" spans="1:9">
      <c r="A40" t="s">
        <v>2102</v>
      </c>
      <c r="B40" s="1">
        <v>41364</v>
      </c>
      <c r="C40" t="s">
        <v>2103</v>
      </c>
      <c r="D40">
        <v>1</v>
      </c>
      <c r="E40" t="s">
        <v>1421</v>
      </c>
      <c r="F40" s="33" t="s">
        <v>1575</v>
      </c>
      <c r="G40" s="33" t="s">
        <v>1421</v>
      </c>
      <c r="H40" s="3">
        <f t="shared" si="0"/>
        <v>300</v>
      </c>
      <c r="I40" s="3">
        <v>48</v>
      </c>
    </row>
    <row r="41" spans="1:9">
      <c r="A41" t="s">
        <v>422</v>
      </c>
      <c r="B41" s="1">
        <v>41364</v>
      </c>
      <c r="C41" t="s">
        <v>2104</v>
      </c>
      <c r="D41">
        <v>1</v>
      </c>
      <c r="E41" t="s">
        <v>1421</v>
      </c>
      <c r="F41" s="33" t="s">
        <v>1575</v>
      </c>
      <c r="G41" s="33" t="s">
        <v>1421</v>
      </c>
      <c r="H41" s="3">
        <f t="shared" si="0"/>
        <v>213.8125</v>
      </c>
      <c r="I41" s="3">
        <v>34.21</v>
      </c>
    </row>
    <row r="42" spans="1:9">
      <c r="A42" t="s">
        <v>154</v>
      </c>
      <c r="B42" s="1">
        <v>41344</v>
      </c>
      <c r="C42" t="s">
        <v>2174</v>
      </c>
      <c r="D42">
        <v>1</v>
      </c>
      <c r="E42" t="s">
        <v>1059</v>
      </c>
      <c r="F42" s="33" t="s">
        <v>1576</v>
      </c>
      <c r="G42" s="33" t="s">
        <v>1059</v>
      </c>
      <c r="H42" s="3">
        <f t="shared" si="0"/>
        <v>1241.375</v>
      </c>
      <c r="I42" s="3">
        <v>198.62</v>
      </c>
    </row>
    <row r="43" spans="1:9">
      <c r="A43" t="s">
        <v>175</v>
      </c>
      <c r="B43" s="1">
        <v>41345</v>
      </c>
      <c r="C43" t="s">
        <v>2177</v>
      </c>
      <c r="D43">
        <v>1</v>
      </c>
      <c r="E43" t="s">
        <v>100</v>
      </c>
      <c r="F43" s="39" t="s">
        <v>764</v>
      </c>
      <c r="G43" s="39" t="s">
        <v>100</v>
      </c>
      <c r="H43" s="3">
        <f t="shared" si="0"/>
        <v>22587.9375</v>
      </c>
      <c r="I43" s="3">
        <v>3614.07</v>
      </c>
    </row>
    <row r="44" spans="1:9">
      <c r="A44" t="s">
        <v>1934</v>
      </c>
      <c r="B44" s="1">
        <v>41364</v>
      </c>
      <c r="C44" t="s">
        <v>433</v>
      </c>
      <c r="D44">
        <v>1</v>
      </c>
      <c r="E44" t="s">
        <v>1935</v>
      </c>
      <c r="F44" s="37" t="s">
        <v>1578</v>
      </c>
      <c r="G44" s="44" t="s">
        <v>1579</v>
      </c>
      <c r="H44" s="3">
        <f t="shared" si="0"/>
        <v>938.3125</v>
      </c>
      <c r="I44" s="3">
        <v>150.13</v>
      </c>
    </row>
    <row r="45" spans="1:9">
      <c r="A45" t="s">
        <v>1920</v>
      </c>
      <c r="B45" s="1">
        <v>41364</v>
      </c>
      <c r="C45" t="s">
        <v>433</v>
      </c>
      <c r="D45">
        <v>1</v>
      </c>
      <c r="E45" t="s">
        <v>1921</v>
      </c>
      <c r="F45" s="41" t="s">
        <v>950</v>
      </c>
      <c r="G45" s="43" t="s">
        <v>951</v>
      </c>
      <c r="H45" s="3">
        <f t="shared" si="0"/>
        <v>9021.8125</v>
      </c>
      <c r="I45" s="3">
        <v>1443.49</v>
      </c>
    </row>
    <row r="46" spans="1:9">
      <c r="A46" t="s">
        <v>1915</v>
      </c>
      <c r="B46" s="1">
        <v>41364</v>
      </c>
      <c r="C46" t="s">
        <v>433</v>
      </c>
      <c r="D46">
        <v>1</v>
      </c>
      <c r="E46" t="s">
        <v>1916</v>
      </c>
      <c r="F46" s="41" t="s">
        <v>821</v>
      </c>
      <c r="G46" s="41" t="s">
        <v>2272</v>
      </c>
      <c r="H46" s="3">
        <f t="shared" si="0"/>
        <v>320</v>
      </c>
      <c r="I46" s="3">
        <v>51.2</v>
      </c>
    </row>
    <row r="47" spans="1:9">
      <c r="A47" t="s">
        <v>1372</v>
      </c>
      <c r="B47" s="1">
        <v>41364</v>
      </c>
      <c r="C47" t="s">
        <v>433</v>
      </c>
      <c r="D47">
        <v>1</v>
      </c>
      <c r="E47" t="s">
        <v>1919</v>
      </c>
      <c r="F47" s="41" t="s">
        <v>825</v>
      </c>
      <c r="G47" s="43" t="s">
        <v>826</v>
      </c>
      <c r="H47" s="3">
        <f t="shared" si="0"/>
        <v>139</v>
      </c>
      <c r="I47" s="3">
        <v>22.24</v>
      </c>
    </row>
    <row r="48" spans="1:9">
      <c r="A48" t="s">
        <v>1911</v>
      </c>
      <c r="B48" s="1">
        <v>41364</v>
      </c>
      <c r="C48" t="s">
        <v>433</v>
      </c>
      <c r="D48">
        <v>1</v>
      </c>
      <c r="E48" t="s">
        <v>1912</v>
      </c>
      <c r="F48" s="41" t="s">
        <v>915</v>
      </c>
      <c r="G48" s="43" t="s">
        <v>916</v>
      </c>
      <c r="H48" s="3">
        <f t="shared" si="0"/>
        <v>25</v>
      </c>
      <c r="I48" s="3">
        <v>4</v>
      </c>
    </row>
    <row r="49" spans="1:12">
      <c r="A49" t="s">
        <v>1975</v>
      </c>
      <c r="B49" s="1">
        <v>41364</v>
      </c>
      <c r="C49" t="s">
        <v>1976</v>
      </c>
      <c r="D49">
        <v>1</v>
      </c>
      <c r="E49" t="s">
        <v>1977</v>
      </c>
      <c r="F49" s="33" t="s">
        <v>939</v>
      </c>
      <c r="G49" s="33" t="s">
        <v>940</v>
      </c>
      <c r="H49" s="46">
        <f t="shared" ref="H49:H56" si="1">I49/0.16</f>
        <v>275.1875</v>
      </c>
      <c r="I49" s="46">
        <v>44.03</v>
      </c>
      <c r="J49" s="14">
        <f>1480.75-H49-H50-H51-H52</f>
        <v>0</v>
      </c>
      <c r="K49" s="14">
        <f>236.92-I49-I50-I51-I52</f>
        <v>0</v>
      </c>
      <c r="L49" t="s">
        <v>900</v>
      </c>
    </row>
    <row r="50" spans="1:12">
      <c r="A50" t="s">
        <v>1975</v>
      </c>
      <c r="B50" s="1">
        <v>41364</v>
      </c>
      <c r="C50" t="s">
        <v>1976</v>
      </c>
      <c r="D50">
        <v>1</v>
      </c>
      <c r="E50" t="s">
        <v>1977</v>
      </c>
      <c r="F50" s="33" t="s">
        <v>2273</v>
      </c>
      <c r="G50" s="33" t="s">
        <v>2274</v>
      </c>
      <c r="H50" s="46">
        <f t="shared" si="1"/>
        <v>69.8125</v>
      </c>
      <c r="I50" s="46">
        <v>11.17</v>
      </c>
    </row>
    <row r="51" spans="1:12">
      <c r="A51" t="s">
        <v>1975</v>
      </c>
      <c r="B51" s="1">
        <v>41364</v>
      </c>
      <c r="C51" t="s">
        <v>1976</v>
      </c>
      <c r="D51">
        <v>1</v>
      </c>
      <c r="E51" t="s">
        <v>1977</v>
      </c>
      <c r="F51" s="33" t="s">
        <v>913</v>
      </c>
      <c r="G51" s="33" t="s">
        <v>914</v>
      </c>
      <c r="H51" s="46">
        <f t="shared" si="1"/>
        <v>505.875</v>
      </c>
      <c r="I51" s="46">
        <v>80.94</v>
      </c>
    </row>
    <row r="52" spans="1:12">
      <c r="A52" t="s">
        <v>1975</v>
      </c>
      <c r="B52" s="1">
        <v>41364</v>
      </c>
      <c r="C52" t="s">
        <v>1976</v>
      </c>
      <c r="D52">
        <v>1</v>
      </c>
      <c r="E52" t="s">
        <v>1977</v>
      </c>
      <c r="F52" s="33" t="s">
        <v>946</v>
      </c>
      <c r="G52" s="33" t="s">
        <v>947</v>
      </c>
      <c r="H52" s="46">
        <f t="shared" si="1"/>
        <v>629.87499999999989</v>
      </c>
      <c r="I52" s="46">
        <f>96.57+4.21</f>
        <v>100.77999999999999</v>
      </c>
    </row>
    <row r="53" spans="1:12">
      <c r="A53" t="s">
        <v>1993</v>
      </c>
      <c r="B53" s="1">
        <v>41364</v>
      </c>
      <c r="C53" t="s">
        <v>1994</v>
      </c>
      <c r="D53">
        <v>1</v>
      </c>
      <c r="E53" t="s">
        <v>1995</v>
      </c>
      <c r="F53" s="33" t="s">
        <v>909</v>
      </c>
      <c r="G53" s="60" t="s">
        <v>910</v>
      </c>
      <c r="H53" s="46">
        <f t="shared" si="1"/>
        <v>337.4375</v>
      </c>
      <c r="I53" s="46">
        <v>53.99</v>
      </c>
    </row>
    <row r="54" spans="1:12">
      <c r="A54" t="s">
        <v>1993</v>
      </c>
      <c r="B54" s="1">
        <v>41364</v>
      </c>
      <c r="C54" t="s">
        <v>1994</v>
      </c>
      <c r="D54">
        <v>1</v>
      </c>
      <c r="E54" t="s">
        <v>1995</v>
      </c>
      <c r="F54" s="33" t="s">
        <v>946</v>
      </c>
      <c r="G54" s="60" t="s">
        <v>947</v>
      </c>
      <c r="H54" s="46">
        <f t="shared" si="1"/>
        <v>336.25</v>
      </c>
      <c r="I54" s="46">
        <v>53.8</v>
      </c>
    </row>
    <row r="55" spans="1:12">
      <c r="A55" t="s">
        <v>1993</v>
      </c>
      <c r="B55" s="1">
        <v>41364</v>
      </c>
      <c r="C55" t="s">
        <v>1994</v>
      </c>
      <c r="D55">
        <v>1</v>
      </c>
      <c r="E55" t="s">
        <v>1995</v>
      </c>
      <c r="F55" s="33" t="s">
        <v>946</v>
      </c>
      <c r="G55" s="60" t="s">
        <v>947</v>
      </c>
      <c r="H55" s="46">
        <f t="shared" si="1"/>
        <v>63.375</v>
      </c>
      <c r="I55" s="46">
        <f>8.97+1.17</f>
        <v>10.14</v>
      </c>
    </row>
    <row r="56" spans="1:12">
      <c r="A56" t="s">
        <v>1993</v>
      </c>
      <c r="B56" s="1">
        <v>41364</v>
      </c>
      <c r="C56" t="s">
        <v>1994</v>
      </c>
      <c r="D56">
        <v>1</v>
      </c>
      <c r="E56" t="s">
        <v>1995</v>
      </c>
      <c r="F56" s="33" t="s">
        <v>927</v>
      </c>
      <c r="G56" s="60" t="s">
        <v>928</v>
      </c>
      <c r="H56" s="46">
        <f t="shared" si="1"/>
        <v>65</v>
      </c>
      <c r="I56" s="46">
        <v>10.4</v>
      </c>
      <c r="J56" s="14">
        <f>802.06-H53-H54-H55-H56</f>
        <v>-2.5000000000545697E-3</v>
      </c>
      <c r="K56" s="14">
        <f>128.33-I53-I54-I55-I56</f>
        <v>0</v>
      </c>
      <c r="L56" t="s">
        <v>900</v>
      </c>
    </row>
    <row r="57" spans="1:12">
      <c r="A57" t="s">
        <v>2027</v>
      </c>
      <c r="B57" s="1">
        <v>41364</v>
      </c>
      <c r="C57" t="s">
        <v>2028</v>
      </c>
      <c r="D57">
        <v>1</v>
      </c>
      <c r="E57" t="s">
        <v>549</v>
      </c>
      <c r="F57" s="33" t="s">
        <v>767</v>
      </c>
      <c r="G57" s="33" t="s">
        <v>549</v>
      </c>
      <c r="H57" s="3">
        <f t="shared" ref="H57:H88" si="2">+I57/0.16</f>
        <v>931.0625</v>
      </c>
      <c r="I57" s="3">
        <v>148.97</v>
      </c>
      <c r="J57" s="14" t="e">
        <f>+H57-#REF!</f>
        <v>#REF!</v>
      </c>
      <c r="K57" s="14" t="e">
        <f>+I57-#REF!</f>
        <v>#REF!</v>
      </c>
      <c r="L57" t="s">
        <v>900</v>
      </c>
    </row>
    <row r="58" spans="1:12">
      <c r="A58" t="s">
        <v>2213</v>
      </c>
      <c r="B58" s="1">
        <v>41355</v>
      </c>
      <c r="C58" t="s">
        <v>2214</v>
      </c>
      <c r="D58">
        <v>1</v>
      </c>
      <c r="E58" t="s">
        <v>349</v>
      </c>
      <c r="F58" s="33" t="s">
        <v>769</v>
      </c>
      <c r="G58" s="33" t="s">
        <v>2275</v>
      </c>
      <c r="H58" s="3">
        <f t="shared" si="2"/>
        <v>4310.3125</v>
      </c>
      <c r="I58" s="3">
        <v>689.65</v>
      </c>
    </row>
    <row r="59" spans="1:12">
      <c r="A59" t="s">
        <v>2169</v>
      </c>
      <c r="B59" s="1">
        <v>41342</v>
      </c>
      <c r="C59" t="s">
        <v>2170</v>
      </c>
      <c r="D59">
        <v>1</v>
      </c>
      <c r="E59" t="s">
        <v>1142</v>
      </c>
      <c r="F59" s="33" t="s">
        <v>770</v>
      </c>
      <c r="G59" s="33" t="s">
        <v>1142</v>
      </c>
      <c r="H59" s="3">
        <f t="shared" si="2"/>
        <v>15330</v>
      </c>
      <c r="I59" s="3">
        <v>2452.8000000000002</v>
      </c>
    </row>
    <row r="60" spans="1:12">
      <c r="A60" t="s">
        <v>322</v>
      </c>
      <c r="B60" s="1">
        <v>41358</v>
      </c>
      <c r="C60" t="s">
        <v>2224</v>
      </c>
      <c r="D60">
        <v>1</v>
      </c>
      <c r="E60" t="s">
        <v>1142</v>
      </c>
      <c r="F60" s="33" t="s">
        <v>770</v>
      </c>
      <c r="G60" s="33" t="s">
        <v>1142</v>
      </c>
      <c r="H60" s="3">
        <f t="shared" si="2"/>
        <v>20440</v>
      </c>
      <c r="I60" s="3">
        <v>3270.4</v>
      </c>
    </row>
    <row r="61" spans="1:12">
      <c r="A61" t="s">
        <v>963</v>
      </c>
      <c r="B61" s="1">
        <v>41334</v>
      </c>
      <c r="C61" t="s">
        <v>2126</v>
      </c>
      <c r="D61">
        <v>1</v>
      </c>
      <c r="E61" t="s">
        <v>29</v>
      </c>
      <c r="F61" s="32" t="s">
        <v>772</v>
      </c>
      <c r="G61" s="33" t="s">
        <v>29</v>
      </c>
      <c r="H61" s="3">
        <f t="shared" si="2"/>
        <v>63997.249999999993</v>
      </c>
      <c r="I61" s="3">
        <v>10239.56</v>
      </c>
    </row>
    <row r="62" spans="1:12">
      <c r="A62" t="s">
        <v>32</v>
      </c>
      <c r="B62" s="1">
        <v>41338</v>
      </c>
      <c r="C62" t="s">
        <v>2145</v>
      </c>
      <c r="D62">
        <v>1</v>
      </c>
      <c r="E62" t="s">
        <v>29</v>
      </c>
      <c r="F62" s="33" t="s">
        <v>772</v>
      </c>
      <c r="G62" s="33" t="s">
        <v>29</v>
      </c>
      <c r="H62" s="3">
        <f t="shared" si="2"/>
        <v>70000</v>
      </c>
      <c r="I62" s="3">
        <v>11200</v>
      </c>
    </row>
    <row r="63" spans="1:12">
      <c r="A63" t="s">
        <v>2146</v>
      </c>
      <c r="B63" s="1">
        <v>41338</v>
      </c>
      <c r="C63" t="s">
        <v>2147</v>
      </c>
      <c r="D63">
        <v>1</v>
      </c>
      <c r="E63" t="s">
        <v>29</v>
      </c>
      <c r="F63" s="33" t="s">
        <v>772</v>
      </c>
      <c r="G63" s="33" t="s">
        <v>29</v>
      </c>
      <c r="H63" s="3">
        <f t="shared" si="2"/>
        <v>10084.875</v>
      </c>
      <c r="I63" s="3">
        <v>1613.58</v>
      </c>
    </row>
    <row r="64" spans="1:12">
      <c r="A64" t="s">
        <v>1027</v>
      </c>
      <c r="B64" s="1">
        <v>41338</v>
      </c>
      <c r="C64" t="s">
        <v>2148</v>
      </c>
      <c r="D64">
        <v>1</v>
      </c>
      <c r="E64" t="s">
        <v>29</v>
      </c>
      <c r="F64" s="33" t="s">
        <v>772</v>
      </c>
      <c r="G64" s="33" t="s">
        <v>29</v>
      </c>
      <c r="H64" s="3">
        <f t="shared" si="2"/>
        <v>2370.75</v>
      </c>
      <c r="I64" s="3">
        <v>379.32</v>
      </c>
    </row>
    <row r="65" spans="1:9">
      <c r="A65" t="s">
        <v>45</v>
      </c>
      <c r="B65" s="1">
        <v>41339</v>
      </c>
      <c r="C65" t="s">
        <v>2149</v>
      </c>
      <c r="D65">
        <v>1</v>
      </c>
      <c r="E65" t="s">
        <v>29</v>
      </c>
      <c r="F65" s="33" t="s">
        <v>772</v>
      </c>
      <c r="G65" s="33" t="s">
        <v>29</v>
      </c>
      <c r="H65" s="3">
        <f t="shared" si="2"/>
        <v>6900</v>
      </c>
      <c r="I65" s="3">
        <v>1104</v>
      </c>
    </row>
    <row r="66" spans="1:9">
      <c r="A66" t="s">
        <v>2151</v>
      </c>
      <c r="B66" s="1">
        <v>41340</v>
      </c>
      <c r="C66" t="s">
        <v>2152</v>
      </c>
      <c r="D66">
        <v>1</v>
      </c>
      <c r="E66" t="s">
        <v>29</v>
      </c>
      <c r="F66" s="33" t="s">
        <v>772</v>
      </c>
      <c r="G66" s="33" t="s">
        <v>29</v>
      </c>
      <c r="H66" s="3">
        <f t="shared" si="2"/>
        <v>2212.5</v>
      </c>
      <c r="I66" s="3">
        <v>354</v>
      </c>
    </row>
    <row r="67" spans="1:9">
      <c r="A67" t="s">
        <v>1073</v>
      </c>
      <c r="B67" s="1">
        <v>41341</v>
      </c>
      <c r="C67" t="s">
        <v>2153</v>
      </c>
      <c r="D67">
        <v>1</v>
      </c>
      <c r="E67" t="s">
        <v>29</v>
      </c>
      <c r="F67" s="33" t="s">
        <v>772</v>
      </c>
      <c r="G67" s="33" t="s">
        <v>29</v>
      </c>
      <c r="H67" s="3">
        <f t="shared" si="2"/>
        <v>103258.5</v>
      </c>
      <c r="I67" s="3">
        <v>16521.36</v>
      </c>
    </row>
    <row r="68" spans="1:9">
      <c r="A68" t="s">
        <v>201</v>
      </c>
      <c r="B68" s="1">
        <v>41347</v>
      </c>
      <c r="C68" t="s">
        <v>2186</v>
      </c>
      <c r="D68">
        <v>1</v>
      </c>
      <c r="E68" t="s">
        <v>29</v>
      </c>
      <c r="F68" s="33" t="s">
        <v>772</v>
      </c>
      <c r="G68" s="33" t="s">
        <v>29</v>
      </c>
      <c r="H68" s="3">
        <f t="shared" si="2"/>
        <v>4807.3125</v>
      </c>
      <c r="I68" s="3">
        <v>769.17</v>
      </c>
    </row>
    <row r="69" spans="1:9">
      <c r="A69" t="s">
        <v>208</v>
      </c>
      <c r="B69" s="1">
        <v>41347</v>
      </c>
      <c r="C69" t="s">
        <v>2187</v>
      </c>
      <c r="D69">
        <v>1</v>
      </c>
      <c r="E69" t="s">
        <v>29</v>
      </c>
      <c r="F69" s="33" t="s">
        <v>772</v>
      </c>
      <c r="G69" s="33" t="s">
        <v>29</v>
      </c>
      <c r="H69" s="3">
        <f t="shared" si="2"/>
        <v>305901.125</v>
      </c>
      <c r="I69" s="3">
        <v>48944.18</v>
      </c>
    </row>
    <row r="70" spans="1:9">
      <c r="A70" t="s">
        <v>211</v>
      </c>
      <c r="B70" s="1">
        <v>41347</v>
      </c>
      <c r="C70" t="s">
        <v>2188</v>
      </c>
      <c r="D70">
        <v>1</v>
      </c>
      <c r="E70" t="s">
        <v>29</v>
      </c>
      <c r="F70" s="33" t="s">
        <v>772</v>
      </c>
      <c r="G70" s="33" t="s">
        <v>29</v>
      </c>
      <c r="H70" s="3">
        <f t="shared" si="2"/>
        <v>2778.75</v>
      </c>
      <c r="I70" s="3">
        <v>444.6</v>
      </c>
    </row>
    <row r="71" spans="1:9">
      <c r="A71" t="s">
        <v>234</v>
      </c>
      <c r="B71" s="1">
        <v>41348</v>
      </c>
      <c r="C71" t="s">
        <v>2189</v>
      </c>
      <c r="D71">
        <v>1</v>
      </c>
      <c r="E71" t="s">
        <v>29</v>
      </c>
      <c r="F71" s="41" t="s">
        <v>772</v>
      </c>
      <c r="G71" s="33" t="s">
        <v>29</v>
      </c>
      <c r="H71" s="3">
        <f t="shared" si="2"/>
        <v>83021</v>
      </c>
      <c r="I71" s="3">
        <v>13283.36</v>
      </c>
    </row>
    <row r="72" spans="1:9">
      <c r="A72" t="s">
        <v>2192</v>
      </c>
      <c r="B72" s="1">
        <v>41352</v>
      </c>
      <c r="C72" t="s">
        <v>2193</v>
      </c>
      <c r="D72">
        <v>1</v>
      </c>
      <c r="E72" t="s">
        <v>29</v>
      </c>
      <c r="F72" s="33" t="s">
        <v>772</v>
      </c>
      <c r="G72" s="33" t="s">
        <v>29</v>
      </c>
      <c r="H72" s="3">
        <f t="shared" si="2"/>
        <v>99974.1875</v>
      </c>
      <c r="I72" s="3">
        <v>15995.87</v>
      </c>
    </row>
    <row r="73" spans="1:9">
      <c r="A73" t="s">
        <v>2194</v>
      </c>
      <c r="B73" s="1">
        <v>41352</v>
      </c>
      <c r="C73" t="s">
        <v>2195</v>
      </c>
      <c r="D73">
        <v>1</v>
      </c>
      <c r="E73" t="s">
        <v>29</v>
      </c>
      <c r="F73" s="33" t="s">
        <v>772</v>
      </c>
      <c r="G73" s="33" t="s">
        <v>29</v>
      </c>
      <c r="H73" s="3">
        <f t="shared" si="2"/>
        <v>30882.749999999996</v>
      </c>
      <c r="I73" s="3">
        <v>4941.24</v>
      </c>
    </row>
    <row r="74" spans="1:9">
      <c r="A74" t="s">
        <v>304</v>
      </c>
      <c r="B74" s="1">
        <v>41355</v>
      </c>
      <c r="C74" t="s">
        <v>2215</v>
      </c>
      <c r="D74">
        <v>1</v>
      </c>
      <c r="E74" t="s">
        <v>29</v>
      </c>
      <c r="F74" s="33" t="s">
        <v>772</v>
      </c>
      <c r="G74" s="33" t="s">
        <v>29</v>
      </c>
      <c r="H74" s="3">
        <f t="shared" si="2"/>
        <v>91405.0625</v>
      </c>
      <c r="I74" s="3">
        <v>14624.81</v>
      </c>
    </row>
    <row r="75" spans="1:9">
      <c r="A75" t="s">
        <v>363</v>
      </c>
      <c r="B75" s="1">
        <v>41359</v>
      </c>
      <c r="C75" t="s">
        <v>2238</v>
      </c>
      <c r="D75">
        <v>1</v>
      </c>
      <c r="E75" t="s">
        <v>29</v>
      </c>
      <c r="F75" s="33" t="s">
        <v>772</v>
      </c>
      <c r="G75" s="33" t="s">
        <v>29</v>
      </c>
      <c r="H75" s="3">
        <f t="shared" si="2"/>
        <v>138020.5625</v>
      </c>
      <c r="I75" s="3">
        <v>22083.29</v>
      </c>
    </row>
    <row r="76" spans="1:9">
      <c r="A76" t="s">
        <v>365</v>
      </c>
      <c r="B76" s="1">
        <v>41359</v>
      </c>
      <c r="C76" t="s">
        <v>2239</v>
      </c>
      <c r="D76">
        <v>1</v>
      </c>
      <c r="E76" t="s">
        <v>29</v>
      </c>
      <c r="F76" s="33" t="s">
        <v>772</v>
      </c>
      <c r="G76" s="33" t="s">
        <v>29</v>
      </c>
      <c r="H76" s="3">
        <f t="shared" si="2"/>
        <v>95397.5</v>
      </c>
      <c r="I76" s="3">
        <v>15263.6</v>
      </c>
    </row>
    <row r="77" spans="1:9">
      <c r="A77" t="s">
        <v>1333</v>
      </c>
      <c r="B77" s="1">
        <v>41359</v>
      </c>
      <c r="C77" t="s">
        <v>2240</v>
      </c>
      <c r="D77">
        <v>1</v>
      </c>
      <c r="E77" t="s">
        <v>29</v>
      </c>
      <c r="F77" s="33" t="s">
        <v>772</v>
      </c>
      <c r="G77" s="33" t="s">
        <v>29</v>
      </c>
      <c r="H77" s="3">
        <f t="shared" si="2"/>
        <v>1268.8125</v>
      </c>
      <c r="I77" s="3">
        <v>203.01</v>
      </c>
    </row>
    <row r="78" spans="1:9">
      <c r="A78" t="s">
        <v>1335</v>
      </c>
      <c r="B78" s="1">
        <v>41359</v>
      </c>
      <c r="C78" t="s">
        <v>2241</v>
      </c>
      <c r="D78">
        <v>1</v>
      </c>
      <c r="E78" t="s">
        <v>29</v>
      </c>
      <c r="F78" s="33" t="s">
        <v>772</v>
      </c>
      <c r="G78" s="33" t="s">
        <v>29</v>
      </c>
      <c r="H78" s="3">
        <f t="shared" si="2"/>
        <v>783.0625</v>
      </c>
      <c r="I78" s="3">
        <v>125.29</v>
      </c>
    </row>
    <row r="79" spans="1:9">
      <c r="A79" t="s">
        <v>1999</v>
      </c>
      <c r="B79" s="1">
        <v>41364</v>
      </c>
      <c r="C79" t="s">
        <v>2000</v>
      </c>
      <c r="D79">
        <v>1</v>
      </c>
      <c r="E79" t="s">
        <v>2001</v>
      </c>
      <c r="F79" s="33" t="s">
        <v>2360</v>
      </c>
      <c r="G79" s="60" t="s">
        <v>2361</v>
      </c>
      <c r="H79" s="3">
        <f t="shared" si="2"/>
        <v>219</v>
      </c>
      <c r="I79" s="3">
        <v>35.04</v>
      </c>
    </row>
    <row r="80" spans="1:9">
      <c r="A80" t="s">
        <v>119</v>
      </c>
      <c r="B80" s="1">
        <v>41342</v>
      </c>
      <c r="C80" t="s">
        <v>2158</v>
      </c>
      <c r="D80">
        <v>1</v>
      </c>
      <c r="E80" t="s">
        <v>1239</v>
      </c>
      <c r="F80" s="33" t="s">
        <v>1587</v>
      </c>
      <c r="G80" s="33" t="s">
        <v>1239</v>
      </c>
      <c r="H80" s="3">
        <f t="shared" si="2"/>
        <v>204</v>
      </c>
      <c r="I80" s="3">
        <v>32.64</v>
      </c>
    </row>
    <row r="81" spans="1:9">
      <c r="A81" t="s">
        <v>424</v>
      </c>
      <c r="B81" s="1">
        <v>41364</v>
      </c>
      <c r="C81" t="s">
        <v>2108</v>
      </c>
      <c r="D81">
        <v>1</v>
      </c>
      <c r="E81" t="s">
        <v>2109</v>
      </c>
      <c r="F81" s="33" t="s">
        <v>1601</v>
      </c>
      <c r="G81" s="33" t="s">
        <v>2109</v>
      </c>
      <c r="H81" s="3">
        <f t="shared" si="2"/>
        <v>420</v>
      </c>
      <c r="I81" s="3">
        <v>67.2</v>
      </c>
    </row>
    <row r="82" spans="1:9">
      <c r="A82" t="s">
        <v>426</v>
      </c>
      <c r="B82" s="1">
        <v>41364</v>
      </c>
      <c r="C82" t="s">
        <v>2115</v>
      </c>
      <c r="D82">
        <v>1</v>
      </c>
      <c r="E82" t="s">
        <v>2109</v>
      </c>
      <c r="F82" s="33" t="s">
        <v>1601</v>
      </c>
      <c r="G82" s="33" t="s">
        <v>2109</v>
      </c>
      <c r="H82" s="3">
        <f t="shared" si="2"/>
        <v>420</v>
      </c>
      <c r="I82" s="3">
        <v>67.2</v>
      </c>
    </row>
    <row r="83" spans="1:9">
      <c r="A83" t="s">
        <v>2004</v>
      </c>
      <c r="B83" s="1">
        <v>41364</v>
      </c>
      <c r="C83" t="s">
        <v>2005</v>
      </c>
      <c r="D83">
        <v>1</v>
      </c>
      <c r="E83" t="s">
        <v>514</v>
      </c>
      <c r="F83" s="33" t="s">
        <v>773</v>
      </c>
      <c r="G83" s="33" t="s">
        <v>514</v>
      </c>
      <c r="H83" s="3">
        <f t="shared" si="2"/>
        <v>37.9375</v>
      </c>
      <c r="I83" s="3">
        <v>6.07</v>
      </c>
    </row>
    <row r="84" spans="1:9">
      <c r="A84" t="s">
        <v>2017</v>
      </c>
      <c r="B84" s="1">
        <v>41364</v>
      </c>
      <c r="C84" t="s">
        <v>2018</v>
      </c>
      <c r="D84">
        <v>1</v>
      </c>
      <c r="E84" t="s">
        <v>514</v>
      </c>
      <c r="F84" s="33" t="s">
        <v>773</v>
      </c>
      <c r="G84" s="33" t="s">
        <v>514</v>
      </c>
      <c r="H84" s="3">
        <f t="shared" si="2"/>
        <v>44.8125</v>
      </c>
      <c r="I84" s="3">
        <v>7.17</v>
      </c>
    </row>
    <row r="85" spans="1:9">
      <c r="A85" t="s">
        <v>2024</v>
      </c>
      <c r="B85" s="1">
        <v>41364</v>
      </c>
      <c r="C85" t="s">
        <v>2025</v>
      </c>
      <c r="D85">
        <v>1</v>
      </c>
      <c r="E85" t="s">
        <v>2026</v>
      </c>
      <c r="F85" s="33" t="s">
        <v>778</v>
      </c>
      <c r="G85" s="33" t="s">
        <v>2026</v>
      </c>
      <c r="H85" s="3">
        <f t="shared" si="2"/>
        <v>1000</v>
      </c>
      <c r="I85" s="3">
        <v>160</v>
      </c>
    </row>
    <row r="86" spans="1:9">
      <c r="A86" t="s">
        <v>152</v>
      </c>
      <c r="B86" s="1">
        <v>41342</v>
      </c>
      <c r="C86" t="s">
        <v>2173</v>
      </c>
      <c r="D86">
        <v>1</v>
      </c>
      <c r="E86" t="s">
        <v>373</v>
      </c>
      <c r="F86" s="33" t="s">
        <v>780</v>
      </c>
      <c r="G86" s="33" t="s">
        <v>373</v>
      </c>
      <c r="H86" s="3">
        <f t="shared" si="2"/>
        <v>15000</v>
      </c>
      <c r="I86" s="3">
        <v>2400</v>
      </c>
    </row>
    <row r="87" spans="1:9">
      <c r="A87" t="s">
        <v>2167</v>
      </c>
      <c r="B87" s="1">
        <v>41342</v>
      </c>
      <c r="C87" t="s">
        <v>2168</v>
      </c>
      <c r="D87">
        <v>1</v>
      </c>
      <c r="E87" t="s">
        <v>80</v>
      </c>
      <c r="F87" s="33" t="s">
        <v>781</v>
      </c>
      <c r="G87" s="33" t="s">
        <v>80</v>
      </c>
      <c r="H87" s="3">
        <f t="shared" si="2"/>
        <v>1264</v>
      </c>
      <c r="I87" s="3">
        <v>202.24</v>
      </c>
    </row>
    <row r="88" spans="1:9">
      <c r="A88" t="s">
        <v>2242</v>
      </c>
      <c r="B88" s="1">
        <v>41360</v>
      </c>
      <c r="C88" t="s">
        <v>2243</v>
      </c>
      <c r="D88">
        <v>1</v>
      </c>
      <c r="E88" t="s">
        <v>80</v>
      </c>
      <c r="F88" s="41" t="s">
        <v>781</v>
      </c>
      <c r="G88" s="33" t="s">
        <v>80</v>
      </c>
      <c r="H88" s="3">
        <f t="shared" si="2"/>
        <v>1132</v>
      </c>
      <c r="I88" s="3">
        <v>181.12</v>
      </c>
    </row>
    <row r="89" spans="1:9">
      <c r="A89" t="s">
        <v>1409</v>
      </c>
      <c r="B89" s="1">
        <v>41364</v>
      </c>
      <c r="C89" t="s">
        <v>2040</v>
      </c>
      <c r="D89">
        <v>1</v>
      </c>
      <c r="E89" t="s">
        <v>618</v>
      </c>
      <c r="F89" s="33" t="s">
        <v>784</v>
      </c>
      <c r="G89" s="33" t="s">
        <v>618</v>
      </c>
      <c r="H89" s="3">
        <f t="shared" ref="H89:H106" si="3">+I89/0.16</f>
        <v>172.4375</v>
      </c>
      <c r="I89" s="3">
        <v>27.59</v>
      </c>
    </row>
    <row r="90" spans="1:9">
      <c r="A90" t="s">
        <v>2129</v>
      </c>
      <c r="B90" s="1">
        <v>41337</v>
      </c>
      <c r="C90" t="s">
        <v>2130</v>
      </c>
      <c r="D90">
        <v>1</v>
      </c>
      <c r="E90" t="s">
        <v>973</v>
      </c>
      <c r="F90" s="41" t="s">
        <v>1594</v>
      </c>
      <c r="G90" s="33" t="s">
        <v>973</v>
      </c>
      <c r="H90" s="3">
        <f t="shared" si="3"/>
        <v>1042.25</v>
      </c>
      <c r="I90" s="3">
        <v>166.76</v>
      </c>
    </row>
    <row r="91" spans="1:9">
      <c r="A91" t="s">
        <v>1038</v>
      </c>
      <c r="B91" s="1">
        <v>41340</v>
      </c>
      <c r="C91" t="s">
        <v>2150</v>
      </c>
      <c r="D91">
        <v>1</v>
      </c>
      <c r="E91" t="s">
        <v>973</v>
      </c>
      <c r="F91" s="33" t="s">
        <v>1594</v>
      </c>
      <c r="G91" s="33" t="s">
        <v>973</v>
      </c>
      <c r="H91" s="3">
        <f t="shared" si="3"/>
        <v>18176.375</v>
      </c>
      <c r="I91" s="3">
        <v>2908.22</v>
      </c>
    </row>
    <row r="92" spans="1:9">
      <c r="A92" t="s">
        <v>1124</v>
      </c>
      <c r="B92" s="1">
        <v>41345</v>
      </c>
      <c r="C92" t="s">
        <v>2176</v>
      </c>
      <c r="D92">
        <v>1</v>
      </c>
      <c r="E92" t="s">
        <v>973</v>
      </c>
      <c r="F92" s="33" t="s">
        <v>1594</v>
      </c>
      <c r="G92" s="33" t="s">
        <v>973</v>
      </c>
      <c r="H92" s="3">
        <f t="shared" si="3"/>
        <v>4557</v>
      </c>
      <c r="I92" s="3">
        <v>729.12</v>
      </c>
    </row>
    <row r="93" spans="1:9">
      <c r="A93" t="s">
        <v>1155</v>
      </c>
      <c r="B93" s="1">
        <v>41347</v>
      </c>
      <c r="C93" t="s">
        <v>2184</v>
      </c>
      <c r="D93">
        <v>1</v>
      </c>
      <c r="E93" t="s">
        <v>973</v>
      </c>
      <c r="F93" s="33" t="s">
        <v>1594</v>
      </c>
      <c r="G93" s="33" t="s">
        <v>973</v>
      </c>
      <c r="H93" s="3">
        <f t="shared" si="3"/>
        <v>4557</v>
      </c>
      <c r="I93" s="3">
        <v>729.12</v>
      </c>
    </row>
    <row r="94" spans="1:9">
      <c r="A94" t="s">
        <v>1158</v>
      </c>
      <c r="B94" s="1">
        <v>41347</v>
      </c>
      <c r="C94" t="s">
        <v>2185</v>
      </c>
      <c r="D94">
        <v>1</v>
      </c>
      <c r="E94" t="s">
        <v>973</v>
      </c>
      <c r="F94" s="33" t="s">
        <v>1594</v>
      </c>
      <c r="G94" s="33" t="s">
        <v>973</v>
      </c>
      <c r="H94" s="3">
        <f t="shared" si="3"/>
        <v>2859</v>
      </c>
      <c r="I94" s="3">
        <v>457.44</v>
      </c>
    </row>
    <row r="95" spans="1:9">
      <c r="A95" t="s">
        <v>2196</v>
      </c>
      <c r="B95" s="1">
        <v>41353</v>
      </c>
      <c r="C95" t="s">
        <v>2197</v>
      </c>
      <c r="D95">
        <v>1</v>
      </c>
      <c r="E95" t="s">
        <v>973</v>
      </c>
      <c r="F95" s="33" t="s">
        <v>1594</v>
      </c>
      <c r="G95" s="33" t="s">
        <v>973</v>
      </c>
      <c r="H95" s="3">
        <f t="shared" si="3"/>
        <v>2500</v>
      </c>
      <c r="I95" s="3">
        <v>400</v>
      </c>
    </row>
    <row r="96" spans="1:9">
      <c r="A96" t="s">
        <v>294</v>
      </c>
      <c r="B96" s="1">
        <v>41354</v>
      </c>
      <c r="C96" t="s">
        <v>2206</v>
      </c>
      <c r="D96">
        <v>1</v>
      </c>
      <c r="E96" t="s">
        <v>973</v>
      </c>
      <c r="F96" s="33" t="s">
        <v>1594</v>
      </c>
      <c r="G96" s="33" t="s">
        <v>973</v>
      </c>
      <c r="H96" s="3">
        <f t="shared" si="3"/>
        <v>4557.25</v>
      </c>
      <c r="I96" s="3">
        <v>729.16</v>
      </c>
    </row>
    <row r="97" spans="1:12">
      <c r="A97" t="s">
        <v>1931</v>
      </c>
      <c r="B97" s="1">
        <v>41364</v>
      </c>
      <c r="C97" t="s">
        <v>1932</v>
      </c>
      <c r="D97">
        <v>1</v>
      </c>
      <c r="E97" t="s">
        <v>1933</v>
      </c>
      <c r="F97" s="41" t="s">
        <v>829</v>
      </c>
      <c r="G97" s="37" t="s">
        <v>6</v>
      </c>
      <c r="H97" s="3">
        <f t="shared" si="3"/>
        <v>805.4375</v>
      </c>
      <c r="I97" s="3">
        <v>128.87</v>
      </c>
    </row>
    <row r="98" spans="1:12">
      <c r="A98" t="s">
        <v>1928</v>
      </c>
      <c r="B98" s="1">
        <v>41364</v>
      </c>
      <c r="C98" t="s">
        <v>1929</v>
      </c>
      <c r="D98">
        <v>1</v>
      </c>
      <c r="E98" t="s">
        <v>1930</v>
      </c>
      <c r="F98" s="41" t="s">
        <v>829</v>
      </c>
      <c r="G98" s="37" t="s">
        <v>6</v>
      </c>
      <c r="H98" s="3">
        <f t="shared" si="3"/>
        <v>675.5</v>
      </c>
      <c r="I98" s="3">
        <v>108.08</v>
      </c>
    </row>
    <row r="99" spans="1:12">
      <c r="A99" t="s">
        <v>1833</v>
      </c>
      <c r="B99" s="1">
        <v>41353</v>
      </c>
      <c r="C99" t="s">
        <v>1834</v>
      </c>
      <c r="D99">
        <v>1</v>
      </c>
      <c r="E99" t="s">
        <v>1835</v>
      </c>
      <c r="F99" s="37" t="s">
        <v>1598</v>
      </c>
      <c r="G99" s="33" t="s">
        <v>1599</v>
      </c>
      <c r="H99" s="3">
        <f t="shared" si="3"/>
        <v>277751.8125</v>
      </c>
      <c r="I99" s="3">
        <v>44440.29</v>
      </c>
    </row>
    <row r="100" spans="1:12">
      <c r="A100" t="s">
        <v>128</v>
      </c>
      <c r="B100" s="1">
        <v>41342</v>
      </c>
      <c r="C100" t="s">
        <v>2160</v>
      </c>
      <c r="D100">
        <v>1</v>
      </c>
      <c r="E100" t="s">
        <v>22</v>
      </c>
      <c r="F100" s="33" t="s">
        <v>793</v>
      </c>
      <c r="G100" s="33" t="s">
        <v>22</v>
      </c>
      <c r="H100" s="3">
        <f t="shared" si="3"/>
        <v>27122.4375</v>
      </c>
      <c r="I100" s="3">
        <v>4339.59</v>
      </c>
    </row>
    <row r="101" spans="1:12">
      <c r="A101" t="s">
        <v>2190</v>
      </c>
      <c r="B101" s="1">
        <v>41348</v>
      </c>
      <c r="C101" t="s">
        <v>2191</v>
      </c>
      <c r="D101">
        <v>1</v>
      </c>
      <c r="E101" t="s">
        <v>22</v>
      </c>
      <c r="F101" s="33" t="s">
        <v>793</v>
      </c>
      <c r="G101" s="39" t="s">
        <v>22</v>
      </c>
      <c r="H101" s="3">
        <f t="shared" si="3"/>
        <v>15100</v>
      </c>
      <c r="I101" s="3">
        <v>2416</v>
      </c>
    </row>
    <row r="102" spans="1:12">
      <c r="A102" t="s">
        <v>320</v>
      </c>
      <c r="B102" s="1">
        <v>41358</v>
      </c>
      <c r="C102" t="s">
        <v>2223</v>
      </c>
      <c r="D102">
        <v>1</v>
      </c>
      <c r="E102" t="s">
        <v>22</v>
      </c>
      <c r="F102" s="33" t="s">
        <v>793</v>
      </c>
      <c r="G102" s="33" t="s">
        <v>22</v>
      </c>
      <c r="H102" s="3">
        <f t="shared" si="3"/>
        <v>31491.875</v>
      </c>
      <c r="I102" s="3">
        <v>5038.7</v>
      </c>
    </row>
    <row r="103" spans="1:12">
      <c r="A103" t="s">
        <v>341</v>
      </c>
      <c r="B103" s="1">
        <v>41358</v>
      </c>
      <c r="C103" t="s">
        <v>2234</v>
      </c>
      <c r="D103">
        <v>1</v>
      </c>
      <c r="E103" t="s">
        <v>22</v>
      </c>
      <c r="F103" s="33" t="s">
        <v>793</v>
      </c>
      <c r="G103" s="33" t="s">
        <v>22</v>
      </c>
      <c r="H103" s="3">
        <f t="shared" si="3"/>
        <v>12835.624999999998</v>
      </c>
      <c r="I103" s="3">
        <v>2053.6999999999998</v>
      </c>
    </row>
    <row r="104" spans="1:12">
      <c r="A104" t="s">
        <v>2009</v>
      </c>
      <c r="B104" s="1">
        <v>41364</v>
      </c>
      <c r="C104" t="s">
        <v>2010</v>
      </c>
      <c r="D104">
        <v>1</v>
      </c>
      <c r="E104" t="s">
        <v>612</v>
      </c>
      <c r="F104" s="33" t="s">
        <v>794</v>
      </c>
      <c r="G104" s="33" t="s">
        <v>612</v>
      </c>
      <c r="H104" s="3">
        <f t="shared" si="3"/>
        <v>70</v>
      </c>
      <c r="I104" s="3">
        <v>11.2</v>
      </c>
    </row>
    <row r="105" spans="1:12">
      <c r="A105" t="s">
        <v>1450</v>
      </c>
      <c r="B105" s="1">
        <v>41364</v>
      </c>
      <c r="C105" t="s">
        <v>2086</v>
      </c>
      <c r="D105">
        <v>1</v>
      </c>
      <c r="E105" t="s">
        <v>612</v>
      </c>
      <c r="F105" s="33" t="s">
        <v>794</v>
      </c>
      <c r="G105" s="33" t="s">
        <v>612</v>
      </c>
      <c r="H105" s="3">
        <f t="shared" si="3"/>
        <v>158</v>
      </c>
      <c r="I105" s="3">
        <v>25.28</v>
      </c>
    </row>
    <row r="106" spans="1:12">
      <c r="A106" t="s">
        <v>2209</v>
      </c>
      <c r="B106" s="1">
        <v>41354</v>
      </c>
      <c r="C106" t="s">
        <v>2210</v>
      </c>
      <c r="D106">
        <v>1</v>
      </c>
      <c r="E106" t="s">
        <v>1011</v>
      </c>
      <c r="F106" s="33" t="s">
        <v>1600</v>
      </c>
      <c r="G106" s="33" t="s">
        <v>1011</v>
      </c>
      <c r="H106" s="3">
        <f t="shared" si="3"/>
        <v>10379.375</v>
      </c>
      <c r="I106" s="3">
        <v>1660.7</v>
      </c>
    </row>
    <row r="107" spans="1:12">
      <c r="A107" t="s">
        <v>966</v>
      </c>
      <c r="B107" s="1">
        <v>41337</v>
      </c>
      <c r="C107" t="s">
        <v>2131</v>
      </c>
      <c r="D107">
        <v>1</v>
      </c>
      <c r="E107" t="s">
        <v>965</v>
      </c>
      <c r="F107" s="33" t="s">
        <v>954</v>
      </c>
      <c r="G107" s="33" t="s">
        <v>2276</v>
      </c>
      <c r="H107" s="46">
        <f t="shared" ref="H107:H108" si="4">I107/0.16</f>
        <v>166.9375</v>
      </c>
      <c r="I107" s="46">
        <v>26.71</v>
      </c>
    </row>
    <row r="108" spans="1:12">
      <c r="A108" t="s">
        <v>966</v>
      </c>
      <c r="B108" s="1">
        <v>41337</v>
      </c>
      <c r="C108" t="s">
        <v>2131</v>
      </c>
      <c r="D108">
        <v>1</v>
      </c>
      <c r="E108" t="s">
        <v>965</v>
      </c>
      <c r="F108" s="33" t="s">
        <v>2277</v>
      </c>
      <c r="G108" s="33" t="s">
        <v>2278</v>
      </c>
      <c r="H108" s="46">
        <f t="shared" si="4"/>
        <v>291.875</v>
      </c>
      <c r="I108" s="46">
        <v>46.7</v>
      </c>
    </row>
    <row r="109" spans="1:12">
      <c r="A109" t="s">
        <v>966</v>
      </c>
      <c r="B109" s="1">
        <v>41337</v>
      </c>
      <c r="C109" t="s">
        <v>2131</v>
      </c>
      <c r="D109">
        <v>1</v>
      </c>
      <c r="E109" t="s">
        <v>965</v>
      </c>
      <c r="F109" s="33" t="s">
        <v>946</v>
      </c>
      <c r="G109" s="33" t="s">
        <v>947</v>
      </c>
      <c r="H109" s="46">
        <f>I109/0.16</f>
        <v>291.18749999999994</v>
      </c>
      <c r="I109" s="46">
        <f>44.15+2.44</f>
        <v>46.589999999999996</v>
      </c>
      <c r="J109" s="14">
        <f>750-H107-H108-H109</f>
        <v>0</v>
      </c>
      <c r="K109" s="14">
        <f>120-I107-I108-I109</f>
        <v>0</v>
      </c>
      <c r="L109" t="s">
        <v>900</v>
      </c>
    </row>
    <row r="110" spans="1:12">
      <c r="A110" t="s">
        <v>1259</v>
      </c>
      <c r="B110" s="1">
        <v>41355</v>
      </c>
      <c r="C110" t="s">
        <v>2216</v>
      </c>
      <c r="D110">
        <v>1</v>
      </c>
      <c r="E110" t="s">
        <v>965</v>
      </c>
      <c r="F110" s="33" t="s">
        <v>946</v>
      </c>
      <c r="G110" s="33" t="s">
        <v>947</v>
      </c>
      <c r="H110" s="46">
        <f t="shared" ref="H110:H114" si="5">I110/0.16</f>
        <v>765.375</v>
      </c>
      <c r="I110" s="46">
        <f>108.17+14.29</f>
        <v>122.46000000000001</v>
      </c>
    </row>
    <row r="111" spans="1:12">
      <c r="A111" t="s">
        <v>1259</v>
      </c>
      <c r="B111" s="1">
        <v>41355</v>
      </c>
      <c r="C111" t="s">
        <v>2216</v>
      </c>
      <c r="D111">
        <v>1</v>
      </c>
      <c r="E111" t="s">
        <v>965</v>
      </c>
      <c r="F111" s="33" t="s">
        <v>954</v>
      </c>
      <c r="G111" s="33" t="s">
        <v>2276</v>
      </c>
      <c r="H111" s="46">
        <f t="shared" si="5"/>
        <v>167.0625</v>
      </c>
      <c r="I111" s="46">
        <v>26.73</v>
      </c>
    </row>
    <row r="112" spans="1:12">
      <c r="A112" t="s">
        <v>1259</v>
      </c>
      <c r="B112" s="1">
        <v>41355</v>
      </c>
      <c r="C112" t="s">
        <v>2216</v>
      </c>
      <c r="D112">
        <v>1</v>
      </c>
      <c r="E112" t="s">
        <v>965</v>
      </c>
      <c r="F112" s="33" t="s">
        <v>2279</v>
      </c>
      <c r="G112" s="33" t="s">
        <v>2280</v>
      </c>
      <c r="H112" s="46">
        <f t="shared" si="5"/>
        <v>174.625</v>
      </c>
      <c r="I112" s="46">
        <v>27.94</v>
      </c>
    </row>
    <row r="113" spans="1:12">
      <c r="A113" t="s">
        <v>1259</v>
      </c>
      <c r="B113" s="1">
        <v>41355</v>
      </c>
      <c r="C113" t="s">
        <v>2216</v>
      </c>
      <c r="D113">
        <v>1</v>
      </c>
      <c r="E113" t="s">
        <v>965</v>
      </c>
      <c r="F113" s="33" t="s">
        <v>2281</v>
      </c>
      <c r="G113" s="33" t="s">
        <v>2282</v>
      </c>
      <c r="H113" s="46">
        <f t="shared" si="5"/>
        <v>3170.6875</v>
      </c>
      <c r="I113" s="46">
        <v>507.31</v>
      </c>
    </row>
    <row r="114" spans="1:12">
      <c r="A114" t="s">
        <v>1259</v>
      </c>
      <c r="B114" s="1">
        <v>41355</v>
      </c>
      <c r="C114" t="s">
        <v>2216</v>
      </c>
      <c r="D114">
        <v>1</v>
      </c>
      <c r="E114" t="s">
        <v>965</v>
      </c>
      <c r="F114" s="33" t="s">
        <v>2283</v>
      </c>
      <c r="G114" s="33" t="s">
        <v>2284</v>
      </c>
      <c r="H114" s="46">
        <f t="shared" si="5"/>
        <v>1473.125</v>
      </c>
      <c r="I114" s="46">
        <v>235.7</v>
      </c>
      <c r="J114" s="14">
        <f>5750.88-H110-H111-H112-H113-H114</f>
        <v>5.0000000001091394E-3</v>
      </c>
      <c r="K114" s="14">
        <f>920.14-I110-I111-I112-I113-I114</f>
        <v>0</v>
      </c>
      <c r="L114" t="s">
        <v>900</v>
      </c>
    </row>
    <row r="115" spans="1:12">
      <c r="A115" t="s">
        <v>1798</v>
      </c>
      <c r="B115" s="1">
        <v>41347</v>
      </c>
      <c r="C115" t="s">
        <v>1799</v>
      </c>
      <c r="D115">
        <v>1</v>
      </c>
      <c r="E115" t="s">
        <v>1800</v>
      </c>
      <c r="F115" s="41" t="s">
        <v>2285</v>
      </c>
      <c r="G115" s="33" t="s">
        <v>1800</v>
      </c>
      <c r="H115" s="3">
        <f t="shared" ref="H115:H127" si="6">+I115/0.16</f>
        <v>215976.5625</v>
      </c>
      <c r="I115" s="3">
        <v>34556.25</v>
      </c>
    </row>
    <row r="116" spans="1:12">
      <c r="A116" t="s">
        <v>1561</v>
      </c>
      <c r="B116" s="1">
        <v>41360</v>
      </c>
      <c r="C116" t="s">
        <v>2245</v>
      </c>
      <c r="D116">
        <v>1</v>
      </c>
      <c r="E116" t="s">
        <v>2246</v>
      </c>
      <c r="F116" s="33" t="s">
        <v>798</v>
      </c>
      <c r="G116" s="33" t="s">
        <v>77</v>
      </c>
      <c r="H116" s="3">
        <f t="shared" si="6"/>
        <v>63.5</v>
      </c>
      <c r="I116" s="3">
        <v>10.16</v>
      </c>
    </row>
    <row r="117" spans="1:12">
      <c r="A117" t="s">
        <v>122</v>
      </c>
      <c r="B117" s="1">
        <v>41342</v>
      </c>
      <c r="C117" t="s">
        <v>2159</v>
      </c>
      <c r="D117">
        <v>1</v>
      </c>
      <c r="E117" t="s">
        <v>77</v>
      </c>
      <c r="F117" s="33" t="s">
        <v>798</v>
      </c>
      <c r="G117" s="33" t="s">
        <v>77</v>
      </c>
      <c r="H117" s="3">
        <f t="shared" si="6"/>
        <v>601</v>
      </c>
      <c r="I117" s="3">
        <v>96.16</v>
      </c>
    </row>
    <row r="118" spans="1:12">
      <c r="A118" t="s">
        <v>324</v>
      </c>
      <c r="B118" s="1">
        <v>41358</v>
      </c>
      <c r="C118" t="s">
        <v>2225</v>
      </c>
      <c r="D118">
        <v>1</v>
      </c>
      <c r="E118" t="s">
        <v>77</v>
      </c>
      <c r="F118" s="41" t="s">
        <v>798</v>
      </c>
      <c r="G118" s="33" t="s">
        <v>77</v>
      </c>
      <c r="H118" s="3">
        <f t="shared" si="6"/>
        <v>760.625</v>
      </c>
      <c r="I118" s="3">
        <v>121.7</v>
      </c>
    </row>
    <row r="119" spans="1:12">
      <c r="A119" t="s">
        <v>389</v>
      </c>
      <c r="B119" s="1">
        <v>41360</v>
      </c>
      <c r="C119" t="s">
        <v>2244</v>
      </c>
      <c r="D119">
        <v>1</v>
      </c>
      <c r="E119" t="s">
        <v>77</v>
      </c>
      <c r="F119" s="41" t="s">
        <v>798</v>
      </c>
      <c r="G119" s="33" t="s">
        <v>77</v>
      </c>
      <c r="H119" s="3">
        <f t="shared" si="6"/>
        <v>770</v>
      </c>
      <c r="I119" s="3">
        <v>123.2</v>
      </c>
    </row>
    <row r="120" spans="1:12">
      <c r="A120" t="s">
        <v>393</v>
      </c>
      <c r="B120" s="1">
        <v>41360</v>
      </c>
      <c r="C120" t="s">
        <v>2248</v>
      </c>
      <c r="D120">
        <v>1</v>
      </c>
      <c r="E120" t="s">
        <v>2249</v>
      </c>
      <c r="F120" s="41" t="s">
        <v>801</v>
      </c>
      <c r="G120" s="33" t="s">
        <v>2249</v>
      </c>
      <c r="H120" s="3">
        <f t="shared" si="6"/>
        <v>6750</v>
      </c>
      <c r="I120" s="3">
        <v>1080</v>
      </c>
    </row>
    <row r="121" spans="1:12">
      <c r="A121" t="s">
        <v>136</v>
      </c>
      <c r="B121" s="1">
        <v>41342</v>
      </c>
      <c r="C121" t="s">
        <v>2171</v>
      </c>
      <c r="D121">
        <v>1</v>
      </c>
      <c r="E121" t="s">
        <v>215</v>
      </c>
      <c r="F121" s="33" t="s">
        <v>801</v>
      </c>
      <c r="G121" s="33" t="s">
        <v>215</v>
      </c>
      <c r="H121" s="3">
        <f t="shared" si="6"/>
        <v>950</v>
      </c>
      <c r="I121" s="3">
        <v>152</v>
      </c>
    </row>
    <row r="122" spans="1:12">
      <c r="A122" t="s">
        <v>339</v>
      </c>
      <c r="B122" s="1">
        <v>41358</v>
      </c>
      <c r="C122" t="s">
        <v>2233</v>
      </c>
      <c r="D122">
        <v>1</v>
      </c>
      <c r="E122" t="s">
        <v>215</v>
      </c>
      <c r="F122" s="33" t="s">
        <v>801</v>
      </c>
      <c r="G122" s="33" t="s">
        <v>215</v>
      </c>
      <c r="H122" s="3">
        <f t="shared" si="6"/>
        <v>2800</v>
      </c>
      <c r="I122" s="3">
        <v>448</v>
      </c>
    </row>
    <row r="123" spans="1:12">
      <c r="A123" t="s">
        <v>2165</v>
      </c>
      <c r="B123" s="1">
        <v>41342</v>
      </c>
      <c r="C123" t="s">
        <v>2166</v>
      </c>
      <c r="D123">
        <v>1</v>
      </c>
      <c r="E123" t="s">
        <v>226</v>
      </c>
      <c r="F123" s="33" t="s">
        <v>802</v>
      </c>
      <c r="G123" s="33" t="s">
        <v>226</v>
      </c>
      <c r="H123" s="3">
        <f t="shared" si="6"/>
        <v>459</v>
      </c>
      <c r="I123" s="3">
        <v>73.44</v>
      </c>
    </row>
    <row r="124" spans="1:12">
      <c r="A124" t="s">
        <v>2180</v>
      </c>
      <c r="B124" s="1">
        <v>41345</v>
      </c>
      <c r="C124" t="s">
        <v>2181</v>
      </c>
      <c r="D124">
        <v>2</v>
      </c>
      <c r="E124" t="s">
        <v>74</v>
      </c>
      <c r="F124" s="33" t="s">
        <v>803</v>
      </c>
      <c r="G124" s="33" t="s">
        <v>74</v>
      </c>
      <c r="H124" s="3">
        <f t="shared" si="6"/>
        <v>4462.8125</v>
      </c>
      <c r="I124" s="3">
        <v>714.05</v>
      </c>
      <c r="J124" s="14" t="e">
        <f>+H124-#REF!</f>
        <v>#REF!</v>
      </c>
      <c r="K124" s="14" t="e">
        <f>+I124-#REF!</f>
        <v>#REF!</v>
      </c>
      <c r="L124" t="s">
        <v>900</v>
      </c>
    </row>
    <row r="125" spans="1:12">
      <c r="A125" t="s">
        <v>395</v>
      </c>
      <c r="B125" s="1">
        <v>41360</v>
      </c>
      <c r="C125" t="s">
        <v>2250</v>
      </c>
      <c r="D125">
        <v>2</v>
      </c>
      <c r="E125" t="s">
        <v>74</v>
      </c>
      <c r="F125" s="33" t="s">
        <v>803</v>
      </c>
      <c r="G125" s="33" t="s">
        <v>804</v>
      </c>
      <c r="H125" s="3">
        <f t="shared" si="6"/>
        <v>3803.125</v>
      </c>
      <c r="I125" s="3">
        <v>608.5</v>
      </c>
    </row>
    <row r="126" spans="1:12">
      <c r="A126" t="s">
        <v>699</v>
      </c>
      <c r="B126" s="1">
        <v>41340</v>
      </c>
      <c r="C126" t="s">
        <v>2260</v>
      </c>
      <c r="D126">
        <v>2</v>
      </c>
      <c r="E126" t="s">
        <v>74</v>
      </c>
      <c r="F126" s="33" t="s">
        <v>803</v>
      </c>
      <c r="G126" s="33" t="s">
        <v>74</v>
      </c>
      <c r="H126" s="3">
        <f t="shared" si="6"/>
        <v>3803.125</v>
      </c>
      <c r="I126" s="3">
        <v>608.5</v>
      </c>
    </row>
    <row r="127" spans="1:12">
      <c r="A127" t="s">
        <v>2198</v>
      </c>
      <c r="B127" s="1">
        <v>41354</v>
      </c>
      <c r="C127" t="s">
        <v>2199</v>
      </c>
      <c r="D127">
        <v>1</v>
      </c>
      <c r="E127" t="s">
        <v>112</v>
      </c>
      <c r="F127" s="33" t="s">
        <v>805</v>
      </c>
      <c r="G127" s="33" t="s">
        <v>112</v>
      </c>
      <c r="H127" s="3">
        <f t="shared" si="6"/>
        <v>25000</v>
      </c>
      <c r="I127" s="3">
        <v>4000</v>
      </c>
    </row>
    <row r="128" spans="1:12">
      <c r="A128" t="s">
        <v>1416</v>
      </c>
      <c r="B128" s="1">
        <v>41364</v>
      </c>
      <c r="C128" t="s">
        <v>2056</v>
      </c>
      <c r="D128">
        <v>1</v>
      </c>
      <c r="E128" t="s">
        <v>2057</v>
      </c>
      <c r="F128" s="33" t="s">
        <v>946</v>
      </c>
      <c r="G128" s="33" t="s">
        <v>947</v>
      </c>
      <c r="H128" s="46">
        <f>I128/0.16</f>
        <v>688.3125</v>
      </c>
      <c r="I128" s="46">
        <f>108.84+1.29</f>
        <v>110.13000000000001</v>
      </c>
    </row>
    <row r="129" spans="1:12">
      <c r="A129" t="s">
        <v>1416</v>
      </c>
      <c r="B129" s="1">
        <v>41364</v>
      </c>
      <c r="C129" t="s">
        <v>2056</v>
      </c>
      <c r="D129">
        <v>1</v>
      </c>
      <c r="E129" t="s">
        <v>2057</v>
      </c>
      <c r="F129" s="33" t="s">
        <v>1674</v>
      </c>
      <c r="G129" s="33" t="s">
        <v>2286</v>
      </c>
      <c r="H129" s="46">
        <f t="shared" ref="H129" si="7">I129/0.16</f>
        <v>86.187499999999986</v>
      </c>
      <c r="I129" s="46">
        <v>13.79</v>
      </c>
    </row>
    <row r="130" spans="1:12">
      <c r="A130" t="s">
        <v>1416</v>
      </c>
      <c r="B130" s="1">
        <v>41364</v>
      </c>
      <c r="C130" t="s">
        <v>2056</v>
      </c>
      <c r="D130">
        <v>1</v>
      </c>
      <c r="E130" t="s">
        <v>2057</v>
      </c>
      <c r="F130" s="33" t="s">
        <v>2287</v>
      </c>
      <c r="G130" s="33" t="s">
        <v>2288</v>
      </c>
      <c r="H130" s="46">
        <f t="shared" ref="H130:H132" si="8">I130/0.16</f>
        <v>241.75</v>
      </c>
      <c r="I130" s="46">
        <v>38.68</v>
      </c>
      <c r="J130" s="14">
        <f>1016.25-H128-H129-H130</f>
        <v>0</v>
      </c>
      <c r="K130" s="14">
        <f>162.6-I128-I129-I130</f>
        <v>0</v>
      </c>
      <c r="L130" t="s">
        <v>900</v>
      </c>
    </row>
    <row r="131" spans="1:12">
      <c r="A131" t="s">
        <v>1982</v>
      </c>
      <c r="B131" s="1">
        <v>41364</v>
      </c>
      <c r="C131" t="s">
        <v>1983</v>
      </c>
      <c r="D131">
        <v>1</v>
      </c>
      <c r="E131" t="s">
        <v>1984</v>
      </c>
      <c r="F131" s="33" t="s">
        <v>946</v>
      </c>
      <c r="G131" s="33" t="s">
        <v>947</v>
      </c>
      <c r="H131" s="46">
        <f t="shared" si="8"/>
        <v>686.4375</v>
      </c>
      <c r="I131" s="46">
        <f>108.84+0.99</f>
        <v>109.83</v>
      </c>
    </row>
    <row r="132" spans="1:12">
      <c r="A132" t="s">
        <v>1982</v>
      </c>
      <c r="B132" s="1">
        <v>41364</v>
      </c>
      <c r="C132" t="s">
        <v>1983</v>
      </c>
      <c r="D132">
        <v>1</v>
      </c>
      <c r="E132" t="s">
        <v>1984</v>
      </c>
      <c r="F132" s="33" t="s">
        <v>2287</v>
      </c>
      <c r="G132" s="33" t="s">
        <v>2288</v>
      </c>
      <c r="H132" s="46">
        <f t="shared" si="8"/>
        <v>183.9375</v>
      </c>
      <c r="I132" s="46">
        <v>29.43</v>
      </c>
      <c r="J132" s="14">
        <f>870.38-H131-H132</f>
        <v>4.9999999999954525E-3</v>
      </c>
      <c r="K132" s="14">
        <f>139.26-I131-I132</f>
        <v>0</v>
      </c>
      <c r="L132" t="s">
        <v>900</v>
      </c>
    </row>
    <row r="133" spans="1:12">
      <c r="A133" t="s">
        <v>113</v>
      </c>
      <c r="B133" s="1">
        <v>41342</v>
      </c>
      <c r="C133" t="s">
        <v>2155</v>
      </c>
      <c r="D133">
        <v>2</v>
      </c>
      <c r="E133" t="s">
        <v>207</v>
      </c>
      <c r="F133" s="33" t="s">
        <v>806</v>
      </c>
      <c r="G133" s="33" t="s">
        <v>207</v>
      </c>
      <c r="H133" s="3">
        <f t="shared" ref="H133:H158" si="9">+I133/0.16</f>
        <v>1764</v>
      </c>
      <c r="I133" s="3">
        <v>282.24</v>
      </c>
    </row>
    <row r="134" spans="1:12">
      <c r="A134" t="s">
        <v>307</v>
      </c>
      <c r="B134" s="1">
        <v>41358</v>
      </c>
      <c r="C134" t="s">
        <v>2221</v>
      </c>
      <c r="D134">
        <v>2</v>
      </c>
      <c r="E134" t="s">
        <v>207</v>
      </c>
      <c r="F134" s="33" t="s">
        <v>806</v>
      </c>
      <c r="G134" s="33" t="s">
        <v>207</v>
      </c>
      <c r="H134" s="3">
        <f t="shared" si="9"/>
        <v>1102.5</v>
      </c>
      <c r="I134" s="3">
        <v>176.4</v>
      </c>
    </row>
    <row r="135" spans="1:12">
      <c r="A135" t="s">
        <v>1447</v>
      </c>
      <c r="B135" s="1">
        <v>41364</v>
      </c>
      <c r="C135" t="s">
        <v>2084</v>
      </c>
      <c r="D135">
        <v>1</v>
      </c>
      <c r="E135" t="s">
        <v>561</v>
      </c>
      <c r="F135" s="33" t="s">
        <v>811</v>
      </c>
      <c r="G135" s="33" t="s">
        <v>2289</v>
      </c>
      <c r="H135" s="3">
        <f t="shared" si="9"/>
        <v>12</v>
      </c>
      <c r="I135" s="3">
        <v>1.92</v>
      </c>
    </row>
    <row r="136" spans="1:12">
      <c r="A136" t="s">
        <v>1448</v>
      </c>
      <c r="B136" s="1">
        <v>41364</v>
      </c>
      <c r="C136" t="s">
        <v>2085</v>
      </c>
      <c r="D136">
        <v>1</v>
      </c>
      <c r="E136" t="s">
        <v>561</v>
      </c>
      <c r="F136" s="33" t="s">
        <v>946</v>
      </c>
      <c r="G136" s="33" t="s">
        <v>561</v>
      </c>
      <c r="H136" s="3">
        <f t="shared" si="9"/>
        <v>8.5625</v>
      </c>
      <c r="I136" s="3">
        <v>1.37</v>
      </c>
    </row>
    <row r="137" spans="1:12">
      <c r="A137" t="s">
        <v>1422</v>
      </c>
      <c r="B137" s="1">
        <v>41364</v>
      </c>
      <c r="C137" t="s">
        <v>2063</v>
      </c>
      <c r="D137">
        <v>1</v>
      </c>
      <c r="E137" t="s">
        <v>2064</v>
      </c>
      <c r="F137" s="33" t="s">
        <v>2290</v>
      </c>
      <c r="G137" s="33" t="s">
        <v>2291</v>
      </c>
      <c r="H137" s="3">
        <f t="shared" si="9"/>
        <v>425</v>
      </c>
      <c r="I137" s="3">
        <v>68</v>
      </c>
    </row>
    <row r="138" spans="1:12">
      <c r="A138" t="s">
        <v>701</v>
      </c>
      <c r="B138" s="1">
        <v>41337</v>
      </c>
      <c r="C138" t="s">
        <v>2261</v>
      </c>
      <c r="D138">
        <v>1</v>
      </c>
      <c r="E138" t="s">
        <v>2262</v>
      </c>
      <c r="F138" s="33" t="s">
        <v>2292</v>
      </c>
      <c r="G138" s="33" t="s">
        <v>2132</v>
      </c>
      <c r="H138" s="3">
        <f t="shared" si="9"/>
        <v>8300</v>
      </c>
      <c r="I138" s="3">
        <v>1328</v>
      </c>
    </row>
    <row r="139" spans="1:12">
      <c r="A139" t="s">
        <v>1909</v>
      </c>
      <c r="B139" s="1">
        <v>41364</v>
      </c>
      <c r="C139" t="s">
        <v>433</v>
      </c>
      <c r="D139">
        <v>1</v>
      </c>
      <c r="E139" t="s">
        <v>1910</v>
      </c>
      <c r="F139" s="42" t="s">
        <v>827</v>
      </c>
      <c r="G139" s="39" t="s">
        <v>828</v>
      </c>
      <c r="H139" s="3">
        <f t="shared" si="9"/>
        <v>12806.6875</v>
      </c>
      <c r="I139" s="3">
        <v>2049.0700000000002</v>
      </c>
    </row>
    <row r="140" spans="1:12">
      <c r="A140" t="s">
        <v>1917</v>
      </c>
      <c r="B140" s="1">
        <v>41364</v>
      </c>
      <c r="C140" t="s">
        <v>433</v>
      </c>
      <c r="D140">
        <v>1</v>
      </c>
      <c r="E140" t="s">
        <v>1918</v>
      </c>
      <c r="F140" s="41" t="s">
        <v>823</v>
      </c>
      <c r="G140" s="43" t="s">
        <v>824</v>
      </c>
      <c r="H140" s="3">
        <f t="shared" si="9"/>
        <v>446.99999999999994</v>
      </c>
      <c r="I140" s="3">
        <v>71.52</v>
      </c>
    </row>
    <row r="141" spans="1:12">
      <c r="A141" t="s">
        <v>1913</v>
      </c>
      <c r="B141" s="1">
        <v>41364</v>
      </c>
      <c r="C141" t="s">
        <v>433</v>
      </c>
      <c r="D141">
        <v>1</v>
      </c>
      <c r="E141" t="s">
        <v>1914</v>
      </c>
      <c r="F141" s="41" t="s">
        <v>830</v>
      </c>
      <c r="G141" s="43" t="s">
        <v>831</v>
      </c>
      <c r="H141" s="3">
        <f t="shared" si="9"/>
        <v>416</v>
      </c>
      <c r="I141" s="3">
        <v>66.56</v>
      </c>
    </row>
    <row r="142" spans="1:12">
      <c r="A142" t="s">
        <v>1925</v>
      </c>
      <c r="B142" s="1">
        <v>41364</v>
      </c>
      <c r="C142" t="s">
        <v>1926</v>
      </c>
      <c r="D142">
        <v>1</v>
      </c>
      <c r="E142" t="s">
        <v>1927</v>
      </c>
      <c r="F142" s="41" t="s">
        <v>829</v>
      </c>
      <c r="G142" s="37" t="s">
        <v>6</v>
      </c>
      <c r="H142" s="3">
        <f t="shared" si="9"/>
        <v>996.8125</v>
      </c>
      <c r="I142" s="3">
        <v>159.49</v>
      </c>
    </row>
    <row r="143" spans="1:12">
      <c r="A143" t="s">
        <v>182</v>
      </c>
      <c r="B143" s="1">
        <v>41345</v>
      </c>
      <c r="C143" t="s">
        <v>2178</v>
      </c>
      <c r="D143">
        <v>1</v>
      </c>
      <c r="E143" t="s">
        <v>2179</v>
      </c>
      <c r="F143" s="33" t="s">
        <v>2293</v>
      </c>
      <c r="G143" s="33" t="s">
        <v>270</v>
      </c>
      <c r="H143" s="3">
        <f t="shared" si="9"/>
        <v>7146.6875</v>
      </c>
      <c r="I143" s="3">
        <v>1143.47</v>
      </c>
      <c r="J143" s="14" t="e">
        <f>+H143-#REF!</f>
        <v>#REF!</v>
      </c>
      <c r="K143" s="14" t="e">
        <f>+I143-#REF!</f>
        <v>#REF!</v>
      </c>
      <c r="L143" t="s">
        <v>900</v>
      </c>
    </row>
    <row r="144" spans="1:12">
      <c r="A144" t="s">
        <v>344</v>
      </c>
      <c r="B144" s="1">
        <v>41358</v>
      </c>
      <c r="C144" t="s">
        <v>2235</v>
      </c>
      <c r="D144">
        <v>2</v>
      </c>
      <c r="E144" t="s">
        <v>2236</v>
      </c>
      <c r="F144" s="33" t="s">
        <v>803</v>
      </c>
      <c r="G144" s="33" t="s">
        <v>804</v>
      </c>
      <c r="H144" s="3">
        <f t="shared" si="9"/>
        <v>15415.875</v>
      </c>
      <c r="I144" s="3">
        <v>2466.54</v>
      </c>
    </row>
    <row r="145" spans="1:12">
      <c r="A145" t="s">
        <v>1880</v>
      </c>
      <c r="B145" s="1">
        <v>41359</v>
      </c>
      <c r="C145" t="s">
        <v>1881</v>
      </c>
      <c r="D145">
        <v>1</v>
      </c>
      <c r="E145" t="s">
        <v>5</v>
      </c>
      <c r="F145" s="41" t="s">
        <v>816</v>
      </c>
      <c r="G145" s="33" t="s">
        <v>5</v>
      </c>
      <c r="H145" s="3">
        <f t="shared" si="9"/>
        <v>107142.875</v>
      </c>
      <c r="I145" s="3">
        <v>17142.86</v>
      </c>
    </row>
    <row r="146" spans="1:12">
      <c r="A146" t="s">
        <v>1767</v>
      </c>
      <c r="B146" s="1">
        <v>41344</v>
      </c>
      <c r="C146" t="s">
        <v>1768</v>
      </c>
      <c r="D146">
        <v>1</v>
      </c>
      <c r="E146" t="s">
        <v>1769</v>
      </c>
      <c r="F146" t="s">
        <v>829</v>
      </c>
      <c r="G146" t="s">
        <v>6</v>
      </c>
      <c r="H146" s="3">
        <f t="shared" si="9"/>
        <v>1812.3125000000002</v>
      </c>
      <c r="I146" s="3">
        <v>289.97000000000003</v>
      </c>
      <c r="K146" s="135">
        <f t="shared" ref="K146" si="10">+L146/0.16</f>
        <v>1812.3125000000002</v>
      </c>
      <c r="L146" s="135">
        <v>289.97000000000003</v>
      </c>
    </row>
    <row r="147" spans="1:12">
      <c r="A147" t="s">
        <v>1882</v>
      </c>
      <c r="B147" s="1">
        <v>41359</v>
      </c>
      <c r="C147" t="s">
        <v>1883</v>
      </c>
      <c r="D147">
        <v>1</v>
      </c>
      <c r="E147" t="s">
        <v>2</v>
      </c>
      <c r="F147" s="41" t="s">
        <v>843</v>
      </c>
      <c r="G147" s="33" t="s">
        <v>844</v>
      </c>
      <c r="H147" s="3">
        <f t="shared" si="9"/>
        <v>107142.875</v>
      </c>
      <c r="I147" s="3">
        <v>17142.86</v>
      </c>
    </row>
    <row r="148" spans="1:12">
      <c r="A148" t="s">
        <v>1784</v>
      </c>
      <c r="B148" s="1">
        <v>41346</v>
      </c>
      <c r="C148" t="s">
        <v>1785</v>
      </c>
      <c r="D148">
        <v>1</v>
      </c>
      <c r="E148" t="s">
        <v>57</v>
      </c>
      <c r="F148" s="32" t="s">
        <v>921</v>
      </c>
      <c r="G148" s="33" t="s">
        <v>922</v>
      </c>
      <c r="H148" s="3">
        <f t="shared" si="9"/>
        <v>19119.625</v>
      </c>
      <c r="I148" s="3">
        <v>3059.14</v>
      </c>
    </row>
    <row r="149" spans="1:12">
      <c r="A149" t="s">
        <v>1863</v>
      </c>
      <c r="B149" s="1">
        <v>41355</v>
      </c>
      <c r="C149" t="s">
        <v>1864</v>
      </c>
      <c r="D149">
        <v>1</v>
      </c>
      <c r="E149" t="s">
        <v>57</v>
      </c>
      <c r="F149" t="s">
        <v>921</v>
      </c>
      <c r="G149" t="s">
        <v>922</v>
      </c>
      <c r="H149" s="3">
        <f t="shared" si="9"/>
        <v>314655.1875</v>
      </c>
      <c r="I149" s="3">
        <v>50344.83</v>
      </c>
      <c r="K149" s="135">
        <f t="shared" ref="K149" si="11">+L149/0.16</f>
        <v>314655.1875</v>
      </c>
      <c r="L149" s="135">
        <v>50344.83</v>
      </c>
    </row>
    <row r="150" spans="1:12">
      <c r="A150" t="s">
        <v>1922</v>
      </c>
      <c r="B150" s="1">
        <v>41349</v>
      </c>
      <c r="C150" t="s">
        <v>1923</v>
      </c>
      <c r="D150">
        <v>1</v>
      </c>
      <c r="E150" t="s">
        <v>57</v>
      </c>
      <c r="F150" s="32" t="s">
        <v>921</v>
      </c>
      <c r="G150" s="33" t="s">
        <v>922</v>
      </c>
      <c r="H150" s="3">
        <f t="shared" si="9"/>
        <v>3571.125</v>
      </c>
      <c r="I150" s="3">
        <v>571.38</v>
      </c>
    </row>
    <row r="151" spans="1:12">
      <c r="A151" t="s">
        <v>1924</v>
      </c>
      <c r="B151" s="1">
        <v>41349</v>
      </c>
      <c r="C151">
        <v>631</v>
      </c>
      <c r="D151">
        <v>1</v>
      </c>
      <c r="E151" t="s">
        <v>57</v>
      </c>
      <c r="F151" s="32" t="s">
        <v>921</v>
      </c>
      <c r="G151" s="33" t="s">
        <v>922</v>
      </c>
      <c r="H151" s="3">
        <f t="shared" si="9"/>
        <v>1587.625</v>
      </c>
      <c r="I151" s="3">
        <v>254.02</v>
      </c>
    </row>
    <row r="152" spans="1:12">
      <c r="A152" t="s">
        <v>432</v>
      </c>
      <c r="B152" s="1">
        <v>41364</v>
      </c>
      <c r="C152" t="s">
        <v>2125</v>
      </c>
      <c r="D152">
        <v>1</v>
      </c>
      <c r="E152" t="s">
        <v>57</v>
      </c>
      <c r="F152" t="s">
        <v>921</v>
      </c>
      <c r="G152" t="s">
        <v>922</v>
      </c>
      <c r="H152" s="3">
        <f t="shared" si="9"/>
        <v>3448.25</v>
      </c>
      <c r="I152" s="3">
        <v>551.72</v>
      </c>
      <c r="K152" s="135">
        <f t="shared" ref="K152" si="12">+L152/0.16</f>
        <v>3448.25</v>
      </c>
      <c r="L152" s="135">
        <v>551.72</v>
      </c>
    </row>
    <row r="153" spans="1:12">
      <c r="A153" t="s">
        <v>1875</v>
      </c>
      <c r="B153" s="1">
        <v>41358</v>
      </c>
      <c r="C153" t="s">
        <v>1876</v>
      </c>
      <c r="D153">
        <v>1</v>
      </c>
      <c r="E153" t="s">
        <v>1877</v>
      </c>
      <c r="F153" s="32" t="s">
        <v>921</v>
      </c>
      <c r="G153" s="33" t="s">
        <v>922</v>
      </c>
      <c r="H153" s="3">
        <f t="shared" si="9"/>
        <v>15570.625</v>
      </c>
      <c r="I153" s="3">
        <v>2491.3000000000002</v>
      </c>
    </row>
    <row r="154" spans="1:12">
      <c r="A154" t="s">
        <v>1878</v>
      </c>
      <c r="B154" s="1">
        <v>41358</v>
      </c>
      <c r="C154" t="s">
        <v>1879</v>
      </c>
      <c r="D154">
        <v>1</v>
      </c>
      <c r="E154" t="s">
        <v>1877</v>
      </c>
      <c r="F154" s="32" t="s">
        <v>921</v>
      </c>
      <c r="G154" s="33" t="s">
        <v>922</v>
      </c>
      <c r="H154" s="3">
        <f t="shared" si="9"/>
        <v>15100.25</v>
      </c>
      <c r="I154" s="3">
        <v>2416.04</v>
      </c>
    </row>
    <row r="155" spans="1:12">
      <c r="A155" t="s">
        <v>110</v>
      </c>
      <c r="B155" s="1">
        <v>41342</v>
      </c>
      <c r="C155" t="s">
        <v>2154</v>
      </c>
      <c r="D155">
        <v>1</v>
      </c>
      <c r="E155" t="s">
        <v>83</v>
      </c>
      <c r="F155" s="33" t="s">
        <v>877</v>
      </c>
      <c r="G155" s="33" t="s">
        <v>223</v>
      </c>
      <c r="H155" s="3">
        <f t="shared" si="9"/>
        <v>29201.687500000004</v>
      </c>
      <c r="I155" s="3">
        <v>4672.2700000000004</v>
      </c>
    </row>
    <row r="156" spans="1:12">
      <c r="A156" t="s">
        <v>333</v>
      </c>
      <c r="B156" s="1">
        <v>41358</v>
      </c>
      <c r="C156" t="s">
        <v>2228</v>
      </c>
      <c r="D156">
        <v>1</v>
      </c>
      <c r="E156" t="s">
        <v>83</v>
      </c>
      <c r="F156" s="33" t="s">
        <v>877</v>
      </c>
      <c r="G156" s="33" t="s">
        <v>223</v>
      </c>
      <c r="H156" s="3">
        <f t="shared" si="9"/>
        <v>8808</v>
      </c>
      <c r="I156" s="3">
        <v>1409.28</v>
      </c>
    </row>
    <row r="157" spans="1:12">
      <c r="A157" t="s">
        <v>1168</v>
      </c>
      <c r="B157" s="1">
        <v>41360</v>
      </c>
      <c r="C157" t="s">
        <v>2251</v>
      </c>
      <c r="D157">
        <v>1</v>
      </c>
      <c r="E157" t="s">
        <v>83</v>
      </c>
      <c r="F157" s="33" t="s">
        <v>877</v>
      </c>
      <c r="G157" s="33" t="s">
        <v>223</v>
      </c>
      <c r="H157" s="3">
        <f t="shared" si="9"/>
        <v>17861.875</v>
      </c>
      <c r="I157" s="3">
        <v>2857.9</v>
      </c>
    </row>
    <row r="158" spans="1:12">
      <c r="A158" t="s">
        <v>1428</v>
      </c>
      <c r="B158" s="1">
        <v>41364</v>
      </c>
      <c r="C158" t="s">
        <v>2072</v>
      </c>
      <c r="D158">
        <v>1</v>
      </c>
      <c r="E158" t="s">
        <v>2073</v>
      </c>
      <c r="F158" s="33" t="s">
        <v>2294</v>
      </c>
      <c r="G158" s="33" t="s">
        <v>2295</v>
      </c>
      <c r="H158" s="3">
        <f t="shared" si="9"/>
        <v>1691.4375</v>
      </c>
      <c r="I158" s="3">
        <v>270.63</v>
      </c>
    </row>
    <row r="159" spans="1:12" s="137" customFormat="1">
      <c r="A159" s="137" t="s">
        <v>1462</v>
      </c>
      <c r="B159" s="138">
        <v>41364</v>
      </c>
      <c r="C159" s="137" t="s">
        <v>436</v>
      </c>
      <c r="D159" s="137">
        <v>1</v>
      </c>
      <c r="E159" s="137" t="s">
        <v>2117</v>
      </c>
      <c r="F159" s="137" t="s">
        <v>2296</v>
      </c>
      <c r="G159" s="137" t="s">
        <v>2297</v>
      </c>
      <c r="H159" s="139">
        <f t="shared" ref="H159:H163" si="13">I159/0.16</f>
        <v>86.187499999999986</v>
      </c>
      <c r="I159" s="139">
        <v>13.79</v>
      </c>
      <c r="J159" s="140"/>
      <c r="K159" s="140"/>
      <c r="L159" s="137" t="s">
        <v>900</v>
      </c>
    </row>
    <row r="160" spans="1:12">
      <c r="A160" t="s">
        <v>1460</v>
      </c>
      <c r="B160" s="1">
        <v>41364</v>
      </c>
      <c r="C160" t="s">
        <v>436</v>
      </c>
      <c r="D160">
        <v>1</v>
      </c>
      <c r="E160" t="s">
        <v>2116</v>
      </c>
      <c r="F160" s="33" t="s">
        <v>1611</v>
      </c>
      <c r="G160" s="33" t="s">
        <v>1612</v>
      </c>
      <c r="H160" s="46">
        <f t="shared" si="13"/>
        <v>367.0625</v>
      </c>
      <c r="I160" s="46">
        <v>58.73</v>
      </c>
    </row>
    <row r="161" spans="1:12">
      <c r="A161" t="s">
        <v>1460</v>
      </c>
      <c r="B161" s="1">
        <v>41364</v>
      </c>
      <c r="C161" t="s">
        <v>436</v>
      </c>
      <c r="D161">
        <v>1</v>
      </c>
      <c r="E161" t="s">
        <v>2116</v>
      </c>
      <c r="F161" s="33" t="s">
        <v>2296</v>
      </c>
      <c r="G161" s="33" t="s">
        <v>2297</v>
      </c>
      <c r="H161" s="46">
        <f t="shared" si="13"/>
        <v>154.3125</v>
      </c>
      <c r="I161" s="46">
        <v>24.69</v>
      </c>
    </row>
    <row r="162" spans="1:12">
      <c r="A162" t="s">
        <v>1460</v>
      </c>
      <c r="B162" s="1">
        <v>41364</v>
      </c>
      <c r="C162" t="s">
        <v>436</v>
      </c>
      <c r="D162">
        <v>1</v>
      </c>
      <c r="E162" t="s">
        <v>2116</v>
      </c>
      <c r="F162" s="33" t="s">
        <v>1613</v>
      </c>
      <c r="G162" s="33" t="s">
        <v>2298</v>
      </c>
      <c r="H162" s="46">
        <f t="shared" si="13"/>
        <v>175.1875</v>
      </c>
      <c r="I162" s="46">
        <v>28.03</v>
      </c>
    </row>
    <row r="163" spans="1:12">
      <c r="A163" t="s">
        <v>1460</v>
      </c>
      <c r="B163" s="1">
        <v>41364</v>
      </c>
      <c r="C163" t="s">
        <v>436</v>
      </c>
      <c r="D163">
        <v>1</v>
      </c>
      <c r="E163" t="s">
        <v>2116</v>
      </c>
      <c r="F163" s="33" t="s">
        <v>946</v>
      </c>
      <c r="G163" s="33" t="s">
        <v>947</v>
      </c>
      <c r="H163" s="46">
        <f t="shared" si="13"/>
        <v>112.125</v>
      </c>
      <c r="I163" s="46">
        <v>17.940000000000001</v>
      </c>
      <c r="J163" s="14">
        <f>808.69-H160-H161-H162-H163</f>
        <v>2.5000000000545697E-3</v>
      </c>
      <c r="K163" s="14">
        <f>129.39-I160-I161-I162-I163</f>
        <v>0</v>
      </c>
    </row>
    <row r="164" spans="1:12">
      <c r="A164" t="s">
        <v>428</v>
      </c>
      <c r="B164" s="1">
        <v>41364</v>
      </c>
      <c r="C164" t="s">
        <v>436</v>
      </c>
      <c r="D164">
        <v>1</v>
      </c>
      <c r="E164" t="s">
        <v>2118</v>
      </c>
      <c r="F164" s="33" t="s">
        <v>882</v>
      </c>
      <c r="G164" s="33" t="s">
        <v>883</v>
      </c>
      <c r="H164" s="3">
        <f t="shared" ref="H164:H195" si="14">+I164/0.16</f>
        <v>266.375</v>
      </c>
      <c r="I164" s="3">
        <v>42.62</v>
      </c>
      <c r="J164" s="14" t="e">
        <f>+H164-#REF!</f>
        <v>#REF!</v>
      </c>
      <c r="K164" s="14" t="e">
        <f>+I164-#REF!</f>
        <v>#REF!</v>
      </c>
      <c r="L164" t="s">
        <v>900</v>
      </c>
    </row>
    <row r="165" spans="1:12">
      <c r="A165" t="s">
        <v>2138</v>
      </c>
      <c r="B165" s="1">
        <v>41338</v>
      </c>
      <c r="C165" t="s">
        <v>2139</v>
      </c>
      <c r="D165">
        <v>1</v>
      </c>
      <c r="E165" t="s">
        <v>115</v>
      </c>
      <c r="F165" s="33" t="s">
        <v>952</v>
      </c>
      <c r="G165" s="33" t="s">
        <v>115</v>
      </c>
      <c r="H165" s="3">
        <f t="shared" si="14"/>
        <v>2128</v>
      </c>
      <c r="I165" s="3">
        <v>340.48</v>
      </c>
    </row>
    <row r="166" spans="1:12">
      <c r="A166" t="s">
        <v>1459</v>
      </c>
      <c r="B166" s="1">
        <v>41364</v>
      </c>
      <c r="C166" t="s">
        <v>2110</v>
      </c>
      <c r="D166">
        <v>1</v>
      </c>
      <c r="E166" t="s">
        <v>2111</v>
      </c>
      <c r="F166" s="33" t="s">
        <v>2299</v>
      </c>
      <c r="G166" s="33" t="s">
        <v>2300</v>
      </c>
      <c r="H166" s="3">
        <f t="shared" si="14"/>
        <v>178.62499999999997</v>
      </c>
      <c r="I166" s="3">
        <v>28.58</v>
      </c>
    </row>
    <row r="167" spans="1:12">
      <c r="A167" t="s">
        <v>1434</v>
      </c>
      <c r="B167" s="1">
        <v>41364</v>
      </c>
      <c r="C167" t="s">
        <v>2075</v>
      </c>
      <c r="D167">
        <v>1</v>
      </c>
      <c r="E167" t="s">
        <v>1449</v>
      </c>
      <c r="F167" s="33" t="s">
        <v>1615</v>
      </c>
      <c r="G167" s="33" t="s">
        <v>1449</v>
      </c>
      <c r="H167" s="3">
        <f t="shared" si="14"/>
        <v>392.6875</v>
      </c>
      <c r="I167" s="3">
        <v>62.83</v>
      </c>
      <c r="J167" s="14" t="e">
        <f>+H167-#REF!</f>
        <v>#REF!</v>
      </c>
      <c r="K167" s="14" t="e">
        <f>+I167-#REF!</f>
        <v>#REF!</v>
      </c>
      <c r="L167" t="s">
        <v>900</v>
      </c>
    </row>
    <row r="168" spans="1:12">
      <c r="A168" t="s">
        <v>2029</v>
      </c>
      <c r="B168" s="1">
        <v>41364</v>
      </c>
      <c r="C168" t="s">
        <v>2030</v>
      </c>
      <c r="D168">
        <v>1</v>
      </c>
      <c r="E168" t="s">
        <v>2031</v>
      </c>
      <c r="F168" s="33" t="s">
        <v>2301</v>
      </c>
      <c r="G168" s="33" t="s">
        <v>2031</v>
      </c>
      <c r="H168" s="3">
        <f t="shared" si="14"/>
        <v>50</v>
      </c>
      <c r="I168" s="3">
        <v>8</v>
      </c>
    </row>
    <row r="169" spans="1:12">
      <c r="A169" t="s">
        <v>1967</v>
      </c>
      <c r="B169" s="1">
        <v>41364</v>
      </c>
      <c r="C169" t="s">
        <v>1968</v>
      </c>
      <c r="D169">
        <v>1</v>
      </c>
      <c r="E169" t="s">
        <v>1969</v>
      </c>
      <c r="F169" s="33" t="s">
        <v>2302</v>
      </c>
      <c r="G169" s="33" t="s">
        <v>1969</v>
      </c>
      <c r="H169" s="3">
        <f t="shared" si="14"/>
        <v>1553.5625</v>
      </c>
      <c r="I169" s="3">
        <v>248.57</v>
      </c>
    </row>
    <row r="170" spans="1:12">
      <c r="A170" t="s">
        <v>1403</v>
      </c>
      <c r="B170" s="1">
        <v>41364</v>
      </c>
      <c r="C170" t="s">
        <v>2032</v>
      </c>
      <c r="D170">
        <v>1</v>
      </c>
      <c r="E170" t="s">
        <v>584</v>
      </c>
      <c r="F170" s="33" t="s">
        <v>818</v>
      </c>
      <c r="G170" s="33" t="s">
        <v>584</v>
      </c>
      <c r="H170" s="3">
        <f t="shared" si="14"/>
        <v>240</v>
      </c>
      <c r="I170" s="3">
        <v>38.4</v>
      </c>
    </row>
    <row r="171" spans="1:12">
      <c r="A171" t="s">
        <v>1432</v>
      </c>
      <c r="B171" s="1">
        <v>41364</v>
      </c>
      <c r="C171" t="s">
        <v>2074</v>
      </c>
      <c r="D171">
        <v>1</v>
      </c>
      <c r="E171" t="s">
        <v>584</v>
      </c>
      <c r="F171" s="33" t="s">
        <v>818</v>
      </c>
      <c r="G171" s="33" t="s">
        <v>584</v>
      </c>
      <c r="H171" s="3">
        <f t="shared" si="14"/>
        <v>315</v>
      </c>
      <c r="I171" s="3">
        <v>50.4</v>
      </c>
    </row>
    <row r="172" spans="1:12">
      <c r="A172" t="s">
        <v>2163</v>
      </c>
      <c r="B172" s="1">
        <v>41342</v>
      </c>
      <c r="C172" t="s">
        <v>2164</v>
      </c>
      <c r="D172">
        <v>1</v>
      </c>
      <c r="E172" t="s">
        <v>97</v>
      </c>
      <c r="F172" s="33" t="s">
        <v>820</v>
      </c>
      <c r="G172" s="33" t="s">
        <v>97</v>
      </c>
      <c r="H172" s="3">
        <f t="shared" si="14"/>
        <v>4130.4375</v>
      </c>
      <c r="I172" s="3">
        <v>660.87</v>
      </c>
    </row>
    <row r="173" spans="1:12">
      <c r="A173" t="s">
        <v>1695</v>
      </c>
      <c r="B173" s="1">
        <v>41364</v>
      </c>
      <c r="C173" t="s">
        <v>2070</v>
      </c>
      <c r="D173">
        <v>1</v>
      </c>
      <c r="E173" t="s">
        <v>558</v>
      </c>
      <c r="F173" s="33" t="s">
        <v>836</v>
      </c>
      <c r="G173" s="33" t="s">
        <v>558</v>
      </c>
      <c r="H173" s="3">
        <f t="shared" si="14"/>
        <v>50</v>
      </c>
      <c r="I173" s="3">
        <v>8</v>
      </c>
    </row>
    <row r="174" spans="1:12">
      <c r="A174" t="s">
        <v>2133</v>
      </c>
      <c r="B174" s="1">
        <v>41337</v>
      </c>
      <c r="C174" t="s">
        <v>2134</v>
      </c>
      <c r="D174">
        <v>1</v>
      </c>
      <c r="E174" t="s">
        <v>130</v>
      </c>
      <c r="F174" s="33" t="s">
        <v>917</v>
      </c>
      <c r="G174" s="33" t="s">
        <v>130</v>
      </c>
      <c r="H174" s="3">
        <f t="shared" si="14"/>
        <v>706.0625</v>
      </c>
      <c r="I174" s="3">
        <v>112.97</v>
      </c>
    </row>
    <row r="175" spans="1:12">
      <c r="A175" t="s">
        <v>30</v>
      </c>
      <c r="B175" s="1">
        <v>41338</v>
      </c>
      <c r="C175" t="s">
        <v>2144</v>
      </c>
      <c r="D175">
        <v>1</v>
      </c>
      <c r="E175" t="s">
        <v>130</v>
      </c>
      <c r="F175" s="33" t="s">
        <v>946</v>
      </c>
      <c r="G175" s="33" t="s">
        <v>2270</v>
      </c>
      <c r="H175" s="3">
        <f t="shared" si="14"/>
        <v>1831.5</v>
      </c>
      <c r="I175" s="3">
        <v>293.04000000000002</v>
      </c>
    </row>
    <row r="176" spans="1:12">
      <c r="A176" t="s">
        <v>156</v>
      </c>
      <c r="B176" s="1">
        <v>41344</v>
      </c>
      <c r="C176" t="s">
        <v>2175</v>
      </c>
      <c r="D176">
        <v>1</v>
      </c>
      <c r="E176" t="s">
        <v>49</v>
      </c>
      <c r="F176" s="33" t="s">
        <v>838</v>
      </c>
      <c r="G176" s="33" t="s">
        <v>49</v>
      </c>
      <c r="H176" s="3">
        <f t="shared" si="14"/>
        <v>474.125</v>
      </c>
      <c r="I176" s="3">
        <v>75.86</v>
      </c>
    </row>
    <row r="177" spans="1:12">
      <c r="A177" t="s">
        <v>1454</v>
      </c>
      <c r="B177" s="1">
        <v>41364</v>
      </c>
      <c r="C177" t="s">
        <v>2087</v>
      </c>
      <c r="D177">
        <v>1</v>
      </c>
      <c r="E177" t="s">
        <v>2088</v>
      </c>
      <c r="F177" s="33" t="s">
        <v>2303</v>
      </c>
      <c r="G177" s="33" t="s">
        <v>2088</v>
      </c>
      <c r="H177" s="3">
        <f t="shared" si="14"/>
        <v>580</v>
      </c>
      <c r="I177" s="3">
        <v>92.8</v>
      </c>
    </row>
    <row r="178" spans="1:12">
      <c r="A178" t="s">
        <v>1736</v>
      </c>
      <c r="B178" s="1">
        <v>41334</v>
      </c>
      <c r="C178" t="s">
        <v>1737</v>
      </c>
      <c r="D178">
        <v>1</v>
      </c>
      <c r="E178" t="s">
        <v>1738</v>
      </c>
      <c r="F178" s="33" t="s">
        <v>2304</v>
      </c>
      <c r="G178" s="33" t="s">
        <v>1738</v>
      </c>
      <c r="H178" s="3">
        <f t="shared" si="14"/>
        <v>277751.8125</v>
      </c>
      <c r="I178" s="3">
        <v>44440.29</v>
      </c>
    </row>
    <row r="179" spans="1:12">
      <c r="A179" t="s">
        <v>116</v>
      </c>
      <c r="B179" s="1">
        <v>41342</v>
      </c>
      <c r="C179" t="s">
        <v>2156</v>
      </c>
      <c r="D179">
        <v>1</v>
      </c>
      <c r="E179" t="s">
        <v>2157</v>
      </c>
      <c r="F179" s="33" t="s">
        <v>2305</v>
      </c>
      <c r="G179" s="33" t="s">
        <v>2157</v>
      </c>
      <c r="H179" s="3">
        <f t="shared" si="14"/>
        <v>1720</v>
      </c>
      <c r="I179" s="3">
        <v>275.2</v>
      </c>
    </row>
    <row r="180" spans="1:12">
      <c r="A180" t="s">
        <v>405</v>
      </c>
      <c r="B180" s="1">
        <v>41364</v>
      </c>
      <c r="C180" t="s">
        <v>2002</v>
      </c>
      <c r="D180">
        <v>1</v>
      </c>
      <c r="E180" t="s">
        <v>2003</v>
      </c>
      <c r="F180" s="33" t="s">
        <v>2306</v>
      </c>
      <c r="G180" s="60" t="s">
        <v>2003</v>
      </c>
      <c r="H180" s="3">
        <f t="shared" si="14"/>
        <v>200</v>
      </c>
      <c r="I180" s="3">
        <v>32</v>
      </c>
    </row>
    <row r="181" spans="1:12">
      <c r="A181" t="s">
        <v>2231</v>
      </c>
      <c r="B181" s="1">
        <v>41358</v>
      </c>
      <c r="C181" t="s">
        <v>2232</v>
      </c>
      <c r="D181">
        <v>1</v>
      </c>
      <c r="E181" t="s">
        <v>229</v>
      </c>
      <c r="F181" s="33" t="s">
        <v>839</v>
      </c>
      <c r="G181" s="33" t="s">
        <v>229</v>
      </c>
      <c r="H181" s="3">
        <f t="shared" si="14"/>
        <v>1536</v>
      </c>
      <c r="I181" s="3">
        <v>245.76</v>
      </c>
    </row>
    <row r="182" spans="1:12">
      <c r="A182" t="s">
        <v>2211</v>
      </c>
      <c r="B182" s="1">
        <v>41354</v>
      </c>
      <c r="C182" t="s">
        <v>2212</v>
      </c>
      <c r="D182">
        <v>1</v>
      </c>
      <c r="E182" t="s">
        <v>1013</v>
      </c>
      <c r="F182" s="33" t="s">
        <v>1619</v>
      </c>
      <c r="G182" s="33" t="s">
        <v>1013</v>
      </c>
      <c r="H182" s="3">
        <f t="shared" si="14"/>
        <v>3500</v>
      </c>
      <c r="I182" s="3">
        <v>560</v>
      </c>
    </row>
    <row r="183" spans="1:12">
      <c r="A183" t="s">
        <v>2127</v>
      </c>
      <c r="B183" s="1">
        <v>41337</v>
      </c>
      <c r="C183" t="s">
        <v>2128</v>
      </c>
      <c r="D183">
        <v>1</v>
      </c>
      <c r="E183" t="s">
        <v>1186</v>
      </c>
      <c r="F183" s="41" t="s">
        <v>1620</v>
      </c>
      <c r="G183" s="33" t="s">
        <v>1186</v>
      </c>
      <c r="H183" s="3">
        <f t="shared" si="14"/>
        <v>7465</v>
      </c>
      <c r="I183" s="3">
        <v>1194.4000000000001</v>
      </c>
    </row>
    <row r="184" spans="1:12">
      <c r="A184" t="s">
        <v>27</v>
      </c>
      <c r="B184" s="1">
        <v>41338</v>
      </c>
      <c r="C184" t="s">
        <v>2143</v>
      </c>
      <c r="D184">
        <v>1</v>
      </c>
      <c r="E184" t="s">
        <v>1186</v>
      </c>
      <c r="F184" s="33" t="s">
        <v>1620</v>
      </c>
      <c r="G184" s="33" t="s">
        <v>1186</v>
      </c>
      <c r="H184" s="3">
        <f t="shared" si="14"/>
        <v>2519.8125</v>
      </c>
      <c r="I184" s="3">
        <v>403.17</v>
      </c>
    </row>
    <row r="185" spans="1:12">
      <c r="A185" t="s">
        <v>1959</v>
      </c>
      <c r="B185" s="1">
        <v>41364</v>
      </c>
      <c r="C185" t="s">
        <v>1960</v>
      </c>
      <c r="D185">
        <v>1</v>
      </c>
      <c r="E185" t="s">
        <v>541</v>
      </c>
      <c r="F185" s="33" t="s">
        <v>847</v>
      </c>
      <c r="G185" s="33" t="s">
        <v>541</v>
      </c>
      <c r="H185" s="3">
        <f t="shared" si="14"/>
        <v>92.9375</v>
      </c>
      <c r="I185" s="3">
        <v>14.87</v>
      </c>
    </row>
    <row r="186" spans="1:12">
      <c r="A186" t="s">
        <v>2011</v>
      </c>
      <c r="B186" s="1">
        <v>41364</v>
      </c>
      <c r="C186" t="s">
        <v>2012</v>
      </c>
      <c r="D186">
        <v>1</v>
      </c>
      <c r="E186" t="s">
        <v>541</v>
      </c>
      <c r="F186" s="33" t="s">
        <v>847</v>
      </c>
      <c r="G186" s="33" t="s">
        <v>541</v>
      </c>
      <c r="H186" s="3">
        <f t="shared" si="14"/>
        <v>228.25000000000003</v>
      </c>
      <c r="I186" s="3">
        <v>36.520000000000003</v>
      </c>
      <c r="J186" t="e">
        <f>+#REF!</f>
        <v>#REF!</v>
      </c>
      <c r="K186" s="14" t="e">
        <f>+I186-#REF!</f>
        <v>#REF!</v>
      </c>
      <c r="L186" t="s">
        <v>900</v>
      </c>
    </row>
    <row r="187" spans="1:12">
      <c r="A187" t="s">
        <v>1426</v>
      </c>
      <c r="B187" s="1">
        <v>41364</v>
      </c>
      <c r="C187" t="s">
        <v>2071</v>
      </c>
      <c r="D187">
        <v>1</v>
      </c>
      <c r="E187" t="s">
        <v>541</v>
      </c>
      <c r="F187" s="33" t="s">
        <v>847</v>
      </c>
      <c r="G187" s="33" t="s">
        <v>541</v>
      </c>
      <c r="H187" s="3">
        <f t="shared" si="14"/>
        <v>50</v>
      </c>
      <c r="I187" s="3">
        <v>8</v>
      </c>
    </row>
    <row r="188" spans="1:12">
      <c r="A188" t="s">
        <v>2136</v>
      </c>
      <c r="B188" s="1">
        <v>41338</v>
      </c>
      <c r="C188" t="s">
        <v>2137</v>
      </c>
      <c r="D188">
        <v>2</v>
      </c>
      <c r="E188" t="s">
        <v>127</v>
      </c>
      <c r="F188" s="33" t="s">
        <v>849</v>
      </c>
      <c r="G188" s="33" t="s">
        <v>127</v>
      </c>
      <c r="H188" s="3">
        <f t="shared" si="14"/>
        <v>6800</v>
      </c>
      <c r="I188" s="3">
        <v>1088</v>
      </c>
    </row>
    <row r="189" spans="1:12">
      <c r="A189" t="s">
        <v>2207</v>
      </c>
      <c r="B189" s="1">
        <v>41354</v>
      </c>
      <c r="C189" t="s">
        <v>2208</v>
      </c>
      <c r="D189">
        <v>2</v>
      </c>
      <c r="E189" t="s">
        <v>127</v>
      </c>
      <c r="F189" s="33" t="s">
        <v>849</v>
      </c>
      <c r="G189" s="33" t="s">
        <v>127</v>
      </c>
      <c r="H189" s="3">
        <f t="shared" si="14"/>
        <v>1400</v>
      </c>
      <c r="I189" s="3">
        <v>224</v>
      </c>
    </row>
    <row r="190" spans="1:12">
      <c r="A190" t="s">
        <v>134</v>
      </c>
      <c r="B190" s="1">
        <v>41342</v>
      </c>
      <c r="C190" t="s">
        <v>2162</v>
      </c>
      <c r="D190">
        <v>1</v>
      </c>
      <c r="E190" t="s">
        <v>89</v>
      </c>
      <c r="F190" s="33" t="s">
        <v>850</v>
      </c>
      <c r="G190" s="33" t="s">
        <v>89</v>
      </c>
      <c r="H190" s="3">
        <f t="shared" si="14"/>
        <v>16700</v>
      </c>
      <c r="I190" s="3">
        <v>2672</v>
      </c>
    </row>
    <row r="191" spans="1:12">
      <c r="A191" t="s">
        <v>2254</v>
      </c>
      <c r="B191" s="1">
        <v>41360</v>
      </c>
      <c r="C191" t="s">
        <v>2255</v>
      </c>
      <c r="D191">
        <v>2</v>
      </c>
      <c r="E191" t="s">
        <v>89</v>
      </c>
      <c r="F191" s="33" t="s">
        <v>850</v>
      </c>
      <c r="G191" s="33" t="s">
        <v>89</v>
      </c>
      <c r="H191" s="3">
        <f t="shared" si="14"/>
        <v>4750</v>
      </c>
      <c r="I191" s="3">
        <v>760</v>
      </c>
    </row>
    <row r="192" spans="1:12">
      <c r="A192" t="s">
        <v>131</v>
      </c>
      <c r="B192" s="1">
        <v>41342</v>
      </c>
      <c r="C192" t="s">
        <v>2161</v>
      </c>
      <c r="D192">
        <v>1</v>
      </c>
      <c r="E192" t="s">
        <v>86</v>
      </c>
      <c r="F192" s="33" t="s">
        <v>851</v>
      </c>
      <c r="G192" s="33" t="s">
        <v>86</v>
      </c>
      <c r="H192" s="3">
        <f t="shared" si="14"/>
        <v>1045</v>
      </c>
      <c r="I192" s="3">
        <v>167.2</v>
      </c>
    </row>
    <row r="193" spans="1:12">
      <c r="A193" t="s">
        <v>335</v>
      </c>
      <c r="B193" s="1">
        <v>41358</v>
      </c>
      <c r="C193" t="s">
        <v>2229</v>
      </c>
      <c r="D193">
        <v>1</v>
      </c>
      <c r="E193" t="s">
        <v>86</v>
      </c>
      <c r="F193" s="33" t="s">
        <v>851</v>
      </c>
      <c r="G193" s="33" t="s">
        <v>86</v>
      </c>
      <c r="H193" s="3">
        <f t="shared" si="14"/>
        <v>1808.1875</v>
      </c>
      <c r="I193" s="3">
        <v>289.31</v>
      </c>
    </row>
    <row r="194" spans="1:12">
      <c r="A194" t="s">
        <v>391</v>
      </c>
      <c r="B194" s="1">
        <v>41360</v>
      </c>
      <c r="C194" t="s">
        <v>2247</v>
      </c>
      <c r="D194">
        <v>1</v>
      </c>
      <c r="E194" t="s">
        <v>86</v>
      </c>
      <c r="F194" s="41" t="s">
        <v>851</v>
      </c>
      <c r="G194" s="33" t="s">
        <v>86</v>
      </c>
      <c r="H194" s="3">
        <f t="shared" si="14"/>
        <v>1860.9375</v>
      </c>
      <c r="I194" s="3">
        <v>297.75</v>
      </c>
    </row>
    <row r="195" spans="1:12">
      <c r="A195" t="s">
        <v>2060</v>
      </c>
      <c r="B195" s="1">
        <v>41364</v>
      </c>
      <c r="C195" t="s">
        <v>2061</v>
      </c>
      <c r="D195">
        <v>1</v>
      </c>
      <c r="E195" t="s">
        <v>2062</v>
      </c>
      <c r="F195" s="33" t="s">
        <v>851</v>
      </c>
      <c r="G195" s="33" t="s">
        <v>2307</v>
      </c>
      <c r="H195" s="3">
        <f t="shared" si="14"/>
        <v>117.1875</v>
      </c>
      <c r="I195" s="3">
        <v>18.75</v>
      </c>
    </row>
    <row r="196" spans="1:12">
      <c r="A196" t="s">
        <v>2094</v>
      </c>
      <c r="B196" s="1">
        <v>41364</v>
      </c>
      <c r="C196" t="s">
        <v>2095</v>
      </c>
      <c r="D196">
        <v>1</v>
      </c>
      <c r="E196" t="s">
        <v>2096</v>
      </c>
      <c r="F196" s="33" t="s">
        <v>851</v>
      </c>
      <c r="G196" s="33" t="s">
        <v>2096</v>
      </c>
      <c r="H196" s="3">
        <f t="shared" ref="H196:H227" si="15">+I196/0.16</f>
        <v>240.1875</v>
      </c>
      <c r="I196" s="3">
        <v>38.43</v>
      </c>
    </row>
    <row r="197" spans="1:12">
      <c r="A197" t="s">
        <v>2021</v>
      </c>
      <c r="B197" s="1">
        <v>41364</v>
      </c>
      <c r="C197" t="s">
        <v>2022</v>
      </c>
      <c r="D197">
        <v>1</v>
      </c>
      <c r="E197" t="s">
        <v>2023</v>
      </c>
      <c r="F197" s="33" t="s">
        <v>852</v>
      </c>
      <c r="G197" s="33" t="s">
        <v>2023</v>
      </c>
      <c r="H197" s="3">
        <f t="shared" si="15"/>
        <v>65.5</v>
      </c>
      <c r="I197" s="3">
        <v>10.48</v>
      </c>
    </row>
    <row r="198" spans="1:12">
      <c r="A198" t="s">
        <v>1954</v>
      </c>
      <c r="B198" s="1">
        <v>41364</v>
      </c>
      <c r="C198" t="s">
        <v>1955</v>
      </c>
      <c r="D198">
        <v>1</v>
      </c>
      <c r="E198" t="s">
        <v>1956</v>
      </c>
      <c r="F198" s="33" t="s">
        <v>2308</v>
      </c>
      <c r="G198" s="33" t="s">
        <v>2309</v>
      </c>
      <c r="H198" s="3">
        <f t="shared" si="15"/>
        <v>68.125</v>
      </c>
      <c r="I198" s="3">
        <v>10.9</v>
      </c>
    </row>
    <row r="199" spans="1:12">
      <c r="A199" t="s">
        <v>2112</v>
      </c>
      <c r="B199" s="1">
        <v>41364</v>
      </c>
      <c r="C199" t="s">
        <v>2113</v>
      </c>
      <c r="D199">
        <v>1</v>
      </c>
      <c r="E199" t="s">
        <v>2114</v>
      </c>
      <c r="F199" s="33" t="s">
        <v>2310</v>
      </c>
      <c r="G199" s="33" t="s">
        <v>2114</v>
      </c>
      <c r="H199" s="3">
        <f t="shared" si="15"/>
        <v>550</v>
      </c>
      <c r="I199" s="3">
        <v>88</v>
      </c>
    </row>
    <row r="200" spans="1:12">
      <c r="A200" t="s">
        <v>1744</v>
      </c>
      <c r="B200" s="1">
        <v>41338</v>
      </c>
      <c r="C200" t="s">
        <v>1745</v>
      </c>
      <c r="D200">
        <v>1</v>
      </c>
      <c r="E200" t="s">
        <v>855</v>
      </c>
      <c r="F200" s="41" t="s">
        <v>854</v>
      </c>
      <c r="G200" s="33" t="s">
        <v>855</v>
      </c>
      <c r="H200" s="3">
        <f t="shared" si="15"/>
        <v>211715.1875</v>
      </c>
      <c r="I200" s="3">
        <v>33874.43</v>
      </c>
    </row>
    <row r="201" spans="1:12">
      <c r="A201" t="s">
        <v>1367</v>
      </c>
      <c r="B201" s="1">
        <v>41360</v>
      </c>
      <c r="C201" t="s">
        <v>1899</v>
      </c>
      <c r="D201">
        <v>1</v>
      </c>
      <c r="E201" t="s">
        <v>1908</v>
      </c>
      <c r="F201" s="41" t="s">
        <v>856</v>
      </c>
      <c r="G201" s="33" t="s">
        <v>1908</v>
      </c>
      <c r="H201" s="3">
        <f t="shared" si="15"/>
        <v>211715.1875</v>
      </c>
      <c r="I201" s="3">
        <v>33874.43</v>
      </c>
    </row>
    <row r="202" spans="1:12">
      <c r="A202" t="s">
        <v>1361</v>
      </c>
      <c r="B202" s="1">
        <v>41360</v>
      </c>
      <c r="C202" t="s">
        <v>1892</v>
      </c>
      <c r="D202">
        <v>1</v>
      </c>
      <c r="E202" t="s">
        <v>1893</v>
      </c>
      <c r="F202" s="37" t="s">
        <v>856</v>
      </c>
      <c r="G202" s="33" t="s">
        <v>857</v>
      </c>
      <c r="H202" s="3">
        <f t="shared" si="15"/>
        <v>307932.25</v>
      </c>
      <c r="I202" s="3">
        <v>49269.16</v>
      </c>
    </row>
    <row r="203" spans="1:12">
      <c r="A203" t="s">
        <v>1749</v>
      </c>
      <c r="B203" s="1">
        <v>41339</v>
      </c>
      <c r="C203" t="s">
        <v>1750</v>
      </c>
      <c r="D203">
        <v>1</v>
      </c>
      <c r="E203" t="s">
        <v>1751</v>
      </c>
      <c r="F203" s="37" t="s">
        <v>856</v>
      </c>
      <c r="G203" s="33" t="s">
        <v>857</v>
      </c>
      <c r="H203" s="3">
        <f t="shared" si="15"/>
        <v>330512.6875</v>
      </c>
      <c r="I203" s="3">
        <v>52882.03</v>
      </c>
    </row>
    <row r="204" spans="1:12">
      <c r="A204" t="s">
        <v>1824</v>
      </c>
      <c r="B204" s="1">
        <v>41348</v>
      </c>
      <c r="C204" t="s">
        <v>1825</v>
      </c>
      <c r="D204">
        <v>1</v>
      </c>
      <c r="E204" t="s">
        <v>1751</v>
      </c>
      <c r="F204" s="37" t="s">
        <v>856</v>
      </c>
      <c r="G204" s="33" t="s">
        <v>857</v>
      </c>
      <c r="H204" s="3">
        <f t="shared" si="15"/>
        <v>286904.5625</v>
      </c>
      <c r="I204" s="3">
        <v>45904.73</v>
      </c>
    </row>
    <row r="205" spans="1:12">
      <c r="A205" t="s">
        <v>1483</v>
      </c>
      <c r="B205" s="1">
        <v>41344</v>
      </c>
      <c r="C205" t="s">
        <v>2123</v>
      </c>
      <c r="D205">
        <v>1</v>
      </c>
      <c r="E205" t="s">
        <v>2124</v>
      </c>
      <c r="F205" t="s">
        <v>886</v>
      </c>
      <c r="G205" t="s">
        <v>887</v>
      </c>
      <c r="H205" s="3">
        <f t="shared" si="15"/>
        <v>214371.6875</v>
      </c>
      <c r="I205" s="3">
        <v>34299.47</v>
      </c>
      <c r="K205" s="135">
        <f t="shared" ref="K205:K206" si="16">+L205/0.16</f>
        <v>214371.6875</v>
      </c>
      <c r="L205" s="135">
        <v>34299.47</v>
      </c>
    </row>
    <row r="206" spans="1:12">
      <c r="A206" t="s">
        <v>2264</v>
      </c>
      <c r="B206" s="1">
        <v>41360</v>
      </c>
      <c r="C206" t="s">
        <v>2265</v>
      </c>
      <c r="D206">
        <v>1</v>
      </c>
      <c r="E206" t="s">
        <v>2266</v>
      </c>
      <c r="F206" t="s">
        <v>886</v>
      </c>
      <c r="G206" t="s">
        <v>887</v>
      </c>
      <c r="H206" s="3">
        <f t="shared" si="15"/>
        <v>480686.68749999994</v>
      </c>
      <c r="I206" s="3">
        <v>76909.87</v>
      </c>
      <c r="K206" s="135">
        <f t="shared" si="16"/>
        <v>480686.68749999994</v>
      </c>
      <c r="L206" s="135">
        <v>76909.87</v>
      </c>
    </row>
    <row r="207" spans="1:12">
      <c r="A207" t="s">
        <v>1006</v>
      </c>
      <c r="B207" s="1">
        <v>41338</v>
      </c>
      <c r="C207" t="s">
        <v>2135</v>
      </c>
      <c r="D207">
        <v>2</v>
      </c>
      <c r="E207" t="s">
        <v>121</v>
      </c>
      <c r="F207" s="33" t="s">
        <v>858</v>
      </c>
      <c r="G207" s="33" t="s">
        <v>121</v>
      </c>
      <c r="H207" s="3">
        <f t="shared" si="15"/>
        <v>1050</v>
      </c>
      <c r="I207" s="3">
        <v>168</v>
      </c>
    </row>
    <row r="208" spans="1:12">
      <c r="A208" t="s">
        <v>1972</v>
      </c>
      <c r="B208" s="1">
        <v>41364</v>
      </c>
      <c r="C208" t="s">
        <v>1973</v>
      </c>
      <c r="D208">
        <v>1</v>
      </c>
      <c r="E208" t="s">
        <v>1974</v>
      </c>
      <c r="F208" s="33" t="s">
        <v>860</v>
      </c>
      <c r="G208" s="33" t="s">
        <v>623</v>
      </c>
      <c r="H208" s="3">
        <f t="shared" si="15"/>
        <v>62.9375</v>
      </c>
      <c r="I208" s="3">
        <v>10.07</v>
      </c>
    </row>
    <row r="209" spans="1:12">
      <c r="A209" t="s">
        <v>1961</v>
      </c>
      <c r="B209" s="1">
        <v>41364</v>
      </c>
      <c r="C209" t="s">
        <v>1962</v>
      </c>
      <c r="D209">
        <v>1</v>
      </c>
      <c r="E209" t="s">
        <v>623</v>
      </c>
      <c r="F209" s="33" t="s">
        <v>860</v>
      </c>
      <c r="G209" s="33" t="s">
        <v>1974</v>
      </c>
      <c r="H209" s="3">
        <f t="shared" si="15"/>
        <v>55.1875</v>
      </c>
      <c r="I209" s="3">
        <v>8.83</v>
      </c>
    </row>
    <row r="210" spans="1:12">
      <c r="A210" t="s">
        <v>2091</v>
      </c>
      <c r="B210" s="1">
        <v>41364</v>
      </c>
      <c r="C210" t="s">
        <v>2092</v>
      </c>
      <c r="D210">
        <v>1</v>
      </c>
      <c r="E210" t="s">
        <v>2093</v>
      </c>
      <c r="F210" s="33" t="s">
        <v>2311</v>
      </c>
      <c r="G210" s="33" t="s">
        <v>2093</v>
      </c>
      <c r="H210" s="3">
        <f t="shared" si="15"/>
        <v>136.1875</v>
      </c>
      <c r="I210" s="3">
        <v>21.79</v>
      </c>
    </row>
    <row r="211" spans="1:12">
      <c r="A211" t="s">
        <v>359</v>
      </c>
      <c r="B211" s="1">
        <v>41360</v>
      </c>
      <c r="C211" t="s">
        <v>1894</v>
      </c>
      <c r="D211">
        <v>1</v>
      </c>
      <c r="E211" t="s">
        <v>1895</v>
      </c>
      <c r="F211" s="37" t="s">
        <v>1626</v>
      </c>
      <c r="G211" s="33" t="s">
        <v>1627</v>
      </c>
      <c r="H211" s="3">
        <f t="shared" si="15"/>
        <v>349316.9375</v>
      </c>
      <c r="I211" s="3">
        <v>55890.71</v>
      </c>
    </row>
    <row r="212" spans="1:12">
      <c r="A212" t="s">
        <v>1963</v>
      </c>
      <c r="B212" s="1">
        <v>41364</v>
      </c>
      <c r="C212" t="s">
        <v>1964</v>
      </c>
      <c r="D212">
        <v>1</v>
      </c>
      <c r="E212" t="s">
        <v>1965</v>
      </c>
      <c r="F212" s="33" t="s">
        <v>740</v>
      </c>
      <c r="G212" s="33" t="s">
        <v>741</v>
      </c>
      <c r="H212" s="3">
        <f t="shared" si="15"/>
        <v>88</v>
      </c>
      <c r="I212" s="3">
        <v>14.08</v>
      </c>
    </row>
    <row r="213" spans="1:12">
      <c r="A213" t="s">
        <v>2099</v>
      </c>
      <c r="B213" s="1">
        <v>41364</v>
      </c>
      <c r="C213" t="s">
        <v>2100</v>
      </c>
      <c r="D213">
        <v>1</v>
      </c>
      <c r="E213" t="s">
        <v>2101</v>
      </c>
      <c r="F213" s="33" t="s">
        <v>2312</v>
      </c>
      <c r="G213" s="33" t="s">
        <v>2101</v>
      </c>
      <c r="H213" s="3">
        <f t="shared" si="15"/>
        <v>225</v>
      </c>
      <c r="I213" s="3">
        <v>36</v>
      </c>
    </row>
    <row r="214" spans="1:12">
      <c r="A214" t="s">
        <v>285</v>
      </c>
      <c r="B214" s="1">
        <v>41354</v>
      </c>
      <c r="C214" t="s">
        <v>2200</v>
      </c>
      <c r="D214">
        <v>2</v>
      </c>
      <c r="E214" t="s">
        <v>2201</v>
      </c>
      <c r="F214" s="33" t="s">
        <v>2313</v>
      </c>
      <c r="G214" s="33" t="s">
        <v>2201</v>
      </c>
      <c r="H214" s="3">
        <f t="shared" si="15"/>
        <v>1000</v>
      </c>
      <c r="I214" s="3">
        <v>160</v>
      </c>
    </row>
    <row r="215" spans="1:12">
      <c r="A215" t="s">
        <v>1265</v>
      </c>
      <c r="B215" s="1">
        <v>41355</v>
      </c>
      <c r="C215" t="s">
        <v>1064</v>
      </c>
      <c r="D215">
        <v>1</v>
      </c>
      <c r="E215" t="s">
        <v>1870</v>
      </c>
      <c r="F215" s="33" t="s">
        <v>943</v>
      </c>
      <c r="G215" s="33" t="s">
        <v>1731</v>
      </c>
      <c r="H215" s="3">
        <f t="shared" si="15"/>
        <v>904.25</v>
      </c>
      <c r="I215" s="3">
        <v>144.68</v>
      </c>
    </row>
    <row r="216" spans="1:12">
      <c r="A216" t="s">
        <v>2140</v>
      </c>
      <c r="B216" s="1">
        <v>41338</v>
      </c>
      <c r="C216" t="s">
        <v>2141</v>
      </c>
      <c r="D216">
        <v>1</v>
      </c>
      <c r="E216" t="s">
        <v>2142</v>
      </c>
      <c r="F216" s="33" t="s">
        <v>869</v>
      </c>
      <c r="G216" s="33" t="s">
        <v>2142</v>
      </c>
      <c r="H216" s="3">
        <f t="shared" si="15"/>
        <v>3932.3124999999995</v>
      </c>
      <c r="I216" s="3">
        <v>629.16999999999996</v>
      </c>
    </row>
    <row r="217" spans="1:12">
      <c r="A217" t="s">
        <v>150</v>
      </c>
      <c r="B217" s="1">
        <v>41342</v>
      </c>
      <c r="C217" t="s">
        <v>2172</v>
      </c>
      <c r="D217">
        <v>2</v>
      </c>
      <c r="E217" t="s">
        <v>94</v>
      </c>
      <c r="F217" s="33" t="s">
        <v>868</v>
      </c>
      <c r="G217" s="33" t="s">
        <v>94</v>
      </c>
      <c r="H217" s="3">
        <f t="shared" si="15"/>
        <v>34500</v>
      </c>
      <c r="I217" s="3">
        <v>5520</v>
      </c>
    </row>
    <row r="218" spans="1:12">
      <c r="A218" t="s">
        <v>327</v>
      </c>
      <c r="B218" s="1">
        <v>41358</v>
      </c>
      <c r="C218" t="s">
        <v>2226</v>
      </c>
      <c r="D218">
        <v>2</v>
      </c>
      <c r="E218" t="s">
        <v>94</v>
      </c>
      <c r="F218" s="33" t="s">
        <v>868</v>
      </c>
      <c r="G218" s="33" t="s">
        <v>94</v>
      </c>
      <c r="H218" s="3">
        <f t="shared" si="15"/>
        <v>1000</v>
      </c>
      <c r="I218" s="3">
        <v>160</v>
      </c>
    </row>
    <row r="219" spans="1:12">
      <c r="A219" t="s">
        <v>329</v>
      </c>
      <c r="B219" s="1">
        <v>41358</v>
      </c>
      <c r="C219" t="s">
        <v>2227</v>
      </c>
      <c r="D219">
        <v>1</v>
      </c>
      <c r="E219" t="s">
        <v>94</v>
      </c>
      <c r="F219" s="33" t="s">
        <v>868</v>
      </c>
      <c r="G219" s="33" t="s">
        <v>94</v>
      </c>
      <c r="H219" s="3">
        <f t="shared" si="15"/>
        <v>750</v>
      </c>
      <c r="I219" s="3">
        <v>120</v>
      </c>
    </row>
    <row r="220" spans="1:12">
      <c r="A220" t="s">
        <v>690</v>
      </c>
      <c r="B220" s="1">
        <v>41360</v>
      </c>
      <c r="C220" t="s">
        <v>2253</v>
      </c>
      <c r="D220">
        <v>2</v>
      </c>
      <c r="E220" t="s">
        <v>94</v>
      </c>
      <c r="F220" s="33" t="s">
        <v>868</v>
      </c>
      <c r="G220" s="33" t="s">
        <v>94</v>
      </c>
      <c r="H220" s="3">
        <f t="shared" si="15"/>
        <v>10300</v>
      </c>
      <c r="I220" s="3">
        <v>1648</v>
      </c>
    </row>
    <row r="221" spans="1:12">
      <c r="A221" t="s">
        <v>1424</v>
      </c>
      <c r="B221" s="1">
        <v>41364</v>
      </c>
      <c r="C221" t="s">
        <v>2068</v>
      </c>
      <c r="D221">
        <v>1</v>
      </c>
      <c r="E221" t="s">
        <v>2069</v>
      </c>
      <c r="F221" s="33" t="s">
        <v>2314</v>
      </c>
      <c r="G221" s="33" t="s">
        <v>2008</v>
      </c>
      <c r="H221" s="3">
        <f t="shared" si="15"/>
        <v>1100</v>
      </c>
      <c r="I221" s="3">
        <v>176</v>
      </c>
    </row>
    <row r="222" spans="1:12">
      <c r="A222" t="s">
        <v>2006</v>
      </c>
      <c r="B222" s="1">
        <v>41364</v>
      </c>
      <c r="C222" t="s">
        <v>2007</v>
      </c>
      <c r="D222">
        <v>1</v>
      </c>
      <c r="E222" t="s">
        <v>2008</v>
      </c>
      <c r="F222" s="33" t="s">
        <v>2314</v>
      </c>
      <c r="G222" s="33" t="s">
        <v>2069</v>
      </c>
      <c r="H222" s="3">
        <f t="shared" si="15"/>
        <v>297.4375</v>
      </c>
      <c r="I222" s="3">
        <v>47.59</v>
      </c>
    </row>
    <row r="223" spans="1:12">
      <c r="A223" t="s">
        <v>1842</v>
      </c>
      <c r="B223" s="1">
        <v>41353</v>
      </c>
      <c r="C223" t="s">
        <v>1843</v>
      </c>
      <c r="D223">
        <v>1</v>
      </c>
      <c r="E223" t="s">
        <v>1844</v>
      </c>
      <c r="F223" s="61" t="s">
        <v>873</v>
      </c>
      <c r="G223" s="62" t="s">
        <v>874</v>
      </c>
      <c r="H223" s="3">
        <f t="shared" si="15"/>
        <v>253943.3125</v>
      </c>
      <c r="I223" s="3">
        <v>40630.93</v>
      </c>
    </row>
    <row r="224" spans="1:12">
      <c r="A224" t="s">
        <v>337</v>
      </c>
      <c r="B224" s="1">
        <v>41358</v>
      </c>
      <c r="C224" t="s">
        <v>2230</v>
      </c>
      <c r="D224">
        <v>1</v>
      </c>
      <c r="E224" t="s">
        <v>71</v>
      </c>
      <c r="F224" s="33" t="s">
        <v>943</v>
      </c>
      <c r="G224" s="33" t="s">
        <v>71</v>
      </c>
      <c r="H224" s="3">
        <f t="shared" si="15"/>
        <v>298.1875</v>
      </c>
      <c r="I224" s="3">
        <v>47.71</v>
      </c>
      <c r="J224" s="14" t="e">
        <f>+H224-#REF!</f>
        <v>#REF!</v>
      </c>
      <c r="K224" s="14" t="e">
        <f>+I224-#REF!</f>
        <v>#REF!</v>
      </c>
      <c r="L224" t="s">
        <v>900</v>
      </c>
    </row>
    <row r="225" spans="1:12">
      <c r="A225" t="s">
        <v>1197</v>
      </c>
      <c r="B225" s="1">
        <v>41360</v>
      </c>
      <c r="C225" t="s">
        <v>2252</v>
      </c>
      <c r="D225">
        <v>1</v>
      </c>
      <c r="E225" t="s">
        <v>71</v>
      </c>
      <c r="F225" s="33" t="s">
        <v>943</v>
      </c>
      <c r="G225" s="33" t="s">
        <v>71</v>
      </c>
      <c r="H225" s="3">
        <f t="shared" si="15"/>
        <v>77.9375</v>
      </c>
      <c r="I225" s="3">
        <v>12.47</v>
      </c>
      <c r="J225" s="14" t="e">
        <f>+H225-#REF!</f>
        <v>#REF!</v>
      </c>
      <c r="K225" s="14" t="e">
        <f>+I225-#REF!</f>
        <v>#REF!</v>
      </c>
      <c r="L225" t="s">
        <v>900</v>
      </c>
    </row>
    <row r="226" spans="1:12">
      <c r="A226" t="s">
        <v>2065</v>
      </c>
      <c r="B226" s="1">
        <v>41364</v>
      </c>
      <c r="C226" t="s">
        <v>2066</v>
      </c>
      <c r="D226">
        <v>1</v>
      </c>
      <c r="E226" t="s">
        <v>2067</v>
      </c>
      <c r="F226" s="33" t="s">
        <v>836</v>
      </c>
      <c r="G226" s="33" t="s">
        <v>558</v>
      </c>
      <c r="H226" s="3">
        <f t="shared" si="15"/>
        <v>50</v>
      </c>
      <c r="I226" s="3">
        <v>8</v>
      </c>
    </row>
    <row r="227" spans="1:12">
      <c r="A227" t="s">
        <v>1153</v>
      </c>
      <c r="B227" s="1">
        <v>41346</v>
      </c>
      <c r="C227" t="s">
        <v>2183</v>
      </c>
      <c r="D227">
        <v>1</v>
      </c>
      <c r="E227" t="s">
        <v>306</v>
      </c>
      <c r="F227" s="41" t="s">
        <v>876</v>
      </c>
      <c r="G227" s="33" t="s">
        <v>306</v>
      </c>
      <c r="H227" s="3">
        <f t="shared" si="15"/>
        <v>32115.750000000004</v>
      </c>
      <c r="I227" s="3">
        <v>5138.5200000000004</v>
      </c>
    </row>
    <row r="228" spans="1:12">
      <c r="A228" t="s">
        <v>1996</v>
      </c>
      <c r="B228" s="1">
        <v>41364</v>
      </c>
      <c r="C228" t="s">
        <v>1997</v>
      </c>
      <c r="D228">
        <v>1</v>
      </c>
      <c r="E228" t="s">
        <v>1998</v>
      </c>
      <c r="F228" s="33" t="s">
        <v>751</v>
      </c>
      <c r="G228" s="60" t="s">
        <v>2315</v>
      </c>
      <c r="H228" s="3">
        <f t="shared" ref="H228:H259" si="17">+I228/0.16</f>
        <v>68.9375</v>
      </c>
      <c r="I228" s="3">
        <v>11.03</v>
      </c>
    </row>
    <row r="229" spans="1:12">
      <c r="A229" t="s">
        <v>695</v>
      </c>
      <c r="B229" s="1">
        <v>41364</v>
      </c>
      <c r="C229" t="s">
        <v>2258</v>
      </c>
      <c r="D229">
        <v>1</v>
      </c>
      <c r="E229" t="s">
        <v>2259</v>
      </c>
      <c r="F229" s="33" t="s">
        <v>2316</v>
      </c>
      <c r="G229" s="33" t="s">
        <v>2259</v>
      </c>
      <c r="H229" s="3">
        <f t="shared" si="17"/>
        <v>304.3125</v>
      </c>
      <c r="I229" s="3">
        <v>48.69</v>
      </c>
    </row>
    <row r="230" spans="1:12">
      <c r="A230" t="s">
        <v>347</v>
      </c>
      <c r="B230" s="1">
        <v>41358</v>
      </c>
      <c r="C230" t="s">
        <v>2237</v>
      </c>
      <c r="D230">
        <v>1</v>
      </c>
      <c r="E230" t="s">
        <v>319</v>
      </c>
      <c r="F230" s="33" t="s">
        <v>878</v>
      </c>
      <c r="G230" s="33" t="s">
        <v>319</v>
      </c>
      <c r="H230" s="3">
        <f t="shared" si="17"/>
        <v>42100.5</v>
      </c>
      <c r="I230" s="3">
        <v>6736.08</v>
      </c>
    </row>
    <row r="231" spans="1:12">
      <c r="A231" t="s">
        <v>317</v>
      </c>
      <c r="B231" s="1">
        <v>41358</v>
      </c>
      <c r="C231" t="s">
        <v>2222</v>
      </c>
      <c r="D231">
        <v>1</v>
      </c>
      <c r="E231" t="s">
        <v>52</v>
      </c>
      <c r="F231" s="33" t="s">
        <v>879</v>
      </c>
      <c r="G231" s="33" t="s">
        <v>52</v>
      </c>
      <c r="H231" s="3">
        <f t="shared" si="17"/>
        <v>1897.4374999999998</v>
      </c>
      <c r="I231" s="3">
        <v>303.58999999999997</v>
      </c>
    </row>
    <row r="232" spans="1:12">
      <c r="A232" t="s">
        <v>2217</v>
      </c>
      <c r="B232" s="1">
        <v>41355</v>
      </c>
      <c r="C232" t="s">
        <v>2218</v>
      </c>
      <c r="D232">
        <v>1</v>
      </c>
      <c r="E232" t="s">
        <v>968</v>
      </c>
      <c r="F232" s="33" t="s">
        <v>1632</v>
      </c>
      <c r="G232" s="33" t="s">
        <v>968</v>
      </c>
      <c r="H232" s="3">
        <f t="shared" si="17"/>
        <v>11199.75</v>
      </c>
      <c r="I232" s="3">
        <v>1791.96</v>
      </c>
    </row>
    <row r="233" spans="1:12">
      <c r="A233" t="s">
        <v>2219</v>
      </c>
      <c r="B233" s="1">
        <v>41355</v>
      </c>
      <c r="C233" t="s">
        <v>2220</v>
      </c>
      <c r="D233">
        <v>1</v>
      </c>
      <c r="E233" t="s">
        <v>968</v>
      </c>
      <c r="F233" s="33" t="s">
        <v>1632</v>
      </c>
      <c r="G233" s="33" t="s">
        <v>968</v>
      </c>
      <c r="H233" s="3">
        <f t="shared" si="17"/>
        <v>6445</v>
      </c>
      <c r="I233" s="3">
        <v>1031.2</v>
      </c>
    </row>
    <row r="234" spans="1:12">
      <c r="A234" t="s">
        <v>1438</v>
      </c>
      <c r="B234" s="1">
        <v>41364</v>
      </c>
      <c r="C234" t="s">
        <v>2076</v>
      </c>
      <c r="D234">
        <v>1</v>
      </c>
      <c r="E234" t="s">
        <v>523</v>
      </c>
      <c r="F234" s="33" t="s">
        <v>880</v>
      </c>
      <c r="G234" s="33" t="s">
        <v>523</v>
      </c>
      <c r="H234" s="3">
        <f t="shared" si="17"/>
        <v>26.3125</v>
      </c>
      <c r="I234" s="3">
        <v>4.21</v>
      </c>
    </row>
    <row r="235" spans="1:12">
      <c r="A235" t="s">
        <v>1957</v>
      </c>
      <c r="B235" s="1">
        <v>41364</v>
      </c>
      <c r="C235" t="s">
        <v>1958</v>
      </c>
      <c r="D235">
        <v>1</v>
      </c>
      <c r="E235" t="s">
        <v>590</v>
      </c>
      <c r="F235" s="33" t="s">
        <v>882</v>
      </c>
      <c r="G235" s="33" t="s">
        <v>590</v>
      </c>
      <c r="H235" s="3">
        <f t="shared" si="17"/>
        <v>138.5</v>
      </c>
      <c r="I235" s="3">
        <v>22.16</v>
      </c>
    </row>
    <row r="236" spans="1:12">
      <c r="A236" t="s">
        <v>1440</v>
      </c>
      <c r="B236" s="1">
        <v>41364</v>
      </c>
      <c r="C236" t="s">
        <v>2077</v>
      </c>
      <c r="D236">
        <v>1</v>
      </c>
      <c r="E236" t="s">
        <v>590</v>
      </c>
      <c r="F236" s="33" t="s">
        <v>882</v>
      </c>
      <c r="G236" s="33" t="s">
        <v>590</v>
      </c>
      <c r="H236" s="3">
        <f t="shared" si="17"/>
        <v>57.75</v>
      </c>
      <c r="I236" s="3">
        <v>9.24</v>
      </c>
    </row>
    <row r="237" spans="1:12">
      <c r="A237" t="s">
        <v>2019</v>
      </c>
      <c r="B237" s="1">
        <v>41364</v>
      </c>
      <c r="C237" t="s">
        <v>2020</v>
      </c>
      <c r="D237">
        <v>1</v>
      </c>
      <c r="E237" t="s">
        <v>535</v>
      </c>
      <c r="F237" s="33" t="s">
        <v>884</v>
      </c>
      <c r="G237" s="33" t="s">
        <v>535</v>
      </c>
      <c r="H237" s="3">
        <f t="shared" si="17"/>
        <v>344.8125</v>
      </c>
      <c r="I237" s="3">
        <v>55.17</v>
      </c>
    </row>
    <row r="238" spans="1:12">
      <c r="A238" t="s">
        <v>418</v>
      </c>
      <c r="B238" s="1">
        <v>41364</v>
      </c>
      <c r="C238" t="s">
        <v>2090</v>
      </c>
      <c r="D238">
        <v>1</v>
      </c>
      <c r="E238" t="s">
        <v>535</v>
      </c>
      <c r="F238" s="33" t="s">
        <v>884</v>
      </c>
      <c r="G238" s="33" t="s">
        <v>535</v>
      </c>
      <c r="H238" s="3">
        <f t="shared" si="17"/>
        <v>344.8125</v>
      </c>
      <c r="I238" s="3">
        <v>55.17</v>
      </c>
    </row>
    <row r="239" spans="1:12">
      <c r="A239" t="s">
        <v>1884</v>
      </c>
      <c r="B239" s="1">
        <v>41359</v>
      </c>
      <c r="C239" t="s">
        <v>1885</v>
      </c>
      <c r="D239">
        <v>1</v>
      </c>
      <c r="E239" t="s">
        <v>1886</v>
      </c>
      <c r="F239" s="33" t="s">
        <v>1635</v>
      </c>
      <c r="G239" s="33" t="s">
        <v>1886</v>
      </c>
      <c r="H239" s="3">
        <f t="shared" si="17"/>
        <v>277752.6875</v>
      </c>
      <c r="I239" s="3">
        <v>44440.43</v>
      </c>
    </row>
    <row r="240" spans="1:12">
      <c r="A240" t="s">
        <v>1939</v>
      </c>
      <c r="B240" s="1">
        <v>41364</v>
      </c>
      <c r="C240" t="s">
        <v>1937</v>
      </c>
      <c r="D240">
        <v>1</v>
      </c>
      <c r="E240" t="s">
        <v>1940</v>
      </c>
      <c r="F240" s="41" t="s">
        <v>886</v>
      </c>
      <c r="G240" s="33" t="s">
        <v>887</v>
      </c>
      <c r="H240" s="3">
        <f t="shared" si="17"/>
        <v>256977.81249999997</v>
      </c>
      <c r="I240" s="3">
        <v>41116.449999999997</v>
      </c>
    </row>
    <row r="241" spans="1:11">
      <c r="A241" t="s">
        <v>1941</v>
      </c>
      <c r="B241" s="1">
        <v>41364</v>
      </c>
      <c r="C241" t="s">
        <v>1942</v>
      </c>
      <c r="D241">
        <v>1</v>
      </c>
      <c r="E241" t="s">
        <v>1940</v>
      </c>
      <c r="F241" s="41" t="s">
        <v>886</v>
      </c>
      <c r="G241" s="33" t="s">
        <v>887</v>
      </c>
      <c r="H241" s="3">
        <f t="shared" si="17"/>
        <v>352770.8125</v>
      </c>
      <c r="I241" s="3">
        <v>56443.33</v>
      </c>
    </row>
    <row r="242" spans="1:11">
      <c r="A242" t="s">
        <v>1946</v>
      </c>
      <c r="B242" s="1">
        <v>41364</v>
      </c>
      <c r="C242" t="s">
        <v>1947</v>
      </c>
      <c r="D242">
        <v>1</v>
      </c>
      <c r="E242" t="s">
        <v>1940</v>
      </c>
      <c r="F242" s="41" t="s">
        <v>886</v>
      </c>
      <c r="G242" s="33" t="s">
        <v>887</v>
      </c>
      <c r="H242" s="3">
        <f t="shared" si="17"/>
        <v>220622.625</v>
      </c>
      <c r="I242" s="3">
        <v>35299.620000000003</v>
      </c>
    </row>
    <row r="243" spans="1:11">
      <c r="A243" t="s">
        <v>1733</v>
      </c>
      <c r="B243" s="1">
        <v>41334</v>
      </c>
      <c r="C243" t="s">
        <v>1734</v>
      </c>
      <c r="D243">
        <v>1</v>
      </c>
      <c r="E243" t="s">
        <v>6</v>
      </c>
      <c r="F243" s="41" t="s">
        <v>886</v>
      </c>
      <c r="G243" s="33" t="s">
        <v>887</v>
      </c>
      <c r="H243" s="3">
        <f t="shared" si="17"/>
        <v>220622.625</v>
      </c>
      <c r="I243" s="3">
        <v>35299.620000000003</v>
      </c>
      <c r="J243" s="46"/>
      <c r="K243" s="46"/>
    </row>
    <row r="244" spans="1:11">
      <c r="A244" t="s">
        <v>1735</v>
      </c>
      <c r="B244" s="1">
        <v>41334</v>
      </c>
      <c r="C244" t="s">
        <v>1306</v>
      </c>
      <c r="D244">
        <v>1</v>
      </c>
      <c r="E244" t="s">
        <v>6</v>
      </c>
      <c r="F244" s="41" t="s">
        <v>886</v>
      </c>
      <c r="G244" s="33" t="s">
        <v>887</v>
      </c>
      <c r="H244" s="3">
        <f t="shared" si="17"/>
        <v>-220622.625</v>
      </c>
      <c r="I244" s="3">
        <v>-35299.620000000003</v>
      </c>
      <c r="J244" s="46"/>
      <c r="K244" s="50"/>
    </row>
    <row r="245" spans="1:11">
      <c r="A245" t="s">
        <v>1739</v>
      </c>
      <c r="B245" s="1">
        <v>41337</v>
      </c>
      <c r="C245" t="s">
        <v>1740</v>
      </c>
      <c r="D245">
        <v>1</v>
      </c>
      <c r="E245" t="s">
        <v>6</v>
      </c>
      <c r="F245" s="41" t="s">
        <v>886</v>
      </c>
      <c r="G245" s="33" t="s">
        <v>887</v>
      </c>
      <c r="H245" s="3">
        <f t="shared" si="17"/>
        <v>474604.5</v>
      </c>
      <c r="I245" s="3">
        <v>75936.72</v>
      </c>
      <c r="J245" s="46"/>
      <c r="K245" s="46"/>
    </row>
    <row r="246" spans="1:11">
      <c r="A246" t="s">
        <v>1741</v>
      </c>
      <c r="B246" s="1">
        <v>41337</v>
      </c>
      <c r="C246" t="s">
        <v>1742</v>
      </c>
      <c r="D246">
        <v>1</v>
      </c>
      <c r="E246" t="s">
        <v>6</v>
      </c>
      <c r="F246" s="41" t="s">
        <v>886</v>
      </c>
      <c r="G246" s="33" t="s">
        <v>887</v>
      </c>
      <c r="H246" s="3">
        <f t="shared" si="17"/>
        <v>211715.1875</v>
      </c>
      <c r="I246" s="3">
        <v>33874.43</v>
      </c>
      <c r="J246" s="46"/>
      <c r="K246" s="46"/>
    </row>
    <row r="247" spans="1:11">
      <c r="A247" t="s">
        <v>1761</v>
      </c>
      <c r="B247" s="1">
        <v>41341</v>
      </c>
      <c r="C247" t="s">
        <v>1326</v>
      </c>
      <c r="D247">
        <v>1</v>
      </c>
      <c r="E247" t="s">
        <v>6</v>
      </c>
      <c r="F247" s="41" t="s">
        <v>886</v>
      </c>
      <c r="G247" s="33" t="s">
        <v>887</v>
      </c>
      <c r="H247" s="3">
        <f t="shared" si="17"/>
        <v>-167896.875</v>
      </c>
      <c r="I247" s="3">
        <v>-26863.5</v>
      </c>
      <c r="J247" s="46"/>
      <c r="K247" s="50"/>
    </row>
    <row r="248" spans="1:11">
      <c r="A248" t="s">
        <v>1762</v>
      </c>
      <c r="B248" s="1">
        <v>41341</v>
      </c>
      <c r="C248" t="s">
        <v>1763</v>
      </c>
      <c r="D248">
        <v>1</v>
      </c>
      <c r="E248" t="s">
        <v>6</v>
      </c>
      <c r="F248" s="41" t="s">
        <v>886</v>
      </c>
      <c r="G248" s="33" t="s">
        <v>887</v>
      </c>
      <c r="H248" s="3">
        <f t="shared" si="17"/>
        <v>167896.875</v>
      </c>
      <c r="I248" s="3">
        <v>26863.5</v>
      </c>
      <c r="J248" s="46"/>
      <c r="K248" s="46"/>
    </row>
    <row r="249" spans="1:11">
      <c r="A249" t="s">
        <v>1765</v>
      </c>
      <c r="B249" s="1">
        <v>41342</v>
      </c>
      <c r="C249" t="s">
        <v>1766</v>
      </c>
      <c r="D249">
        <v>1</v>
      </c>
      <c r="E249" t="s">
        <v>6</v>
      </c>
      <c r="F249" s="41" t="s">
        <v>886</v>
      </c>
      <c r="G249" s="33" t="s">
        <v>887</v>
      </c>
      <c r="H249" s="3">
        <f t="shared" si="17"/>
        <v>330512.6875</v>
      </c>
      <c r="I249" s="3">
        <v>52882.03</v>
      </c>
      <c r="J249" s="46"/>
      <c r="K249" s="46"/>
    </row>
    <row r="250" spans="1:11">
      <c r="A250" t="s">
        <v>67</v>
      </c>
      <c r="B250" s="1">
        <v>41344</v>
      </c>
      <c r="C250" t="s">
        <v>1770</v>
      </c>
      <c r="D250">
        <v>1</v>
      </c>
      <c r="E250" t="s">
        <v>6</v>
      </c>
      <c r="F250" s="41" t="s">
        <v>886</v>
      </c>
      <c r="G250" s="33" t="s">
        <v>887</v>
      </c>
      <c r="H250" s="3">
        <f t="shared" si="17"/>
        <v>220622.625</v>
      </c>
      <c r="I250" s="3">
        <v>35299.620000000003</v>
      </c>
      <c r="J250" s="46"/>
      <c r="K250" s="46"/>
    </row>
    <row r="251" spans="1:11">
      <c r="A251" t="s">
        <v>1771</v>
      </c>
      <c r="B251" s="1">
        <v>41346</v>
      </c>
      <c r="C251" t="s">
        <v>1772</v>
      </c>
      <c r="D251">
        <v>1</v>
      </c>
      <c r="E251" t="s">
        <v>6</v>
      </c>
      <c r="F251" s="41" t="s">
        <v>886</v>
      </c>
      <c r="G251" s="33" t="s">
        <v>887</v>
      </c>
      <c r="H251" s="3">
        <f t="shared" si="17"/>
        <v>182715.875</v>
      </c>
      <c r="I251" s="3">
        <v>29234.54</v>
      </c>
      <c r="J251" s="46"/>
      <c r="K251" s="46"/>
    </row>
    <row r="252" spans="1:11">
      <c r="A252" t="s">
        <v>1773</v>
      </c>
      <c r="B252" s="1">
        <v>41346</v>
      </c>
      <c r="C252" t="s">
        <v>1774</v>
      </c>
      <c r="D252">
        <v>1</v>
      </c>
      <c r="E252" t="s">
        <v>6</v>
      </c>
      <c r="F252" s="41" t="s">
        <v>886</v>
      </c>
      <c r="G252" s="33" t="s">
        <v>887</v>
      </c>
      <c r="H252" s="3">
        <f t="shared" si="17"/>
        <v>286904.5625</v>
      </c>
      <c r="I252" s="3">
        <v>45904.73</v>
      </c>
      <c r="J252" s="46"/>
      <c r="K252" s="46"/>
    </row>
    <row r="253" spans="1:11">
      <c r="A253" t="s">
        <v>1775</v>
      </c>
      <c r="B253" s="1">
        <v>41346</v>
      </c>
      <c r="C253" t="s">
        <v>1776</v>
      </c>
      <c r="D253">
        <v>1</v>
      </c>
      <c r="E253" t="s">
        <v>6</v>
      </c>
      <c r="F253" s="41" t="s">
        <v>886</v>
      </c>
      <c r="G253" s="33" t="s">
        <v>887</v>
      </c>
      <c r="H253" s="3">
        <f t="shared" si="17"/>
        <v>186850.6875</v>
      </c>
      <c r="I253" s="3">
        <v>29896.11</v>
      </c>
      <c r="J253" s="46"/>
      <c r="K253" s="46"/>
    </row>
    <row r="254" spans="1:11">
      <c r="A254" t="s">
        <v>1777</v>
      </c>
      <c r="B254" s="1">
        <v>41346</v>
      </c>
      <c r="C254" t="s">
        <v>1778</v>
      </c>
      <c r="D254">
        <v>1</v>
      </c>
      <c r="E254" t="s">
        <v>6</v>
      </c>
      <c r="F254" s="41" t="s">
        <v>886</v>
      </c>
      <c r="G254" s="33" t="s">
        <v>887</v>
      </c>
      <c r="H254" s="3">
        <f t="shared" si="17"/>
        <v>190157.5625</v>
      </c>
      <c r="I254" s="3">
        <v>30425.21</v>
      </c>
      <c r="J254" s="46"/>
      <c r="K254" s="46"/>
    </row>
    <row r="255" spans="1:11">
      <c r="A255" t="s">
        <v>143</v>
      </c>
      <c r="B255" s="1">
        <v>41346</v>
      </c>
      <c r="C255" t="s">
        <v>1779</v>
      </c>
      <c r="D255">
        <v>1</v>
      </c>
      <c r="E255" t="s">
        <v>6</v>
      </c>
      <c r="F255" s="41" t="s">
        <v>886</v>
      </c>
      <c r="G255" s="33" t="s">
        <v>887</v>
      </c>
      <c r="H255" s="3">
        <f t="shared" si="17"/>
        <v>287447.4375</v>
      </c>
      <c r="I255" s="3">
        <v>45991.59</v>
      </c>
      <c r="J255" s="46"/>
      <c r="K255" s="46"/>
    </row>
    <row r="256" spans="1:11">
      <c r="A256" t="s">
        <v>146</v>
      </c>
      <c r="B256" s="1">
        <v>41346</v>
      </c>
      <c r="C256" t="s">
        <v>1780</v>
      </c>
      <c r="D256">
        <v>1</v>
      </c>
      <c r="E256" t="s">
        <v>6</v>
      </c>
      <c r="F256" s="41" t="s">
        <v>886</v>
      </c>
      <c r="G256" s="33" t="s">
        <v>887</v>
      </c>
      <c r="H256" s="3">
        <f t="shared" si="17"/>
        <v>287447.4375</v>
      </c>
      <c r="I256" s="3">
        <v>45991.59</v>
      </c>
      <c r="J256" s="46"/>
      <c r="K256" s="46"/>
    </row>
    <row r="257" spans="1:11">
      <c r="A257" t="s">
        <v>1781</v>
      </c>
      <c r="B257" s="1">
        <v>41346</v>
      </c>
      <c r="C257" t="s">
        <v>1782</v>
      </c>
      <c r="D257">
        <v>1</v>
      </c>
      <c r="E257" t="s">
        <v>6</v>
      </c>
      <c r="F257" s="41" t="s">
        <v>886</v>
      </c>
      <c r="G257" s="33" t="s">
        <v>887</v>
      </c>
      <c r="H257" s="3">
        <f t="shared" si="17"/>
        <v>357115.5625</v>
      </c>
      <c r="I257" s="3">
        <v>57138.49</v>
      </c>
      <c r="J257" s="46"/>
      <c r="K257" s="46"/>
    </row>
    <row r="258" spans="1:11">
      <c r="A258" t="s">
        <v>148</v>
      </c>
      <c r="B258" s="1">
        <v>41346</v>
      </c>
      <c r="C258" t="s">
        <v>1783</v>
      </c>
      <c r="D258">
        <v>1</v>
      </c>
      <c r="E258" t="s">
        <v>6</v>
      </c>
      <c r="F258" s="41" t="s">
        <v>886</v>
      </c>
      <c r="G258" s="33" t="s">
        <v>887</v>
      </c>
      <c r="H258" s="3">
        <f t="shared" si="17"/>
        <v>211715.1875</v>
      </c>
      <c r="I258" s="3">
        <v>33874.43</v>
      </c>
      <c r="J258" s="46"/>
      <c r="K258" s="46"/>
    </row>
    <row r="259" spans="1:11">
      <c r="A259" t="s">
        <v>1789</v>
      </c>
      <c r="B259" s="1">
        <v>41347</v>
      </c>
      <c r="C259" t="s">
        <v>1790</v>
      </c>
      <c r="D259">
        <v>1</v>
      </c>
      <c r="E259" t="s">
        <v>6</v>
      </c>
      <c r="F259" s="41" t="s">
        <v>886</v>
      </c>
      <c r="G259" s="33" t="s">
        <v>887</v>
      </c>
      <c r="H259" s="3">
        <f t="shared" si="17"/>
        <v>220622.625</v>
      </c>
      <c r="I259" s="3">
        <v>35299.620000000003</v>
      </c>
      <c r="J259" s="46"/>
      <c r="K259" s="46"/>
    </row>
    <row r="260" spans="1:11">
      <c r="A260" t="s">
        <v>1791</v>
      </c>
      <c r="B260" s="1">
        <v>41347</v>
      </c>
      <c r="C260" t="s">
        <v>1792</v>
      </c>
      <c r="D260">
        <v>1</v>
      </c>
      <c r="E260" t="s">
        <v>6</v>
      </c>
      <c r="F260" s="41" t="s">
        <v>886</v>
      </c>
      <c r="G260" s="33" t="s">
        <v>887</v>
      </c>
      <c r="H260" s="3">
        <f t="shared" ref="H260:H289" si="18">+I260/0.16</f>
        <v>220622.625</v>
      </c>
      <c r="I260" s="3">
        <v>35299.620000000003</v>
      </c>
      <c r="J260" s="46"/>
      <c r="K260" s="46"/>
    </row>
    <row r="261" spans="1:11">
      <c r="A261" t="s">
        <v>1793</v>
      </c>
      <c r="B261" s="1">
        <v>41347</v>
      </c>
      <c r="C261" t="s">
        <v>1794</v>
      </c>
      <c r="D261">
        <v>1</v>
      </c>
      <c r="E261" t="s">
        <v>6</v>
      </c>
      <c r="F261" s="41" t="s">
        <v>886</v>
      </c>
      <c r="G261" s="33" t="s">
        <v>887</v>
      </c>
      <c r="H261" s="3">
        <f t="shared" si="18"/>
        <v>330512.6875</v>
      </c>
      <c r="I261" s="3">
        <v>52882.03</v>
      </c>
      <c r="J261" s="46"/>
      <c r="K261" s="46"/>
    </row>
    <row r="262" spans="1:11">
      <c r="A262" t="s">
        <v>1804</v>
      </c>
      <c r="B262" s="1">
        <v>41347</v>
      </c>
      <c r="C262" t="s">
        <v>1805</v>
      </c>
      <c r="D262">
        <v>1</v>
      </c>
      <c r="E262" t="s">
        <v>6</v>
      </c>
      <c r="F262" s="41" t="s">
        <v>886</v>
      </c>
      <c r="G262" s="33" t="s">
        <v>887</v>
      </c>
      <c r="H262" s="3">
        <f t="shared" si="18"/>
        <v>310908.625</v>
      </c>
      <c r="I262" s="3">
        <v>49745.38</v>
      </c>
      <c r="J262" s="46"/>
      <c r="K262" s="46"/>
    </row>
    <row r="263" spans="1:11">
      <c r="A263" t="s">
        <v>1809</v>
      </c>
      <c r="B263" s="1">
        <v>41347</v>
      </c>
      <c r="C263" t="s">
        <v>1810</v>
      </c>
      <c r="D263">
        <v>1</v>
      </c>
      <c r="E263" t="s">
        <v>6</v>
      </c>
      <c r="F263" s="41" t="s">
        <v>886</v>
      </c>
      <c r="G263" s="33" t="s">
        <v>887</v>
      </c>
      <c r="H263" s="3">
        <f t="shared" si="18"/>
        <v>220622.625</v>
      </c>
      <c r="I263" s="3">
        <v>35299.620000000003</v>
      </c>
      <c r="J263" s="46"/>
      <c r="K263" s="46"/>
    </row>
    <row r="264" spans="1:11">
      <c r="A264" t="s">
        <v>1811</v>
      </c>
      <c r="B264" s="1">
        <v>41347</v>
      </c>
      <c r="C264" t="s">
        <v>1812</v>
      </c>
      <c r="D264">
        <v>1</v>
      </c>
      <c r="E264" t="s">
        <v>6</v>
      </c>
      <c r="F264" s="41" t="s">
        <v>886</v>
      </c>
      <c r="G264" s="33" t="s">
        <v>887</v>
      </c>
      <c r="H264" s="3">
        <f t="shared" si="18"/>
        <v>220622.625</v>
      </c>
      <c r="I264" s="3">
        <v>35299.620000000003</v>
      </c>
      <c r="J264" s="46"/>
      <c r="K264" s="46"/>
    </row>
    <row r="265" spans="1:11">
      <c r="A265" t="s">
        <v>1813</v>
      </c>
      <c r="B265" s="1">
        <v>41348</v>
      </c>
      <c r="C265" t="s">
        <v>1814</v>
      </c>
      <c r="D265">
        <v>1</v>
      </c>
      <c r="E265" t="s">
        <v>6</v>
      </c>
      <c r="F265" s="41" t="s">
        <v>886</v>
      </c>
      <c r="G265" s="33" t="s">
        <v>887</v>
      </c>
      <c r="H265" s="3">
        <f t="shared" si="18"/>
        <v>220622.625</v>
      </c>
      <c r="I265" s="3">
        <v>35299.620000000003</v>
      </c>
      <c r="J265" s="46"/>
      <c r="K265" s="46"/>
    </row>
    <row r="266" spans="1:11">
      <c r="A266" t="s">
        <v>1815</v>
      </c>
      <c r="B266" s="1">
        <v>41348</v>
      </c>
      <c r="C266" t="s">
        <v>1816</v>
      </c>
      <c r="D266">
        <v>1</v>
      </c>
      <c r="E266" t="s">
        <v>6</v>
      </c>
      <c r="F266" s="41" t="s">
        <v>886</v>
      </c>
      <c r="G266" s="33" t="s">
        <v>887</v>
      </c>
      <c r="H266" s="3">
        <f t="shared" si="18"/>
        <v>220622.625</v>
      </c>
      <c r="I266" s="3">
        <v>35299.620000000003</v>
      </c>
      <c r="J266" s="46"/>
      <c r="K266" s="46"/>
    </row>
    <row r="267" spans="1:11">
      <c r="A267" t="s">
        <v>1817</v>
      </c>
      <c r="B267" s="1">
        <v>41348</v>
      </c>
      <c r="C267" t="s">
        <v>1818</v>
      </c>
      <c r="D267">
        <v>1</v>
      </c>
      <c r="E267" t="s">
        <v>6</v>
      </c>
      <c r="F267" s="41" t="s">
        <v>886</v>
      </c>
      <c r="G267" s="33" t="s">
        <v>887</v>
      </c>
      <c r="H267" s="3">
        <f t="shared" si="18"/>
        <v>216123.75</v>
      </c>
      <c r="I267" s="3">
        <v>34579.800000000003</v>
      </c>
      <c r="J267" s="46"/>
      <c r="K267" s="46"/>
    </row>
    <row r="268" spans="1:11">
      <c r="A268" t="s">
        <v>1819</v>
      </c>
      <c r="B268" s="1">
        <v>41348</v>
      </c>
      <c r="C268" t="s">
        <v>1820</v>
      </c>
      <c r="D268">
        <v>1</v>
      </c>
      <c r="E268" t="s">
        <v>6</v>
      </c>
      <c r="F268" s="41" t="s">
        <v>886</v>
      </c>
      <c r="G268" s="33" t="s">
        <v>887</v>
      </c>
      <c r="H268" s="3">
        <f t="shared" si="18"/>
        <v>186850.6875</v>
      </c>
      <c r="I268" s="3">
        <v>29896.11</v>
      </c>
      <c r="J268" s="46"/>
      <c r="K268" s="46"/>
    </row>
    <row r="269" spans="1:11">
      <c r="A269" t="s">
        <v>178</v>
      </c>
      <c r="B269" s="1">
        <v>41348</v>
      </c>
      <c r="C269" t="s">
        <v>1821</v>
      </c>
      <c r="D269">
        <v>1</v>
      </c>
      <c r="E269" t="s">
        <v>6</v>
      </c>
      <c r="F269" s="41" t="s">
        <v>886</v>
      </c>
      <c r="G269" s="33" t="s">
        <v>887</v>
      </c>
      <c r="H269" s="3">
        <f t="shared" si="18"/>
        <v>408079.3125</v>
      </c>
      <c r="I269" s="3">
        <v>65292.69</v>
      </c>
      <c r="J269" s="46"/>
      <c r="K269" s="46"/>
    </row>
    <row r="270" spans="1:11">
      <c r="A270" t="s">
        <v>1822</v>
      </c>
      <c r="B270" s="1">
        <v>41348</v>
      </c>
      <c r="C270" t="s">
        <v>1823</v>
      </c>
      <c r="D270">
        <v>1</v>
      </c>
      <c r="E270" t="s">
        <v>6</v>
      </c>
      <c r="F270" s="41" t="s">
        <v>886</v>
      </c>
      <c r="G270" s="33" t="s">
        <v>887</v>
      </c>
      <c r="H270" s="3">
        <f t="shared" si="18"/>
        <v>408079.3125</v>
      </c>
      <c r="I270" s="3">
        <v>65292.69</v>
      </c>
      <c r="J270" s="46"/>
      <c r="K270" s="46"/>
    </row>
    <row r="271" spans="1:11">
      <c r="A271" t="s">
        <v>1828</v>
      </c>
      <c r="B271" s="1">
        <v>41349</v>
      </c>
      <c r="C271" t="s">
        <v>1829</v>
      </c>
      <c r="D271">
        <v>1</v>
      </c>
      <c r="E271" t="s">
        <v>6</v>
      </c>
      <c r="F271" s="41" t="s">
        <v>886</v>
      </c>
      <c r="G271" s="33" t="s">
        <v>887</v>
      </c>
      <c r="H271" s="3">
        <f t="shared" si="18"/>
        <v>285404.5</v>
      </c>
      <c r="I271" s="3">
        <v>45664.72</v>
      </c>
      <c r="J271" s="46"/>
      <c r="K271" s="46"/>
    </row>
    <row r="272" spans="1:11">
      <c r="A272" t="s">
        <v>1830</v>
      </c>
      <c r="B272" s="1">
        <v>41349</v>
      </c>
      <c r="C272" t="s">
        <v>1831</v>
      </c>
      <c r="D272">
        <v>1</v>
      </c>
      <c r="E272" t="s">
        <v>6</v>
      </c>
      <c r="F272" s="41" t="s">
        <v>886</v>
      </c>
      <c r="G272" s="33" t="s">
        <v>887</v>
      </c>
      <c r="H272" s="3">
        <f t="shared" si="18"/>
        <v>220622.625</v>
      </c>
      <c r="I272" s="3">
        <v>35299.620000000003</v>
      </c>
      <c r="J272" s="46"/>
      <c r="K272" s="46"/>
    </row>
    <row r="273" spans="1:12">
      <c r="A273" t="s">
        <v>1223</v>
      </c>
      <c r="B273" s="1">
        <v>41353</v>
      </c>
      <c r="C273" t="s">
        <v>1832</v>
      </c>
      <c r="D273">
        <v>1</v>
      </c>
      <c r="E273" t="s">
        <v>6</v>
      </c>
      <c r="F273" s="41" t="s">
        <v>886</v>
      </c>
      <c r="G273" s="33" t="s">
        <v>887</v>
      </c>
      <c r="H273" s="3">
        <f t="shared" si="18"/>
        <v>352771.3125</v>
      </c>
      <c r="I273" s="3">
        <v>56443.41</v>
      </c>
      <c r="J273" s="46"/>
      <c r="K273" s="46"/>
    </row>
    <row r="274" spans="1:12">
      <c r="A274" t="s">
        <v>1845</v>
      </c>
      <c r="B274" s="1">
        <v>41354</v>
      </c>
      <c r="C274" t="s">
        <v>1846</v>
      </c>
      <c r="D274">
        <v>1</v>
      </c>
      <c r="E274" t="s">
        <v>6</v>
      </c>
      <c r="F274" s="41" t="s">
        <v>886</v>
      </c>
      <c r="G274" s="33" t="s">
        <v>887</v>
      </c>
      <c r="H274" s="3">
        <f t="shared" si="18"/>
        <v>357115.5625</v>
      </c>
      <c r="I274" s="3">
        <v>57138.49</v>
      </c>
      <c r="J274" s="46"/>
      <c r="K274" s="46"/>
    </row>
    <row r="275" spans="1:12">
      <c r="A275" t="s">
        <v>1847</v>
      </c>
      <c r="B275" s="1">
        <v>41355</v>
      </c>
      <c r="C275" t="s">
        <v>1848</v>
      </c>
      <c r="D275">
        <v>1</v>
      </c>
      <c r="E275" t="s">
        <v>6</v>
      </c>
      <c r="F275" s="41" t="s">
        <v>886</v>
      </c>
      <c r="G275" s="33" t="s">
        <v>887</v>
      </c>
      <c r="H275" s="3">
        <f t="shared" si="18"/>
        <v>205526.625</v>
      </c>
      <c r="I275" s="3">
        <v>32884.26</v>
      </c>
      <c r="J275" s="46"/>
      <c r="K275" s="46"/>
    </row>
    <row r="276" spans="1:12">
      <c r="A276" t="s">
        <v>1849</v>
      </c>
      <c r="B276" s="1">
        <v>41355</v>
      </c>
      <c r="C276" t="s">
        <v>1850</v>
      </c>
      <c r="D276">
        <v>1</v>
      </c>
      <c r="E276" t="s">
        <v>6</v>
      </c>
      <c r="F276" s="41" t="s">
        <v>886</v>
      </c>
      <c r="G276" s="33" t="s">
        <v>887</v>
      </c>
      <c r="H276" s="3">
        <f t="shared" si="18"/>
        <v>199492.125</v>
      </c>
      <c r="I276" s="3">
        <v>31918.74</v>
      </c>
      <c r="J276" s="46"/>
      <c r="K276" s="46"/>
    </row>
    <row r="277" spans="1:12">
      <c r="A277" t="s">
        <v>1851</v>
      </c>
      <c r="B277" s="1">
        <v>41355</v>
      </c>
      <c r="C277" t="s">
        <v>1852</v>
      </c>
      <c r="D277">
        <v>1</v>
      </c>
      <c r="E277" t="s">
        <v>6</v>
      </c>
      <c r="F277" s="41" t="s">
        <v>886</v>
      </c>
      <c r="G277" s="33" t="s">
        <v>887</v>
      </c>
      <c r="H277" s="3">
        <f t="shared" si="18"/>
        <v>199492.125</v>
      </c>
      <c r="I277" s="3">
        <v>31918.74</v>
      </c>
      <c r="J277" s="46"/>
      <c r="K277" s="46"/>
    </row>
    <row r="278" spans="1:12">
      <c r="A278" t="s">
        <v>1853</v>
      </c>
      <c r="B278" s="1">
        <v>41355</v>
      </c>
      <c r="C278" t="s">
        <v>1854</v>
      </c>
      <c r="D278">
        <v>1</v>
      </c>
      <c r="E278" t="s">
        <v>6</v>
      </c>
      <c r="F278" s="41" t="s">
        <v>886</v>
      </c>
      <c r="G278" s="33" t="s">
        <v>887</v>
      </c>
      <c r="H278" s="3">
        <f t="shared" si="18"/>
        <v>259912.6875</v>
      </c>
      <c r="I278" s="3">
        <v>41586.03</v>
      </c>
      <c r="J278" s="46"/>
      <c r="K278" s="46"/>
    </row>
    <row r="279" spans="1:12">
      <c r="A279" t="s">
        <v>1855</v>
      </c>
      <c r="B279" s="1">
        <v>41355</v>
      </c>
      <c r="C279" t="s">
        <v>1856</v>
      </c>
      <c r="D279">
        <v>1</v>
      </c>
      <c r="E279" t="s">
        <v>6</v>
      </c>
      <c r="F279" s="41" t="s">
        <v>886</v>
      </c>
      <c r="G279" s="33" t="s">
        <v>887</v>
      </c>
      <c r="H279" s="3">
        <f t="shared" si="18"/>
        <v>259912.6875</v>
      </c>
      <c r="I279" s="3">
        <v>41586.03</v>
      </c>
      <c r="J279" s="46"/>
      <c r="K279" s="46"/>
    </row>
    <row r="280" spans="1:12">
      <c r="A280" t="s">
        <v>1857</v>
      </c>
      <c r="B280" s="1">
        <v>41355</v>
      </c>
      <c r="C280" t="s">
        <v>1858</v>
      </c>
      <c r="D280">
        <v>1</v>
      </c>
      <c r="E280" t="s">
        <v>6</v>
      </c>
      <c r="F280" s="41" t="s">
        <v>886</v>
      </c>
      <c r="G280" s="33" t="s">
        <v>887</v>
      </c>
      <c r="H280" s="3">
        <f t="shared" si="18"/>
        <v>309577.9375</v>
      </c>
      <c r="I280" s="3">
        <v>49532.47</v>
      </c>
      <c r="J280" s="46"/>
      <c r="K280" s="46"/>
    </row>
    <row r="281" spans="1:12">
      <c r="A281" t="s">
        <v>1859</v>
      </c>
      <c r="B281" s="1">
        <v>41355</v>
      </c>
      <c r="C281" t="s">
        <v>1860</v>
      </c>
      <c r="D281">
        <v>1</v>
      </c>
      <c r="E281" t="s">
        <v>6</v>
      </c>
      <c r="F281" s="41" t="s">
        <v>886</v>
      </c>
      <c r="G281" s="33" t="s">
        <v>887</v>
      </c>
      <c r="H281" s="3">
        <f t="shared" si="18"/>
        <v>314170.875</v>
      </c>
      <c r="I281" s="3">
        <v>50267.34</v>
      </c>
      <c r="J281" s="46"/>
      <c r="K281" s="46"/>
    </row>
    <row r="282" spans="1:12">
      <c r="A282" t="s">
        <v>1861</v>
      </c>
      <c r="B282" s="1">
        <v>41355</v>
      </c>
      <c r="C282" t="s">
        <v>1862</v>
      </c>
      <c r="D282">
        <v>1</v>
      </c>
      <c r="E282" t="s">
        <v>6</v>
      </c>
      <c r="F282" s="41" t="s">
        <v>886</v>
      </c>
      <c r="G282" s="33" t="s">
        <v>887</v>
      </c>
      <c r="H282" s="3">
        <f t="shared" si="18"/>
        <v>179912.0625</v>
      </c>
      <c r="I282" s="3">
        <v>28785.93</v>
      </c>
      <c r="J282" s="46"/>
      <c r="K282" s="46"/>
    </row>
    <row r="283" spans="1:12">
      <c r="A283" t="s">
        <v>1865</v>
      </c>
      <c r="B283" s="1">
        <v>41355</v>
      </c>
      <c r="C283" t="s">
        <v>1866</v>
      </c>
      <c r="D283">
        <v>1</v>
      </c>
      <c r="E283" t="s">
        <v>6</v>
      </c>
      <c r="F283" s="41" t="s">
        <v>886</v>
      </c>
      <c r="G283" s="33" t="s">
        <v>887</v>
      </c>
      <c r="H283" s="3">
        <f t="shared" si="18"/>
        <v>220622.625</v>
      </c>
      <c r="I283" s="3">
        <v>35299.620000000003</v>
      </c>
      <c r="J283" s="46"/>
      <c r="K283" s="46"/>
    </row>
    <row r="284" spans="1:12">
      <c r="A284" t="s">
        <v>1867</v>
      </c>
      <c r="B284" s="1">
        <v>41355</v>
      </c>
      <c r="C284" t="s">
        <v>1868</v>
      </c>
      <c r="D284">
        <v>1</v>
      </c>
      <c r="E284" t="s">
        <v>6</v>
      </c>
      <c r="F284" s="41" t="s">
        <v>886</v>
      </c>
      <c r="G284" s="33" t="s">
        <v>887</v>
      </c>
      <c r="H284" s="3">
        <f t="shared" si="18"/>
        <v>220622.625</v>
      </c>
      <c r="I284" s="3">
        <v>35299.620000000003</v>
      </c>
      <c r="J284" s="46"/>
      <c r="K284" s="46"/>
    </row>
    <row r="285" spans="1:12">
      <c r="A285" t="s">
        <v>1262</v>
      </c>
      <c r="B285" s="1">
        <v>41355</v>
      </c>
      <c r="C285" t="s">
        <v>1869</v>
      </c>
      <c r="D285">
        <v>1</v>
      </c>
      <c r="E285" t="s">
        <v>6</v>
      </c>
      <c r="F285" s="41" t="s">
        <v>886</v>
      </c>
      <c r="G285" s="33" t="s">
        <v>887</v>
      </c>
      <c r="H285" s="3">
        <f t="shared" si="18"/>
        <v>220622.625</v>
      </c>
      <c r="I285" s="3">
        <v>35299.620000000003</v>
      </c>
      <c r="J285" s="46"/>
      <c r="K285" s="46"/>
    </row>
    <row r="286" spans="1:12">
      <c r="A286" t="s">
        <v>1871</v>
      </c>
      <c r="B286" s="1">
        <v>41356</v>
      </c>
      <c r="C286" t="s">
        <v>1872</v>
      </c>
      <c r="D286">
        <v>1</v>
      </c>
      <c r="E286" t="s">
        <v>6</v>
      </c>
      <c r="F286" s="41" t="s">
        <v>886</v>
      </c>
      <c r="G286" s="33" t="s">
        <v>887</v>
      </c>
      <c r="H286" s="3">
        <f t="shared" si="18"/>
        <v>309577.9375</v>
      </c>
      <c r="I286" s="3">
        <v>49532.47</v>
      </c>
      <c r="J286" s="46"/>
      <c r="K286" s="46"/>
    </row>
    <row r="287" spans="1:12">
      <c r="A287" t="s">
        <v>1873</v>
      </c>
      <c r="B287" s="1">
        <v>41358</v>
      </c>
      <c r="C287" t="s">
        <v>1874</v>
      </c>
      <c r="D287">
        <v>1</v>
      </c>
      <c r="E287" t="s">
        <v>6</v>
      </c>
      <c r="F287" s="41" t="s">
        <v>886</v>
      </c>
      <c r="G287" s="33" t="s">
        <v>887</v>
      </c>
      <c r="H287" s="3">
        <f t="shared" si="18"/>
        <v>253943.3125</v>
      </c>
      <c r="I287" s="3">
        <v>40630.93</v>
      </c>
      <c r="J287" s="46"/>
      <c r="K287" s="46"/>
    </row>
    <row r="288" spans="1:12">
      <c r="A288" t="s">
        <v>707</v>
      </c>
      <c r="B288" s="1">
        <v>41344</v>
      </c>
      <c r="C288" t="s">
        <v>2263</v>
      </c>
      <c r="D288">
        <v>1</v>
      </c>
      <c r="E288" t="s">
        <v>6</v>
      </c>
      <c r="F288" t="s">
        <v>829</v>
      </c>
      <c r="G288" t="s">
        <v>6</v>
      </c>
      <c r="H288" s="3">
        <f t="shared" si="18"/>
        <v>132558.875</v>
      </c>
      <c r="I288" s="3">
        <v>21209.42</v>
      </c>
      <c r="K288" s="135">
        <f t="shared" ref="K288" si="19">+L288/0.16</f>
        <v>132558.875</v>
      </c>
      <c r="L288" s="135">
        <v>21209.42</v>
      </c>
    </row>
    <row r="289" spans="1:12">
      <c r="A289" t="s">
        <v>1943</v>
      </c>
      <c r="B289" s="1">
        <v>41364</v>
      </c>
      <c r="C289" t="s">
        <v>1944</v>
      </c>
      <c r="D289">
        <v>1</v>
      </c>
      <c r="E289" t="s">
        <v>1945</v>
      </c>
      <c r="F289" s="41" t="s">
        <v>886</v>
      </c>
      <c r="G289" s="33" t="s">
        <v>887</v>
      </c>
      <c r="H289" s="3">
        <f t="shared" si="18"/>
        <v>352771.3125</v>
      </c>
      <c r="I289" s="3">
        <v>56443.41</v>
      </c>
    </row>
    <row r="290" spans="1:12">
      <c r="A290" t="s">
        <v>2045</v>
      </c>
      <c r="B290" s="1">
        <v>41364</v>
      </c>
      <c r="C290" t="s">
        <v>2046</v>
      </c>
      <c r="D290">
        <v>1</v>
      </c>
      <c r="E290" t="s">
        <v>2047</v>
      </c>
      <c r="F290" s="33" t="s">
        <v>946</v>
      </c>
      <c r="G290" s="33" t="s">
        <v>947</v>
      </c>
      <c r="H290" s="46">
        <f t="shared" ref="H290:H321" si="20">I290/0.16</f>
        <v>144.625</v>
      </c>
      <c r="I290" s="46">
        <f>21.52+1.62</f>
        <v>23.14</v>
      </c>
      <c r="J290" s="3"/>
      <c r="K290" s="3"/>
    </row>
    <row r="291" spans="1:12">
      <c r="A291" t="s">
        <v>2045</v>
      </c>
      <c r="B291" s="1">
        <v>41364</v>
      </c>
      <c r="C291" t="s">
        <v>2046</v>
      </c>
      <c r="D291">
        <v>1</v>
      </c>
      <c r="E291" t="s">
        <v>2047</v>
      </c>
      <c r="F291" s="33" t="s">
        <v>1687</v>
      </c>
      <c r="G291" s="33" t="s">
        <v>1688</v>
      </c>
      <c r="H291" s="46">
        <f t="shared" si="20"/>
        <v>303.625</v>
      </c>
      <c r="I291" s="46">
        <v>48.58</v>
      </c>
      <c r="J291" s="14">
        <f>448.25-H290-H291</f>
        <v>0</v>
      </c>
      <c r="K291" s="14">
        <f>71.72-I290-I291</f>
        <v>0</v>
      </c>
      <c r="L291" t="s">
        <v>900</v>
      </c>
    </row>
    <row r="292" spans="1:12">
      <c r="A292" t="s">
        <v>2033</v>
      </c>
      <c r="B292" s="1">
        <v>41364</v>
      </c>
      <c r="C292" t="s">
        <v>2034</v>
      </c>
      <c r="D292">
        <v>1</v>
      </c>
      <c r="E292" t="s">
        <v>2035</v>
      </c>
      <c r="F292" s="33" t="s">
        <v>2343</v>
      </c>
      <c r="G292" s="33" t="s">
        <v>2344</v>
      </c>
      <c r="H292" s="46">
        <f t="shared" si="20"/>
        <v>291.875</v>
      </c>
      <c r="I292" s="46">
        <v>46.7</v>
      </c>
      <c r="J292" s="3"/>
      <c r="K292" s="3"/>
    </row>
    <row r="293" spans="1:12">
      <c r="A293" t="s">
        <v>2033</v>
      </c>
      <c r="B293" s="1">
        <v>41364</v>
      </c>
      <c r="C293" t="s">
        <v>2034</v>
      </c>
      <c r="D293">
        <v>1</v>
      </c>
      <c r="E293" t="s">
        <v>2035</v>
      </c>
      <c r="F293" s="33" t="s">
        <v>946</v>
      </c>
      <c r="G293" s="33" t="s">
        <v>947</v>
      </c>
      <c r="H293" s="46">
        <f t="shared" si="20"/>
        <v>130.5625</v>
      </c>
      <c r="I293" s="46">
        <f>19.32+1.57</f>
        <v>20.89</v>
      </c>
      <c r="J293" s="14">
        <f>422.44-H292-H293</f>
        <v>2.4999999999977263E-3</v>
      </c>
      <c r="K293" s="14">
        <f>67.59-I292-I293</f>
        <v>0</v>
      </c>
      <c r="L293" t="s">
        <v>900</v>
      </c>
    </row>
    <row r="294" spans="1:12">
      <c r="A294" t="s">
        <v>1990</v>
      </c>
      <c r="B294" s="1">
        <v>41364</v>
      </c>
      <c r="C294" t="s">
        <v>1991</v>
      </c>
      <c r="D294">
        <v>1</v>
      </c>
      <c r="E294" t="s">
        <v>1992</v>
      </c>
      <c r="F294" s="33" t="s">
        <v>946</v>
      </c>
      <c r="G294" s="33" t="s">
        <v>947</v>
      </c>
      <c r="H294" s="46">
        <f t="shared" si="20"/>
        <v>144.1875</v>
      </c>
      <c r="I294" s="46">
        <f>21.52+1.55</f>
        <v>23.07</v>
      </c>
      <c r="J294" s="3"/>
      <c r="K294" s="3"/>
    </row>
    <row r="295" spans="1:12">
      <c r="A295" t="s">
        <v>1990</v>
      </c>
      <c r="B295" s="1">
        <v>41364</v>
      </c>
      <c r="C295" t="s">
        <v>1991</v>
      </c>
      <c r="D295">
        <v>1</v>
      </c>
      <c r="E295" t="s">
        <v>1992</v>
      </c>
      <c r="F295" s="33" t="s">
        <v>1687</v>
      </c>
      <c r="G295" s="33" t="s">
        <v>1688</v>
      </c>
      <c r="H295" s="46">
        <f t="shared" si="20"/>
        <v>292</v>
      </c>
      <c r="I295" s="46">
        <v>46.72</v>
      </c>
    </row>
    <row r="296" spans="1:12">
      <c r="A296" t="s">
        <v>1990</v>
      </c>
      <c r="B296" s="1">
        <v>41364</v>
      </c>
      <c r="C296" t="s">
        <v>1991</v>
      </c>
      <c r="D296">
        <v>1</v>
      </c>
      <c r="E296" t="s">
        <v>1992</v>
      </c>
      <c r="F296" s="33" t="s">
        <v>2358</v>
      </c>
      <c r="G296" s="33" t="s">
        <v>2359</v>
      </c>
      <c r="H296" s="46">
        <f t="shared" si="20"/>
        <v>45</v>
      </c>
      <c r="I296" s="46">
        <v>7.2</v>
      </c>
      <c r="J296" s="14">
        <f>481.19-H294-H295-H296</f>
        <v>2.4999999999977263E-3</v>
      </c>
      <c r="K296" s="14">
        <f>76.99-I294-I295-I296</f>
        <v>0</v>
      </c>
      <c r="L296" t="s">
        <v>900</v>
      </c>
    </row>
    <row r="297" spans="1:12">
      <c r="A297" t="s">
        <v>403</v>
      </c>
      <c r="B297" s="1">
        <v>41364</v>
      </c>
      <c r="C297" t="s">
        <v>1985</v>
      </c>
      <c r="D297">
        <v>1</v>
      </c>
      <c r="E297" t="s">
        <v>1986</v>
      </c>
      <c r="F297" s="33" t="s">
        <v>2356</v>
      </c>
      <c r="G297" s="33" t="s">
        <v>2357</v>
      </c>
      <c r="H297" s="46">
        <f t="shared" si="20"/>
        <v>583.9375</v>
      </c>
      <c r="I297" s="46">
        <v>93.43</v>
      </c>
      <c r="J297" s="3"/>
      <c r="K297" s="3"/>
    </row>
    <row r="298" spans="1:12">
      <c r="A298" t="s">
        <v>403</v>
      </c>
      <c r="B298" s="1">
        <v>41364</v>
      </c>
      <c r="C298" t="s">
        <v>1985</v>
      </c>
      <c r="D298">
        <v>1</v>
      </c>
      <c r="E298" t="s">
        <v>1986</v>
      </c>
      <c r="F298" s="33" t="s">
        <v>946</v>
      </c>
      <c r="G298" s="33" t="s">
        <v>947</v>
      </c>
      <c r="H298" s="46">
        <f t="shared" si="20"/>
        <v>278.1875</v>
      </c>
      <c r="I298" s="46">
        <f>41.39+3.12</f>
        <v>44.51</v>
      </c>
    </row>
    <row r="299" spans="1:12">
      <c r="A299" t="s">
        <v>403</v>
      </c>
      <c r="B299" s="1">
        <v>41364</v>
      </c>
      <c r="C299" t="s">
        <v>1985</v>
      </c>
      <c r="D299">
        <v>1</v>
      </c>
      <c r="E299" t="s">
        <v>1986</v>
      </c>
      <c r="F299" s="33" t="s">
        <v>1649</v>
      </c>
      <c r="G299" s="33" t="s">
        <v>1650</v>
      </c>
      <c r="H299" s="46">
        <f t="shared" si="20"/>
        <v>73.25</v>
      </c>
      <c r="I299" s="46">
        <v>11.72</v>
      </c>
      <c r="J299" s="14">
        <f>935.58-H297-H298-H299</f>
        <v>0.20500000000004093</v>
      </c>
      <c r="K299" s="14">
        <f>149.66-I297-I298-I299</f>
        <v>0</v>
      </c>
      <c r="L299" t="s">
        <v>900</v>
      </c>
    </row>
    <row r="300" spans="1:12">
      <c r="A300" t="s">
        <v>1405</v>
      </c>
      <c r="B300" s="1">
        <v>41364</v>
      </c>
      <c r="C300" t="s">
        <v>2036</v>
      </c>
      <c r="D300">
        <v>1</v>
      </c>
      <c r="E300" t="s">
        <v>2037</v>
      </c>
      <c r="F300" s="33" t="s">
        <v>946</v>
      </c>
      <c r="G300" s="33" t="s">
        <v>947</v>
      </c>
      <c r="H300" s="46">
        <f t="shared" si="20"/>
        <v>687.875</v>
      </c>
      <c r="I300" s="46">
        <f>105.54+4.52</f>
        <v>110.06</v>
      </c>
      <c r="J300" s="3"/>
      <c r="K300" s="3"/>
    </row>
    <row r="301" spans="1:12">
      <c r="A301" t="s">
        <v>1405</v>
      </c>
      <c r="B301" s="1">
        <v>41364</v>
      </c>
      <c r="C301" t="s">
        <v>2036</v>
      </c>
      <c r="D301">
        <v>1</v>
      </c>
      <c r="E301" t="s">
        <v>2037</v>
      </c>
      <c r="F301" s="33" t="s">
        <v>939</v>
      </c>
      <c r="G301" s="33" t="s">
        <v>940</v>
      </c>
      <c r="H301" s="46">
        <f t="shared" si="20"/>
        <v>292</v>
      </c>
      <c r="I301" s="46">
        <v>46.72</v>
      </c>
    </row>
    <row r="302" spans="1:12">
      <c r="A302" t="s">
        <v>1405</v>
      </c>
      <c r="B302" s="1">
        <v>41364</v>
      </c>
      <c r="C302" t="s">
        <v>2036</v>
      </c>
      <c r="D302">
        <v>1</v>
      </c>
      <c r="E302" t="s">
        <v>2037</v>
      </c>
      <c r="F302" s="33" t="s">
        <v>927</v>
      </c>
      <c r="G302" s="33" t="s">
        <v>928</v>
      </c>
      <c r="H302" s="46">
        <f t="shared" si="20"/>
        <v>65</v>
      </c>
      <c r="I302" s="46">
        <v>10.4</v>
      </c>
    </row>
    <row r="303" spans="1:12">
      <c r="A303" t="s">
        <v>1405</v>
      </c>
      <c r="B303" s="1">
        <v>41364</v>
      </c>
      <c r="C303" t="s">
        <v>2036</v>
      </c>
      <c r="D303">
        <v>1</v>
      </c>
      <c r="E303" t="s">
        <v>2037</v>
      </c>
      <c r="F303" s="33" t="s">
        <v>913</v>
      </c>
      <c r="G303" s="33" t="s">
        <v>914</v>
      </c>
      <c r="H303" s="46">
        <f t="shared" si="20"/>
        <v>557.5625</v>
      </c>
      <c r="I303" s="46">
        <v>89.21</v>
      </c>
      <c r="J303" s="14">
        <f>1602.44-H300-H301-H302-H303</f>
        <v>2.5000000000545697E-3</v>
      </c>
      <c r="K303" s="14">
        <f>256.39-I300-I301-I302-I303</f>
        <v>0</v>
      </c>
      <c r="L303" t="s">
        <v>900</v>
      </c>
    </row>
    <row r="304" spans="1:12">
      <c r="A304" t="s">
        <v>1951</v>
      </c>
      <c r="B304" s="1">
        <v>41364</v>
      </c>
      <c r="C304" t="s">
        <v>1952</v>
      </c>
      <c r="D304">
        <v>1</v>
      </c>
      <c r="E304" t="s">
        <v>1953</v>
      </c>
      <c r="F304" s="33" t="s">
        <v>946</v>
      </c>
      <c r="G304" s="33" t="s">
        <v>947</v>
      </c>
      <c r="H304" s="46">
        <f t="shared" si="20"/>
        <v>130</v>
      </c>
      <c r="I304" s="46">
        <f>19.32+1.48</f>
        <v>20.8</v>
      </c>
      <c r="J304" s="3"/>
      <c r="K304" s="3"/>
    </row>
    <row r="305" spans="1:12">
      <c r="A305" t="s">
        <v>1951</v>
      </c>
      <c r="B305" s="1">
        <v>41364</v>
      </c>
      <c r="C305" t="s">
        <v>1952</v>
      </c>
      <c r="D305">
        <v>1</v>
      </c>
      <c r="E305" t="s">
        <v>1953</v>
      </c>
      <c r="F305" s="33" t="s">
        <v>2277</v>
      </c>
      <c r="G305" s="33" t="s">
        <v>2278</v>
      </c>
      <c r="H305" s="46">
        <f t="shared" si="20"/>
        <v>75</v>
      </c>
      <c r="I305" s="46">
        <v>12</v>
      </c>
    </row>
    <row r="306" spans="1:12">
      <c r="A306" t="s">
        <v>1951</v>
      </c>
      <c r="B306" s="1">
        <v>41364</v>
      </c>
      <c r="C306" t="s">
        <v>1952</v>
      </c>
      <c r="D306">
        <v>1</v>
      </c>
      <c r="E306" t="s">
        <v>1953</v>
      </c>
      <c r="F306" s="33" t="s">
        <v>2343</v>
      </c>
      <c r="G306" s="33" t="s">
        <v>2344</v>
      </c>
      <c r="H306" s="46">
        <f t="shared" si="20"/>
        <v>275.9375</v>
      </c>
      <c r="I306" s="46">
        <v>44.15</v>
      </c>
      <c r="J306" s="14">
        <f>480.94-H304-H305-H306</f>
        <v>2.4999999999977263E-3</v>
      </c>
      <c r="K306" s="14">
        <f>76.95-I304-I305-I306</f>
        <v>0</v>
      </c>
      <c r="L306" t="s">
        <v>900</v>
      </c>
    </row>
    <row r="307" spans="1:12">
      <c r="A307" t="s">
        <v>1388</v>
      </c>
      <c r="B307" s="1">
        <v>41364</v>
      </c>
      <c r="C307" t="s">
        <v>1978</v>
      </c>
      <c r="D307">
        <v>1</v>
      </c>
      <c r="E307" t="s">
        <v>1979</v>
      </c>
      <c r="F307" s="33" t="s">
        <v>907</v>
      </c>
      <c r="G307" s="33" t="s">
        <v>908</v>
      </c>
      <c r="H307" s="46">
        <f t="shared" si="20"/>
        <v>520.375</v>
      </c>
      <c r="I307" s="46">
        <v>83.26</v>
      </c>
      <c r="J307" s="3"/>
      <c r="K307" s="3"/>
    </row>
    <row r="308" spans="1:12">
      <c r="A308" t="s">
        <v>1388</v>
      </c>
      <c r="B308" s="1">
        <v>41364</v>
      </c>
      <c r="C308" t="s">
        <v>1978</v>
      </c>
      <c r="D308">
        <v>1</v>
      </c>
      <c r="E308" t="s">
        <v>1979</v>
      </c>
      <c r="F308" s="33" t="s">
        <v>946</v>
      </c>
      <c r="G308" s="33" t="s">
        <v>947</v>
      </c>
      <c r="H308" s="46">
        <f t="shared" si="20"/>
        <v>622.6875</v>
      </c>
      <c r="I308" s="46">
        <f>95.87+3.76</f>
        <v>99.63000000000001</v>
      </c>
    </row>
    <row r="309" spans="1:12">
      <c r="A309" t="s">
        <v>1388</v>
      </c>
      <c r="B309" s="1">
        <v>41364</v>
      </c>
      <c r="C309" t="s">
        <v>1978</v>
      </c>
      <c r="D309">
        <v>1</v>
      </c>
      <c r="E309" t="s">
        <v>1979</v>
      </c>
      <c r="F309" s="33" t="s">
        <v>939</v>
      </c>
      <c r="G309" s="33" t="s">
        <v>940</v>
      </c>
      <c r="H309" s="46">
        <f t="shared" si="20"/>
        <v>183.5</v>
      </c>
      <c r="I309" s="46">
        <v>29.36</v>
      </c>
    </row>
    <row r="310" spans="1:12">
      <c r="A310" t="s">
        <v>1388</v>
      </c>
      <c r="B310" s="1">
        <v>41364</v>
      </c>
      <c r="C310" t="s">
        <v>1978</v>
      </c>
      <c r="D310">
        <v>1</v>
      </c>
      <c r="E310" t="s">
        <v>1979</v>
      </c>
      <c r="F310" s="33" t="s">
        <v>2349</v>
      </c>
      <c r="G310" s="33" t="s">
        <v>2350</v>
      </c>
      <c r="H310" s="46">
        <f t="shared" si="20"/>
        <v>64.6875</v>
      </c>
      <c r="I310" s="46">
        <v>10.35</v>
      </c>
      <c r="J310" s="14">
        <f>1391.25-H307-H308-H310-H309</f>
        <v>0</v>
      </c>
      <c r="K310" s="14">
        <f>222.6-I307-I308-I309-I310</f>
        <v>-3.3750779948604759E-14</v>
      </c>
      <c r="L310" t="s">
        <v>900</v>
      </c>
    </row>
    <row r="311" spans="1:12">
      <c r="A311" t="s">
        <v>2051</v>
      </c>
      <c r="B311" s="1">
        <v>41364</v>
      </c>
      <c r="C311" t="s">
        <v>2052</v>
      </c>
      <c r="D311">
        <v>1</v>
      </c>
      <c r="E311" t="s">
        <v>2053</v>
      </c>
      <c r="F311" s="33" t="s">
        <v>954</v>
      </c>
      <c r="G311" s="33" t="s">
        <v>2351</v>
      </c>
      <c r="H311" s="46">
        <f t="shared" si="20"/>
        <v>59.499999999999993</v>
      </c>
      <c r="I311" s="46">
        <v>9.52</v>
      </c>
      <c r="J311" s="3"/>
      <c r="K311" s="3"/>
    </row>
    <row r="312" spans="1:12">
      <c r="A312" t="s">
        <v>2051</v>
      </c>
      <c r="B312" s="1">
        <v>41364</v>
      </c>
      <c r="C312" t="s">
        <v>2052</v>
      </c>
      <c r="D312">
        <v>1</v>
      </c>
      <c r="E312" t="s">
        <v>2053</v>
      </c>
      <c r="F312" s="33" t="s">
        <v>2352</v>
      </c>
      <c r="G312" s="33" t="s">
        <v>2353</v>
      </c>
      <c r="H312" s="46">
        <f t="shared" si="20"/>
        <v>139.375</v>
      </c>
      <c r="I312" s="46">
        <v>22.3</v>
      </c>
    </row>
    <row r="313" spans="1:12">
      <c r="A313" t="s">
        <v>2051</v>
      </c>
      <c r="B313" s="1">
        <v>41364</v>
      </c>
      <c r="C313" t="s">
        <v>2052</v>
      </c>
      <c r="D313">
        <v>1</v>
      </c>
      <c r="E313" t="s">
        <v>2053</v>
      </c>
      <c r="F313" s="33" t="s">
        <v>2354</v>
      </c>
      <c r="G313" s="33" t="s">
        <v>2355</v>
      </c>
      <c r="H313" s="46">
        <f t="shared" si="20"/>
        <v>529.0625</v>
      </c>
      <c r="I313" s="46">
        <v>84.65</v>
      </c>
    </row>
    <row r="314" spans="1:12">
      <c r="A314" t="s">
        <v>2051</v>
      </c>
      <c r="B314" s="1">
        <v>41364</v>
      </c>
      <c r="C314" t="s">
        <v>2052</v>
      </c>
      <c r="D314">
        <v>1</v>
      </c>
      <c r="E314" t="s">
        <v>2053</v>
      </c>
      <c r="F314" s="33" t="s">
        <v>946</v>
      </c>
      <c r="G314" s="33" t="s">
        <v>947</v>
      </c>
      <c r="H314" s="46">
        <f t="shared" si="20"/>
        <v>306.8125</v>
      </c>
      <c r="I314" s="46">
        <f>45.53+3.56</f>
        <v>49.09</v>
      </c>
      <c r="J314" s="14">
        <f>1034.75-H311-H312-H313-H314</f>
        <v>0</v>
      </c>
      <c r="K314" s="14">
        <f>165.56-I311-I312-I313-I314</f>
        <v>0</v>
      </c>
      <c r="L314" t="s">
        <v>900</v>
      </c>
    </row>
    <row r="315" spans="1:12">
      <c r="A315" t="s">
        <v>1393</v>
      </c>
      <c r="B315" s="1">
        <v>41364</v>
      </c>
      <c r="C315" t="s">
        <v>1980</v>
      </c>
      <c r="D315">
        <v>1</v>
      </c>
      <c r="E315" t="s">
        <v>1981</v>
      </c>
      <c r="F315" s="33" t="s">
        <v>2349</v>
      </c>
      <c r="G315" s="33" t="s">
        <v>2350</v>
      </c>
      <c r="H315" s="46">
        <f t="shared" si="20"/>
        <v>64.6875</v>
      </c>
      <c r="I315" s="46">
        <v>10.35</v>
      </c>
      <c r="J315" s="3"/>
      <c r="K315" s="3"/>
    </row>
    <row r="316" spans="1:12">
      <c r="A316" t="s">
        <v>1393</v>
      </c>
      <c r="B316" s="1">
        <v>41364</v>
      </c>
      <c r="C316" t="s">
        <v>1980</v>
      </c>
      <c r="D316">
        <v>1</v>
      </c>
      <c r="E316" t="s">
        <v>1981</v>
      </c>
      <c r="F316" s="33" t="s">
        <v>907</v>
      </c>
      <c r="G316" s="33" t="s">
        <v>908</v>
      </c>
      <c r="H316" s="46">
        <f t="shared" si="20"/>
        <v>696.9375</v>
      </c>
      <c r="I316" s="46">
        <v>111.51</v>
      </c>
    </row>
    <row r="317" spans="1:12">
      <c r="A317" t="s">
        <v>1393</v>
      </c>
      <c r="B317" s="1">
        <v>41364</v>
      </c>
      <c r="C317" t="s">
        <v>1980</v>
      </c>
      <c r="D317">
        <v>1</v>
      </c>
      <c r="E317" t="s">
        <v>1981</v>
      </c>
      <c r="F317" s="33" t="s">
        <v>946</v>
      </c>
      <c r="G317" s="33" t="s">
        <v>947</v>
      </c>
      <c r="H317" s="46">
        <f t="shared" si="20"/>
        <v>628.5625</v>
      </c>
      <c r="I317" s="46">
        <f>95.87+4.7</f>
        <v>100.57000000000001</v>
      </c>
    </row>
    <row r="318" spans="1:12">
      <c r="A318" t="s">
        <v>1393</v>
      </c>
      <c r="B318" s="1">
        <v>41364</v>
      </c>
      <c r="C318" t="s">
        <v>1980</v>
      </c>
      <c r="D318">
        <v>1</v>
      </c>
      <c r="E318" t="s">
        <v>1981</v>
      </c>
      <c r="F318" s="33" t="s">
        <v>939</v>
      </c>
      <c r="G318" s="33" t="s">
        <v>940</v>
      </c>
      <c r="H318" s="46">
        <f t="shared" si="20"/>
        <v>183.5</v>
      </c>
      <c r="I318" s="46">
        <v>29.36</v>
      </c>
      <c r="J318" s="14">
        <f>1573.69-H315-H316-H317-H318</f>
        <v>2.5000000000545697E-3</v>
      </c>
      <c r="K318" s="14">
        <f>251.79-I315-I316-I317-I318</f>
        <v>0</v>
      </c>
      <c r="L318" t="s">
        <v>900</v>
      </c>
    </row>
    <row r="319" spans="1:12">
      <c r="A319" t="s">
        <v>2048</v>
      </c>
      <c r="B319" s="1">
        <v>41364</v>
      </c>
      <c r="C319" t="s">
        <v>2049</v>
      </c>
      <c r="D319">
        <v>1</v>
      </c>
      <c r="E319" t="s">
        <v>2050</v>
      </c>
      <c r="F319" s="33" t="s">
        <v>946</v>
      </c>
      <c r="G319" s="33" t="s">
        <v>947</v>
      </c>
      <c r="H319" s="46">
        <f t="shared" si="20"/>
        <v>255.625</v>
      </c>
      <c r="I319" s="46">
        <f>39.05+1.85</f>
        <v>40.9</v>
      </c>
      <c r="J319" s="3"/>
      <c r="K319" s="3"/>
    </row>
    <row r="320" spans="1:12">
      <c r="A320" t="s">
        <v>2048</v>
      </c>
      <c r="B320" s="1">
        <v>41364</v>
      </c>
      <c r="C320" t="s">
        <v>2049</v>
      </c>
      <c r="D320">
        <v>1</v>
      </c>
      <c r="E320" t="s">
        <v>2050</v>
      </c>
      <c r="F320" s="33" t="s">
        <v>2277</v>
      </c>
      <c r="G320" s="33" t="s">
        <v>2278</v>
      </c>
      <c r="H320" s="46">
        <f t="shared" si="20"/>
        <v>58.625000000000007</v>
      </c>
      <c r="I320" s="46">
        <v>9.3800000000000008</v>
      </c>
    </row>
    <row r="321" spans="1:12">
      <c r="A321" t="s">
        <v>2048</v>
      </c>
      <c r="B321" s="1">
        <v>41364</v>
      </c>
      <c r="C321" t="s">
        <v>2049</v>
      </c>
      <c r="D321">
        <v>1</v>
      </c>
      <c r="E321" t="s">
        <v>2050</v>
      </c>
      <c r="F321" s="33" t="s">
        <v>2343</v>
      </c>
      <c r="G321" s="33" t="s">
        <v>2344</v>
      </c>
      <c r="H321" s="46">
        <f t="shared" si="20"/>
        <v>352.6875</v>
      </c>
      <c r="I321" s="46">
        <v>56.43</v>
      </c>
      <c r="J321" s="14">
        <f>666.94-H319-H320-H321</f>
        <v>2.5000000000545697E-3</v>
      </c>
      <c r="K321" s="14">
        <f>106.71-I319-I320-I321</f>
        <v>0</v>
      </c>
      <c r="L321" t="s">
        <v>900</v>
      </c>
    </row>
    <row r="322" spans="1:12">
      <c r="A322" t="s">
        <v>1407</v>
      </c>
      <c r="B322" s="1">
        <v>41364</v>
      </c>
      <c r="C322" t="s">
        <v>2038</v>
      </c>
      <c r="D322">
        <v>1</v>
      </c>
      <c r="E322" t="s">
        <v>2039</v>
      </c>
      <c r="F322" s="33" t="s">
        <v>946</v>
      </c>
      <c r="G322" s="33" t="s">
        <v>947</v>
      </c>
      <c r="H322" s="46">
        <f t="shared" ref="H322:H341" si="21">I322/0.16</f>
        <v>348.75</v>
      </c>
      <c r="I322" s="46">
        <f>53.8+2</f>
        <v>55.8</v>
      </c>
      <c r="J322" s="3"/>
      <c r="K322" s="3"/>
    </row>
    <row r="323" spans="1:12">
      <c r="A323" t="s">
        <v>1407</v>
      </c>
      <c r="B323" s="1">
        <v>41364</v>
      </c>
      <c r="C323" t="s">
        <v>2038</v>
      </c>
      <c r="D323">
        <v>1</v>
      </c>
      <c r="E323" t="s">
        <v>2039</v>
      </c>
      <c r="F323" s="33" t="s">
        <v>939</v>
      </c>
      <c r="G323" s="33" t="s">
        <v>940</v>
      </c>
      <c r="H323" s="46">
        <f t="shared" si="21"/>
        <v>375.375</v>
      </c>
      <c r="I323" s="46">
        <v>60.06</v>
      </c>
    </row>
    <row r="324" spans="1:12">
      <c r="A324" t="s">
        <v>1407</v>
      </c>
      <c r="B324" s="1">
        <v>41364</v>
      </c>
      <c r="C324" t="s">
        <v>2038</v>
      </c>
      <c r="D324">
        <v>1</v>
      </c>
      <c r="E324" t="s">
        <v>2039</v>
      </c>
      <c r="F324" s="33" t="s">
        <v>2347</v>
      </c>
      <c r="G324" s="33" t="s">
        <v>2348</v>
      </c>
      <c r="H324" s="46">
        <f t="shared" si="21"/>
        <v>93.125</v>
      </c>
      <c r="I324" s="46">
        <v>14.9</v>
      </c>
      <c r="J324" s="14">
        <f>817.25-H322-H323-H324</f>
        <v>0</v>
      </c>
      <c r="K324" s="14">
        <f>130.76-I322-I323-I324</f>
        <v>0</v>
      </c>
      <c r="L324" t="s">
        <v>900</v>
      </c>
    </row>
    <row r="325" spans="1:12">
      <c r="A325" t="s">
        <v>1419</v>
      </c>
      <c r="B325" s="1">
        <v>41364</v>
      </c>
      <c r="C325" t="s">
        <v>2058</v>
      </c>
      <c r="D325">
        <v>1</v>
      </c>
      <c r="E325" t="s">
        <v>2059</v>
      </c>
      <c r="F325" s="33" t="s">
        <v>1674</v>
      </c>
      <c r="G325" s="33" t="s">
        <v>2286</v>
      </c>
      <c r="H325" s="46">
        <f t="shared" si="21"/>
        <v>68.9375</v>
      </c>
      <c r="I325" s="46">
        <v>11.03</v>
      </c>
      <c r="J325" s="3"/>
      <c r="K325" s="3"/>
    </row>
    <row r="326" spans="1:12">
      <c r="A326" t="s">
        <v>1419</v>
      </c>
      <c r="B326" s="1">
        <v>41364</v>
      </c>
      <c r="C326" t="s">
        <v>2058</v>
      </c>
      <c r="D326">
        <v>1</v>
      </c>
      <c r="E326" t="s">
        <v>2059</v>
      </c>
      <c r="F326" s="33" t="s">
        <v>2345</v>
      </c>
      <c r="G326" s="33" t="s">
        <v>2346</v>
      </c>
      <c r="H326" s="46">
        <f t="shared" si="21"/>
        <v>542.1875</v>
      </c>
      <c r="I326" s="46">
        <v>86.75</v>
      </c>
    </row>
    <row r="327" spans="1:12">
      <c r="A327" t="s">
        <v>1419</v>
      </c>
      <c r="B327" s="1">
        <v>41364</v>
      </c>
      <c r="C327" t="s">
        <v>2058</v>
      </c>
      <c r="D327">
        <v>1</v>
      </c>
      <c r="E327" t="s">
        <v>2059</v>
      </c>
      <c r="F327" s="33" t="s">
        <v>946</v>
      </c>
      <c r="G327" s="33" t="s">
        <v>947</v>
      </c>
      <c r="H327" s="46">
        <f t="shared" si="21"/>
        <v>705.3125</v>
      </c>
      <c r="I327" s="46">
        <f>108.84+4.01</f>
        <v>112.85000000000001</v>
      </c>
    </row>
    <row r="328" spans="1:12">
      <c r="A328" t="s">
        <v>1419</v>
      </c>
      <c r="B328" s="1">
        <v>41364</v>
      </c>
      <c r="C328" t="s">
        <v>2058</v>
      </c>
      <c r="D328">
        <v>1</v>
      </c>
      <c r="E328" t="s">
        <v>2059</v>
      </c>
      <c r="F328" s="33" t="s">
        <v>939</v>
      </c>
      <c r="G328" s="33" t="s">
        <v>940</v>
      </c>
      <c r="H328" s="46">
        <f t="shared" si="21"/>
        <v>208.56249999999997</v>
      </c>
      <c r="I328" s="46">
        <v>33.369999999999997</v>
      </c>
      <c r="J328" s="14">
        <f>1525-H325-H326-H327-H328</f>
        <v>0</v>
      </c>
      <c r="K328" s="14">
        <f>244-I325-I326-I327-I328</f>
        <v>0</v>
      </c>
      <c r="L328" t="s">
        <v>900</v>
      </c>
    </row>
    <row r="329" spans="1:12">
      <c r="A329" t="s">
        <v>1411</v>
      </c>
      <c r="B329" s="1">
        <v>41364</v>
      </c>
      <c r="C329" t="s">
        <v>2043</v>
      </c>
      <c r="D329">
        <v>1</v>
      </c>
      <c r="E329" t="s">
        <v>2044</v>
      </c>
      <c r="F329" s="33" t="s">
        <v>919</v>
      </c>
      <c r="G329" s="33" t="s">
        <v>920</v>
      </c>
      <c r="H329" s="46">
        <f t="shared" si="21"/>
        <v>62.124999999999993</v>
      </c>
      <c r="I329" s="46">
        <v>9.94</v>
      </c>
      <c r="J329" s="3"/>
      <c r="K329" s="3"/>
    </row>
    <row r="330" spans="1:12">
      <c r="A330" t="s">
        <v>1411</v>
      </c>
      <c r="B330" s="1">
        <v>41364</v>
      </c>
      <c r="C330" t="s">
        <v>2043</v>
      </c>
      <c r="D330">
        <v>1</v>
      </c>
      <c r="E330" t="s">
        <v>2044</v>
      </c>
      <c r="F330" s="33" t="s">
        <v>946</v>
      </c>
      <c r="G330" s="33" t="s">
        <v>947</v>
      </c>
      <c r="H330" s="46">
        <f t="shared" si="21"/>
        <v>186.56249999999997</v>
      </c>
      <c r="I330" s="46">
        <f>28.29+1.56</f>
        <v>29.849999999999998</v>
      </c>
    </row>
    <row r="331" spans="1:12">
      <c r="A331" t="s">
        <v>1411</v>
      </c>
      <c r="B331" s="1">
        <v>41364</v>
      </c>
      <c r="C331" t="s">
        <v>2043</v>
      </c>
      <c r="D331">
        <v>1</v>
      </c>
      <c r="E331" t="s">
        <v>2044</v>
      </c>
      <c r="F331" s="33" t="s">
        <v>2343</v>
      </c>
      <c r="G331" s="33" t="s">
        <v>2344</v>
      </c>
      <c r="H331" s="46">
        <f t="shared" si="21"/>
        <v>291.875</v>
      </c>
      <c r="I331" s="46">
        <v>46.7</v>
      </c>
      <c r="J331" s="14">
        <f>540.56-H329-H330-H331</f>
        <v>-2.5000000000545697E-3</v>
      </c>
      <c r="K331" s="14">
        <f>86.49-I329-I330-I331</f>
        <v>0</v>
      </c>
      <c r="L331" t="s">
        <v>900</v>
      </c>
    </row>
    <row r="332" spans="1:12">
      <c r="A332" t="s">
        <v>1948</v>
      </c>
      <c r="B332" s="1">
        <v>41364</v>
      </c>
      <c r="C332" t="s">
        <v>1949</v>
      </c>
      <c r="D332">
        <v>1</v>
      </c>
      <c r="E332" t="s">
        <v>1950</v>
      </c>
      <c r="F332" s="33" t="s">
        <v>2339</v>
      </c>
      <c r="G332" s="33" t="s">
        <v>2340</v>
      </c>
      <c r="H332" s="46">
        <f t="shared" si="21"/>
        <v>333.5625</v>
      </c>
      <c r="I332" s="46">
        <v>53.37</v>
      </c>
      <c r="J332" s="3"/>
      <c r="K332" s="3"/>
    </row>
    <row r="333" spans="1:12">
      <c r="A333" t="s">
        <v>1948</v>
      </c>
      <c r="B333" s="1">
        <v>41364</v>
      </c>
      <c r="C333" t="s">
        <v>1949</v>
      </c>
      <c r="D333">
        <v>1</v>
      </c>
      <c r="E333" t="s">
        <v>1950</v>
      </c>
      <c r="F333" s="41" t="s">
        <v>2341</v>
      </c>
      <c r="G333" s="33" t="s">
        <v>2342</v>
      </c>
      <c r="H333" s="46">
        <f t="shared" si="21"/>
        <v>437.875</v>
      </c>
      <c r="I333" s="46">
        <v>70.06</v>
      </c>
    </row>
    <row r="334" spans="1:12">
      <c r="A334" t="s">
        <v>1948</v>
      </c>
      <c r="B334" s="1">
        <v>41364</v>
      </c>
      <c r="C334" t="s">
        <v>1949</v>
      </c>
      <c r="D334">
        <v>1</v>
      </c>
      <c r="E334" t="s">
        <v>1950</v>
      </c>
      <c r="F334" s="63" t="s">
        <v>946</v>
      </c>
      <c r="G334" s="33" t="s">
        <v>947</v>
      </c>
      <c r="H334" s="46">
        <f t="shared" si="21"/>
        <v>148.49999999999997</v>
      </c>
      <c r="I334" s="46">
        <f>19.59+4.17</f>
        <v>23.759999999999998</v>
      </c>
      <c r="J334" s="14">
        <f>919.94-H332-H333-H334</f>
        <v>2.5000000000829914E-3</v>
      </c>
      <c r="K334" s="14">
        <f>147.19-I332-I333-I334</f>
        <v>0</v>
      </c>
      <c r="L334" t="s">
        <v>900</v>
      </c>
    </row>
    <row r="335" spans="1:12">
      <c r="A335" t="s">
        <v>1712</v>
      </c>
      <c r="B335" s="1">
        <v>41364</v>
      </c>
      <c r="C335" t="s">
        <v>2041</v>
      </c>
      <c r="D335">
        <v>1</v>
      </c>
      <c r="E335" t="s">
        <v>2042</v>
      </c>
      <c r="F335" s="33" t="s">
        <v>939</v>
      </c>
      <c r="G335" s="33" t="s">
        <v>940</v>
      </c>
      <c r="H335" s="46">
        <f t="shared" si="21"/>
        <v>292</v>
      </c>
      <c r="I335" s="46">
        <v>46.72</v>
      </c>
      <c r="J335" s="3"/>
      <c r="K335" s="3"/>
    </row>
    <row r="336" spans="1:12">
      <c r="A336" t="s">
        <v>1712</v>
      </c>
      <c r="B336" s="1">
        <v>41364</v>
      </c>
      <c r="C336" t="s">
        <v>2041</v>
      </c>
      <c r="D336">
        <v>1</v>
      </c>
      <c r="E336" t="s">
        <v>2042</v>
      </c>
      <c r="F336" s="33" t="s">
        <v>946</v>
      </c>
      <c r="G336" s="33" t="s">
        <v>947</v>
      </c>
      <c r="H336" s="46">
        <f t="shared" si="21"/>
        <v>627.12499999999989</v>
      </c>
      <c r="I336" s="46">
        <f>96.57+3.77</f>
        <v>100.33999999999999</v>
      </c>
    </row>
    <row r="337" spans="1:12">
      <c r="A337" t="s">
        <v>1712</v>
      </c>
      <c r="B337" s="1">
        <v>41364</v>
      </c>
      <c r="C337" t="s">
        <v>2041</v>
      </c>
      <c r="D337">
        <v>1</v>
      </c>
      <c r="E337" t="s">
        <v>2042</v>
      </c>
      <c r="F337" s="33" t="s">
        <v>913</v>
      </c>
      <c r="G337" s="33" t="s">
        <v>914</v>
      </c>
      <c r="H337" s="46">
        <f t="shared" si="21"/>
        <v>417.1875</v>
      </c>
      <c r="I337" s="46">
        <v>66.75</v>
      </c>
    </row>
    <row r="338" spans="1:12">
      <c r="A338" t="s">
        <v>1712</v>
      </c>
      <c r="B338" s="1">
        <v>41364</v>
      </c>
      <c r="C338" t="s">
        <v>2041</v>
      </c>
      <c r="D338">
        <v>1</v>
      </c>
      <c r="E338" t="s">
        <v>2042</v>
      </c>
      <c r="F338" s="33" t="s">
        <v>933</v>
      </c>
      <c r="G338" s="33" t="s">
        <v>934</v>
      </c>
      <c r="H338" s="46">
        <f t="shared" si="21"/>
        <v>75</v>
      </c>
      <c r="I338" s="46">
        <v>12</v>
      </c>
      <c r="J338" s="14">
        <f>1411.31-H335-H336-H337-H338</f>
        <v>-2.4999999999408828E-3</v>
      </c>
      <c r="K338" s="14">
        <f>225.81-I335-I336-I337-I338</f>
        <v>1.4210854715202004E-14</v>
      </c>
      <c r="L338" t="s">
        <v>900</v>
      </c>
    </row>
    <row r="339" spans="1:12">
      <c r="A339" t="s">
        <v>1413</v>
      </c>
      <c r="B339" s="1">
        <v>41364</v>
      </c>
      <c r="C339" t="s">
        <v>2054</v>
      </c>
      <c r="D339">
        <v>1</v>
      </c>
      <c r="E339" t="s">
        <v>2055</v>
      </c>
      <c r="F339" s="33" t="s">
        <v>1649</v>
      </c>
      <c r="G339" s="33" t="s">
        <v>2335</v>
      </c>
      <c r="H339" s="46">
        <f t="shared" si="21"/>
        <v>62.0625</v>
      </c>
      <c r="I339" s="46">
        <v>9.93</v>
      </c>
      <c r="J339" s="3"/>
      <c r="K339" s="3"/>
    </row>
    <row r="340" spans="1:12">
      <c r="A340" t="s">
        <v>1413</v>
      </c>
      <c r="B340" s="1">
        <v>41364</v>
      </c>
      <c r="C340" t="s">
        <v>2054</v>
      </c>
      <c r="D340">
        <v>1</v>
      </c>
      <c r="E340" t="s">
        <v>2055</v>
      </c>
      <c r="F340" s="33" t="s">
        <v>946</v>
      </c>
      <c r="G340" s="33" t="s">
        <v>947</v>
      </c>
      <c r="H340" s="46">
        <f t="shared" si="21"/>
        <v>216.6875</v>
      </c>
      <c r="I340" s="46">
        <f>33.11+1.56</f>
        <v>34.67</v>
      </c>
    </row>
    <row r="341" spans="1:12">
      <c r="A341" t="s">
        <v>1413</v>
      </c>
      <c r="B341" s="1">
        <v>41364</v>
      </c>
      <c r="C341" t="s">
        <v>2054</v>
      </c>
      <c r="D341">
        <v>1</v>
      </c>
      <c r="E341" t="s">
        <v>2055</v>
      </c>
      <c r="F341" s="33" t="s">
        <v>2336</v>
      </c>
      <c r="G341" s="33" t="s">
        <v>2337</v>
      </c>
      <c r="H341" s="46">
        <f t="shared" si="21"/>
        <v>292.1875</v>
      </c>
      <c r="I341" s="46">
        <v>46.75</v>
      </c>
      <c r="J341" s="14">
        <f>570.94-H339-H340-H341</f>
        <v>2.5000000000545697E-3</v>
      </c>
      <c r="K341" s="14">
        <f>91.35-I339-I340-I341</f>
        <v>0</v>
      </c>
      <c r="L341" t="s">
        <v>900</v>
      </c>
    </row>
    <row r="342" spans="1:12">
      <c r="A342" t="s">
        <v>1752</v>
      </c>
      <c r="B342" s="1">
        <v>41339</v>
      </c>
      <c r="C342" t="s">
        <v>1753</v>
      </c>
      <c r="D342">
        <v>1</v>
      </c>
      <c r="E342" t="s">
        <v>1754</v>
      </c>
      <c r="F342" s="32" t="s">
        <v>890</v>
      </c>
      <c r="G342" s="33" t="s">
        <v>891</v>
      </c>
      <c r="H342" s="3">
        <f>+I342/0.16</f>
        <v>253944.31249999997</v>
      </c>
      <c r="I342" s="3">
        <v>40631.089999999997</v>
      </c>
    </row>
    <row r="343" spans="1:12">
      <c r="A343" t="s">
        <v>1746</v>
      </c>
      <c r="B343" s="1">
        <v>41338</v>
      </c>
      <c r="C343" t="s">
        <v>1747</v>
      </c>
      <c r="D343">
        <v>1</v>
      </c>
      <c r="E343" t="s">
        <v>1748</v>
      </c>
      <c r="F343" s="32" t="s">
        <v>890</v>
      </c>
      <c r="G343" s="33" t="s">
        <v>891</v>
      </c>
      <c r="H343" s="3">
        <f>+I343/0.16</f>
        <v>277751.8125</v>
      </c>
      <c r="I343" s="3">
        <v>44440.29</v>
      </c>
    </row>
    <row r="344" spans="1:12">
      <c r="A344" t="s">
        <v>1743</v>
      </c>
      <c r="B344" s="1">
        <v>41338</v>
      </c>
      <c r="C344" t="s">
        <v>1342</v>
      </c>
      <c r="D344">
        <v>1</v>
      </c>
      <c r="E344" t="s">
        <v>1089</v>
      </c>
      <c r="F344" s="32" t="s">
        <v>890</v>
      </c>
      <c r="G344" s="33" t="s">
        <v>891</v>
      </c>
      <c r="H344" s="3">
        <f>+I344/0.16</f>
        <v>-277752.6875</v>
      </c>
      <c r="I344" s="3">
        <v>-44440.43</v>
      </c>
    </row>
    <row r="345" spans="1:12">
      <c r="A345" t="s">
        <v>1806</v>
      </c>
      <c r="B345" s="1">
        <v>41347</v>
      </c>
      <c r="C345" t="s">
        <v>1807</v>
      </c>
      <c r="D345">
        <v>1</v>
      </c>
      <c r="E345" t="s">
        <v>1808</v>
      </c>
      <c r="F345" s="41" t="s">
        <v>2317</v>
      </c>
      <c r="G345" s="33" t="s">
        <v>1808</v>
      </c>
      <c r="H345" s="3">
        <f>+I345/0.16</f>
        <v>220622.625</v>
      </c>
      <c r="I345" s="3">
        <v>35299.620000000003</v>
      </c>
    </row>
    <row r="346" spans="1:12">
      <c r="A346" t="s">
        <v>2202</v>
      </c>
      <c r="B346" s="1">
        <v>41354</v>
      </c>
      <c r="C346" t="s">
        <v>2203</v>
      </c>
      <c r="D346">
        <v>1</v>
      </c>
      <c r="E346" t="s">
        <v>118</v>
      </c>
      <c r="F346" s="33" t="s">
        <v>889</v>
      </c>
      <c r="G346" s="33" t="s">
        <v>118</v>
      </c>
      <c r="H346" s="3">
        <f>+I346/0.16</f>
        <v>1800</v>
      </c>
      <c r="I346" s="3">
        <v>288</v>
      </c>
    </row>
    <row r="347" spans="1:12">
      <c r="A347" t="s">
        <v>430</v>
      </c>
      <c r="B347" s="1">
        <v>41364</v>
      </c>
      <c r="C347" t="s">
        <v>436</v>
      </c>
      <c r="D347">
        <v>1</v>
      </c>
      <c r="E347" t="s">
        <v>2120</v>
      </c>
      <c r="F347" s="33" t="s">
        <v>2322</v>
      </c>
      <c r="G347" s="33" t="s">
        <v>2323</v>
      </c>
      <c r="H347" s="46">
        <f t="shared" ref="H347:H352" si="22">I347/0.16</f>
        <v>109.5</v>
      </c>
      <c r="I347" s="46">
        <v>17.52</v>
      </c>
      <c r="J347" s="3"/>
      <c r="K347" s="3"/>
    </row>
    <row r="348" spans="1:12">
      <c r="A348" t="s">
        <v>430</v>
      </c>
      <c r="B348" s="1">
        <v>41364</v>
      </c>
      <c r="C348" t="s">
        <v>436</v>
      </c>
      <c r="D348">
        <v>1</v>
      </c>
      <c r="E348" t="s">
        <v>2120</v>
      </c>
      <c r="F348" s="33" t="s">
        <v>2324</v>
      </c>
      <c r="G348" s="33" t="s">
        <v>2325</v>
      </c>
      <c r="H348" s="46">
        <f t="shared" si="22"/>
        <v>375.375</v>
      </c>
      <c r="I348" s="46">
        <v>60.06</v>
      </c>
    </row>
    <row r="349" spans="1:12">
      <c r="A349" t="s">
        <v>430</v>
      </c>
      <c r="B349" s="1">
        <v>41364</v>
      </c>
      <c r="C349" t="s">
        <v>436</v>
      </c>
      <c r="D349">
        <v>1</v>
      </c>
      <c r="E349" t="s">
        <v>2120</v>
      </c>
      <c r="F349" s="33" t="s">
        <v>2329</v>
      </c>
      <c r="G349" s="33" t="s">
        <v>2330</v>
      </c>
      <c r="H349" s="46">
        <f t="shared" si="22"/>
        <v>2978.125</v>
      </c>
      <c r="I349" s="46">
        <v>476.5</v>
      </c>
    </row>
    <row r="350" spans="1:12">
      <c r="A350" t="s">
        <v>430</v>
      </c>
      <c r="B350" s="1">
        <v>41364</v>
      </c>
      <c r="C350" t="s">
        <v>436</v>
      </c>
      <c r="D350">
        <v>1</v>
      </c>
      <c r="E350" t="s">
        <v>2120</v>
      </c>
      <c r="F350" s="33" t="s">
        <v>2331</v>
      </c>
      <c r="G350" s="33" t="s">
        <v>2332</v>
      </c>
      <c r="H350" s="46">
        <f t="shared" si="22"/>
        <v>510.37499999999994</v>
      </c>
      <c r="I350" s="46">
        <v>81.66</v>
      </c>
    </row>
    <row r="351" spans="1:12">
      <c r="A351" t="s">
        <v>430</v>
      </c>
      <c r="B351" s="1">
        <v>41364</v>
      </c>
      <c r="C351" t="s">
        <v>436</v>
      </c>
      <c r="D351">
        <v>1</v>
      </c>
      <c r="E351" t="s">
        <v>2120</v>
      </c>
      <c r="F351" s="33" t="s">
        <v>2331</v>
      </c>
      <c r="G351" s="33" t="s">
        <v>2332</v>
      </c>
      <c r="H351" s="46">
        <f t="shared" si="22"/>
        <v>127.5625</v>
      </c>
      <c r="I351" s="46">
        <v>20.41</v>
      </c>
    </row>
    <row r="352" spans="1:12">
      <c r="A352" t="s">
        <v>430</v>
      </c>
      <c r="B352" s="1">
        <v>41364</v>
      </c>
      <c r="C352" t="s">
        <v>436</v>
      </c>
      <c r="D352">
        <v>1</v>
      </c>
      <c r="E352" t="s">
        <v>2120</v>
      </c>
      <c r="F352" s="33" t="s">
        <v>2333</v>
      </c>
      <c r="G352" s="33" t="s">
        <v>2334</v>
      </c>
      <c r="H352" s="46">
        <f t="shared" si="22"/>
        <v>207.75</v>
      </c>
      <c r="I352" s="46">
        <v>33.24</v>
      </c>
      <c r="J352" s="14">
        <f>4308.69-H347-H348-H349-H350-H351-H352</f>
        <v>2.4999999996566658E-3</v>
      </c>
      <c r="K352" s="14">
        <f>689.39-I347-I348-I349-I350-I351-I352</f>
        <v>0</v>
      </c>
    </row>
    <row r="353" spans="1:11">
      <c r="A353" t="s">
        <v>2121</v>
      </c>
      <c r="B353" s="1">
        <v>41364</v>
      </c>
      <c r="C353" t="s">
        <v>436</v>
      </c>
      <c r="D353">
        <v>1</v>
      </c>
      <c r="E353" t="s">
        <v>2122</v>
      </c>
      <c r="F353" s="33" t="s">
        <v>2322</v>
      </c>
      <c r="G353" s="33" t="s">
        <v>2323</v>
      </c>
      <c r="H353" s="3">
        <f t="shared" ref="H353:H358" si="23">+I353/0.16</f>
        <v>109.5</v>
      </c>
      <c r="I353" s="3">
        <v>17.52</v>
      </c>
    </row>
    <row r="354" spans="1:11">
      <c r="A354" t="s">
        <v>2121</v>
      </c>
      <c r="B354" s="1">
        <v>41364</v>
      </c>
      <c r="C354" t="s">
        <v>436</v>
      </c>
      <c r="D354">
        <v>1</v>
      </c>
      <c r="E354" t="s">
        <v>2122</v>
      </c>
      <c r="F354" s="33" t="s">
        <v>2326</v>
      </c>
      <c r="G354" s="33" t="s">
        <v>2327</v>
      </c>
      <c r="H354" s="3">
        <f t="shared" si="23"/>
        <v>119.81250000000001</v>
      </c>
      <c r="I354" s="3">
        <v>19.170000000000002</v>
      </c>
    </row>
    <row r="355" spans="1:11">
      <c r="A355" t="s">
        <v>2121</v>
      </c>
      <c r="B355" s="1">
        <v>41364</v>
      </c>
      <c r="C355" t="s">
        <v>436</v>
      </c>
      <c r="D355">
        <v>1</v>
      </c>
      <c r="E355" t="s">
        <v>2122</v>
      </c>
      <c r="F355" s="33" t="s">
        <v>2326</v>
      </c>
      <c r="G355" s="33" t="s">
        <v>2328</v>
      </c>
      <c r="H355" s="3">
        <f t="shared" si="23"/>
        <v>128.4375</v>
      </c>
      <c r="I355" s="3">
        <v>20.55</v>
      </c>
    </row>
    <row r="356" spans="1:11">
      <c r="A356" t="s">
        <v>2121</v>
      </c>
      <c r="B356" s="1">
        <v>41364</v>
      </c>
      <c r="C356" t="s">
        <v>436</v>
      </c>
      <c r="D356">
        <v>1</v>
      </c>
      <c r="E356" t="s">
        <v>2122</v>
      </c>
      <c r="F356" s="33" t="s">
        <v>2324</v>
      </c>
      <c r="G356" s="33" t="s">
        <v>2325</v>
      </c>
      <c r="H356" s="3">
        <f t="shared" si="23"/>
        <v>250.25</v>
      </c>
      <c r="I356" s="3">
        <v>40.04</v>
      </c>
    </row>
    <row r="357" spans="1:11">
      <c r="A357" t="s">
        <v>2121</v>
      </c>
      <c r="B357" s="1">
        <v>41364</v>
      </c>
      <c r="C357" t="s">
        <v>436</v>
      </c>
      <c r="D357">
        <v>1</v>
      </c>
      <c r="E357" t="s">
        <v>2122</v>
      </c>
      <c r="F357" s="33" t="s">
        <v>877</v>
      </c>
      <c r="G357" s="33" t="s">
        <v>223</v>
      </c>
      <c r="H357" s="3">
        <f t="shared" si="23"/>
        <v>349.875</v>
      </c>
      <c r="I357" s="3">
        <v>55.98</v>
      </c>
    </row>
    <row r="358" spans="1:11">
      <c r="A358" t="s">
        <v>2121</v>
      </c>
      <c r="B358" s="1">
        <v>41364</v>
      </c>
      <c r="C358" t="s">
        <v>436</v>
      </c>
      <c r="D358">
        <v>1</v>
      </c>
      <c r="E358" t="s">
        <v>2122</v>
      </c>
      <c r="F358" s="33" t="s">
        <v>1588</v>
      </c>
      <c r="G358" s="33" t="s">
        <v>1589</v>
      </c>
      <c r="H358" s="3">
        <f t="shared" si="23"/>
        <v>2142</v>
      </c>
      <c r="I358" s="3">
        <v>342.72</v>
      </c>
    </row>
    <row r="359" spans="1:11">
      <c r="A359" t="s">
        <v>1464</v>
      </c>
      <c r="B359" s="1">
        <v>41364</v>
      </c>
      <c r="C359" t="s">
        <v>436</v>
      </c>
      <c r="D359">
        <v>1</v>
      </c>
      <c r="E359" t="s">
        <v>2119</v>
      </c>
      <c r="F359" s="33" t="s">
        <v>2322</v>
      </c>
      <c r="G359" s="33" t="s">
        <v>2323</v>
      </c>
      <c r="H359" s="46">
        <f>I359/0.16</f>
        <v>115.5</v>
      </c>
      <c r="I359" s="46">
        <v>18.48</v>
      </c>
    </row>
    <row r="360" spans="1:11">
      <c r="A360" t="s">
        <v>1464</v>
      </c>
      <c r="B360" s="1">
        <v>41364</v>
      </c>
      <c r="C360" t="s">
        <v>436</v>
      </c>
      <c r="D360">
        <v>1</v>
      </c>
      <c r="E360" t="s">
        <v>2119</v>
      </c>
      <c r="F360" s="33" t="s">
        <v>2318</v>
      </c>
      <c r="G360" s="33" t="s">
        <v>2319</v>
      </c>
      <c r="H360" s="46">
        <f>I360/0.16</f>
        <v>72.4375</v>
      </c>
      <c r="I360" s="46">
        <v>11.59</v>
      </c>
    </row>
    <row r="361" spans="1:11">
      <c r="A361" t="s">
        <v>1464</v>
      </c>
      <c r="B361" s="1">
        <v>41364</v>
      </c>
      <c r="C361" t="s">
        <v>436</v>
      </c>
      <c r="D361">
        <v>1</v>
      </c>
      <c r="E361" t="s">
        <v>2119</v>
      </c>
      <c r="F361" s="33" t="s">
        <v>2320</v>
      </c>
      <c r="G361" s="33" t="s">
        <v>2321</v>
      </c>
      <c r="H361" s="46">
        <f>I361/0.16</f>
        <v>93.9375</v>
      </c>
      <c r="I361" s="46">
        <v>15.03</v>
      </c>
    </row>
    <row r="362" spans="1:11">
      <c r="A362" t="s">
        <v>1464</v>
      </c>
      <c r="B362" s="1">
        <v>41364</v>
      </c>
      <c r="C362" t="s">
        <v>436</v>
      </c>
      <c r="D362">
        <v>1</v>
      </c>
      <c r="E362" t="s">
        <v>2119</v>
      </c>
      <c r="F362" s="33" t="s">
        <v>1588</v>
      </c>
      <c r="G362" s="33" t="s">
        <v>1589</v>
      </c>
      <c r="H362" s="46">
        <f>I362/0.16</f>
        <v>1606.5</v>
      </c>
      <c r="I362" s="46">
        <v>257.04000000000002</v>
      </c>
      <c r="J362" s="14">
        <f>1888.38-H359-H360-H361-H362</f>
        <v>5.0000000001091394E-3</v>
      </c>
      <c r="K362" s="14">
        <f>302.14-I359-I360-I361-I362</f>
        <v>0</v>
      </c>
    </row>
    <row r="363" spans="1:11">
      <c r="A363" t="s">
        <v>2256</v>
      </c>
      <c r="B363" s="1">
        <v>41360</v>
      </c>
      <c r="C363" t="s">
        <v>2257</v>
      </c>
      <c r="D363">
        <v>1</v>
      </c>
      <c r="E363" t="s">
        <v>1287</v>
      </c>
      <c r="F363" s="33" t="s">
        <v>1728</v>
      </c>
      <c r="G363" s="33" t="s">
        <v>1287</v>
      </c>
      <c r="H363" s="3">
        <f>+I363/0.16</f>
        <v>285</v>
      </c>
      <c r="I363" s="3">
        <v>45.6</v>
      </c>
    </row>
    <row r="365" spans="1:11">
      <c r="H365" s="3">
        <f>SUM(H10:H363)</f>
        <v>22440383.5</v>
      </c>
      <c r="I365" s="3">
        <f>SUM(I10:I363)</f>
        <v>3590461.3600000008</v>
      </c>
      <c r="J365" s="14"/>
    </row>
    <row r="366" spans="1:11">
      <c r="H366" s="3">
        <f>3822914.8-232453.44</f>
        <v>3590461.36</v>
      </c>
      <c r="I366" s="3">
        <f>+I365-H366</f>
        <v>0</v>
      </c>
      <c r="K366" s="148">
        <f>+K159</f>
        <v>0</v>
      </c>
    </row>
    <row r="370" spans="1:10">
      <c r="A370" s="151"/>
      <c r="B370" s="151"/>
      <c r="C370" s="151"/>
      <c r="D370" s="151"/>
      <c r="E370" s="151"/>
      <c r="F370" s="151" t="s">
        <v>724</v>
      </c>
      <c r="G370" s="151" t="s">
        <v>725</v>
      </c>
      <c r="H370" s="152" t="s">
        <v>732</v>
      </c>
      <c r="I370" s="151" t="s">
        <v>726</v>
      </c>
      <c r="J370" s="151" t="s">
        <v>7073</v>
      </c>
    </row>
    <row r="371" spans="1:10">
      <c r="A371" s="174" t="s">
        <v>7099</v>
      </c>
      <c r="B371">
        <v>6</v>
      </c>
      <c r="F371" s="33" t="s">
        <v>2294</v>
      </c>
      <c r="G371" s="33" t="s">
        <v>2295</v>
      </c>
      <c r="H371" s="3">
        <f>+I371/0.16</f>
        <v>1691.4375</v>
      </c>
      <c r="I371" s="3">
        <f>+SUMIF($F$10:$F$363,F371,$I$10:$I$363)</f>
        <v>270.63</v>
      </c>
      <c r="J371">
        <v>67.66</v>
      </c>
    </row>
    <row r="372" spans="1:10">
      <c r="A372" s="174" t="s">
        <v>7099</v>
      </c>
      <c r="B372">
        <v>85</v>
      </c>
      <c r="F372" s="33" t="s">
        <v>1574</v>
      </c>
      <c r="G372" s="33" t="s">
        <v>1760</v>
      </c>
      <c r="H372" s="3">
        <f t="shared" ref="H372:H435" si="24">+I372/0.16</f>
        <v>630523.12500000012</v>
      </c>
      <c r="I372" s="3">
        <f t="shared" ref="I372:I435" si="25">+SUMIF($F$10:$F$363,F372,$I$10:$I$363)</f>
        <v>100883.70000000001</v>
      </c>
    </row>
    <row r="373" spans="1:10">
      <c r="A373" s="174" t="s">
        <v>7099</v>
      </c>
      <c r="B373">
        <v>85</v>
      </c>
      <c r="F373" s="37" t="s">
        <v>1578</v>
      </c>
      <c r="G373" s="44" t="s">
        <v>1579</v>
      </c>
      <c r="H373" s="3">
        <f t="shared" si="24"/>
        <v>938.3125</v>
      </c>
      <c r="I373" s="3">
        <f t="shared" si="25"/>
        <v>150.13</v>
      </c>
    </row>
    <row r="374" spans="1:10">
      <c r="A374" s="174" t="s">
        <v>7099</v>
      </c>
      <c r="B374">
        <v>85</v>
      </c>
      <c r="F374" s="33" t="s">
        <v>939</v>
      </c>
      <c r="G374" s="33" t="s">
        <v>940</v>
      </c>
      <c r="H374" s="3">
        <f t="shared" si="24"/>
        <v>1810.125</v>
      </c>
      <c r="I374" s="3">
        <f t="shared" si="25"/>
        <v>289.62</v>
      </c>
    </row>
    <row r="375" spans="1:10">
      <c r="A375" s="174" t="s">
        <v>7099</v>
      </c>
      <c r="B375">
        <v>85</v>
      </c>
      <c r="F375" s="33" t="s">
        <v>1649</v>
      </c>
      <c r="G375" s="33" t="s">
        <v>1650</v>
      </c>
      <c r="H375" s="3">
        <f t="shared" si="24"/>
        <v>135.3125</v>
      </c>
      <c r="I375" s="3">
        <f t="shared" si="25"/>
        <v>21.65</v>
      </c>
    </row>
    <row r="376" spans="1:10">
      <c r="A376" s="174" t="s">
        <v>7099</v>
      </c>
      <c r="B376">
        <v>85</v>
      </c>
      <c r="F376" s="33" t="s">
        <v>2269</v>
      </c>
      <c r="G376" s="33" t="s">
        <v>2080</v>
      </c>
      <c r="H376" s="3">
        <f t="shared" si="24"/>
        <v>1050</v>
      </c>
      <c r="I376" s="3">
        <f t="shared" si="25"/>
        <v>168</v>
      </c>
    </row>
    <row r="377" spans="1:10">
      <c r="A377" s="174" t="s">
        <v>7099</v>
      </c>
      <c r="B377">
        <v>85</v>
      </c>
      <c r="F377" s="33" t="s">
        <v>748</v>
      </c>
      <c r="G377" s="33" t="s">
        <v>481</v>
      </c>
      <c r="H377" s="3">
        <f t="shared" si="24"/>
        <v>258.5</v>
      </c>
      <c r="I377" s="3">
        <f t="shared" si="25"/>
        <v>41.36</v>
      </c>
    </row>
    <row r="378" spans="1:10">
      <c r="A378" s="174" t="s">
        <v>7099</v>
      </c>
      <c r="B378">
        <v>85</v>
      </c>
      <c r="F378" s="41" t="s">
        <v>745</v>
      </c>
      <c r="G378" s="37" t="s">
        <v>746</v>
      </c>
      <c r="H378" s="3">
        <f t="shared" si="24"/>
        <v>256977.75</v>
      </c>
      <c r="I378" s="3">
        <f t="shared" si="25"/>
        <v>41116.44</v>
      </c>
    </row>
    <row r="379" spans="1:10">
      <c r="A379" s="174" t="s">
        <v>7099</v>
      </c>
      <c r="B379">
        <v>85</v>
      </c>
      <c r="F379" s="33" t="s">
        <v>2301</v>
      </c>
      <c r="G379" s="33" t="s">
        <v>2031</v>
      </c>
      <c r="H379" s="3">
        <f t="shared" si="24"/>
        <v>50</v>
      </c>
      <c r="I379" s="3">
        <f t="shared" si="25"/>
        <v>8</v>
      </c>
    </row>
    <row r="380" spans="1:10">
      <c r="A380" s="174" t="s">
        <v>7099</v>
      </c>
      <c r="B380">
        <v>85</v>
      </c>
      <c r="F380" s="32" t="s">
        <v>736</v>
      </c>
      <c r="G380" s="33" t="s">
        <v>737</v>
      </c>
      <c r="H380" s="3">
        <f t="shared" si="24"/>
        <v>211715.1875</v>
      </c>
      <c r="I380" s="3">
        <f t="shared" si="25"/>
        <v>33874.43</v>
      </c>
    </row>
    <row r="381" spans="1:10">
      <c r="A381" s="174" t="s">
        <v>7099</v>
      </c>
      <c r="B381">
        <v>85</v>
      </c>
      <c r="F381" s="32" t="s">
        <v>734</v>
      </c>
      <c r="G381" s="33" t="s">
        <v>735</v>
      </c>
      <c r="H381" s="3">
        <f t="shared" si="24"/>
        <v>277752.8125</v>
      </c>
      <c r="I381" s="3">
        <f t="shared" si="25"/>
        <v>44440.45</v>
      </c>
    </row>
    <row r="382" spans="1:10">
      <c r="A382" s="174" t="s">
        <v>7099</v>
      </c>
      <c r="B382">
        <v>85</v>
      </c>
      <c r="F382" s="33" t="s">
        <v>2267</v>
      </c>
      <c r="G382" s="33" t="s">
        <v>1757</v>
      </c>
      <c r="H382" s="3">
        <f t="shared" si="24"/>
        <v>531696</v>
      </c>
      <c r="I382" s="3">
        <f t="shared" si="25"/>
        <v>85071.360000000001</v>
      </c>
    </row>
    <row r="383" spans="1:10">
      <c r="A383" s="174" t="s">
        <v>7099</v>
      </c>
      <c r="B383">
        <v>85</v>
      </c>
      <c r="F383" s="33" t="s">
        <v>1572</v>
      </c>
      <c r="G383" s="33" t="s">
        <v>1251</v>
      </c>
      <c r="H383" s="3">
        <f t="shared" si="24"/>
        <v>277752.6875</v>
      </c>
      <c r="I383" s="3">
        <f t="shared" si="25"/>
        <v>44440.43</v>
      </c>
    </row>
    <row r="384" spans="1:10">
      <c r="A384" s="174" t="s">
        <v>7099</v>
      </c>
      <c r="B384">
        <v>85</v>
      </c>
      <c r="F384" s="41" t="s">
        <v>821</v>
      </c>
      <c r="G384" s="41" t="s">
        <v>2272</v>
      </c>
      <c r="H384" s="3">
        <f t="shared" si="24"/>
        <v>320</v>
      </c>
      <c r="I384" s="3">
        <f t="shared" si="25"/>
        <v>51.2</v>
      </c>
    </row>
    <row r="385" spans="1:9">
      <c r="A385" s="174" t="s">
        <v>7099</v>
      </c>
      <c r="B385">
        <v>85</v>
      </c>
      <c r="F385" s="42" t="s">
        <v>827</v>
      </c>
      <c r="G385" s="39" t="s">
        <v>828</v>
      </c>
      <c r="H385" s="3">
        <f t="shared" si="24"/>
        <v>12806.6875</v>
      </c>
      <c r="I385" s="3">
        <f t="shared" si="25"/>
        <v>2049.0700000000002</v>
      </c>
    </row>
    <row r="386" spans="1:9">
      <c r="A386" s="174" t="s">
        <v>7099</v>
      </c>
      <c r="B386">
        <v>85</v>
      </c>
      <c r="F386" s="41" t="s">
        <v>823</v>
      </c>
      <c r="G386" s="43" t="s">
        <v>824</v>
      </c>
      <c r="H386" s="3">
        <f t="shared" si="24"/>
        <v>446.99999999999994</v>
      </c>
      <c r="I386" s="3">
        <f t="shared" si="25"/>
        <v>71.52</v>
      </c>
    </row>
    <row r="387" spans="1:9">
      <c r="A387" s="174" t="s">
        <v>7099</v>
      </c>
      <c r="B387">
        <v>85</v>
      </c>
      <c r="F387" s="41" t="s">
        <v>950</v>
      </c>
      <c r="G387" s="43" t="s">
        <v>951</v>
      </c>
      <c r="H387" s="3">
        <f t="shared" si="24"/>
        <v>9021.8125</v>
      </c>
      <c r="I387" s="3">
        <f t="shared" si="25"/>
        <v>1443.49</v>
      </c>
    </row>
    <row r="388" spans="1:9">
      <c r="A388" s="174" t="s">
        <v>7099</v>
      </c>
      <c r="B388">
        <v>85</v>
      </c>
      <c r="F388" s="33" t="s">
        <v>751</v>
      </c>
      <c r="G388" s="60" t="s">
        <v>2315</v>
      </c>
      <c r="H388" s="3">
        <f t="shared" si="24"/>
        <v>68.9375</v>
      </c>
      <c r="I388" s="3">
        <f t="shared" si="25"/>
        <v>11.03</v>
      </c>
    </row>
    <row r="389" spans="1:9">
      <c r="A389" s="174" t="s">
        <v>7099</v>
      </c>
      <c r="B389">
        <v>85</v>
      </c>
      <c r="F389" s="41" t="s">
        <v>825</v>
      </c>
      <c r="G389" s="43" t="s">
        <v>826</v>
      </c>
      <c r="H389" s="3">
        <f t="shared" si="24"/>
        <v>139</v>
      </c>
      <c r="I389" s="3">
        <f t="shared" si="25"/>
        <v>22.24</v>
      </c>
    </row>
    <row r="390" spans="1:9">
      <c r="A390" s="174" t="s">
        <v>7099</v>
      </c>
      <c r="B390">
        <v>85</v>
      </c>
      <c r="F390" s="32" t="s">
        <v>772</v>
      </c>
      <c r="G390" s="33" t="s">
        <v>29</v>
      </c>
      <c r="H390" s="3">
        <f t="shared" si="24"/>
        <v>1113064.0000000002</v>
      </c>
      <c r="I390" s="3">
        <f t="shared" si="25"/>
        <v>178090.24000000005</v>
      </c>
    </row>
    <row r="391" spans="1:9">
      <c r="A391" s="174" t="s">
        <v>7099</v>
      </c>
      <c r="B391">
        <v>85</v>
      </c>
      <c r="F391" s="41" t="s">
        <v>755</v>
      </c>
      <c r="G391" s="33" t="s">
        <v>756</v>
      </c>
      <c r="H391" s="3">
        <f t="shared" si="24"/>
        <v>1411306.9375</v>
      </c>
      <c r="I391" s="3">
        <f t="shared" si="25"/>
        <v>225809.11000000002</v>
      </c>
    </row>
    <row r="392" spans="1:9">
      <c r="A392" s="174" t="s">
        <v>7099</v>
      </c>
      <c r="B392">
        <v>85</v>
      </c>
      <c r="F392" s="33" t="s">
        <v>1575</v>
      </c>
      <c r="G392" s="33" t="s">
        <v>1421</v>
      </c>
      <c r="H392" s="3">
        <f t="shared" si="24"/>
        <v>648.31249999999989</v>
      </c>
      <c r="I392" s="3">
        <f t="shared" si="25"/>
        <v>103.72999999999999</v>
      </c>
    </row>
    <row r="393" spans="1:9">
      <c r="A393" s="174" t="s">
        <v>7099</v>
      </c>
      <c r="B393">
        <v>85</v>
      </c>
      <c r="F393" s="39" t="s">
        <v>764</v>
      </c>
      <c r="G393" s="39" t="s">
        <v>100</v>
      </c>
      <c r="H393" s="3">
        <f t="shared" si="24"/>
        <v>22587.9375</v>
      </c>
      <c r="I393" s="3">
        <f t="shared" si="25"/>
        <v>3614.07</v>
      </c>
    </row>
    <row r="394" spans="1:9">
      <c r="A394" s="174" t="s">
        <v>7099</v>
      </c>
      <c r="B394">
        <v>85</v>
      </c>
      <c r="F394" s="33" t="s">
        <v>770</v>
      </c>
      <c r="G394" s="33" t="s">
        <v>1142</v>
      </c>
      <c r="H394" s="3">
        <f t="shared" si="24"/>
        <v>35770.000000000007</v>
      </c>
      <c r="I394" s="3">
        <f t="shared" si="25"/>
        <v>5723.2000000000007</v>
      </c>
    </row>
    <row r="395" spans="1:9">
      <c r="A395" s="174" t="s">
        <v>7099</v>
      </c>
      <c r="B395">
        <v>85</v>
      </c>
      <c r="F395" s="33" t="s">
        <v>773</v>
      </c>
      <c r="G395" s="33" t="s">
        <v>514</v>
      </c>
      <c r="H395" s="3">
        <f t="shared" si="24"/>
        <v>82.75</v>
      </c>
      <c r="I395" s="3">
        <f t="shared" si="25"/>
        <v>13.24</v>
      </c>
    </row>
    <row r="396" spans="1:9">
      <c r="A396" s="174" t="s">
        <v>7099</v>
      </c>
      <c r="B396">
        <v>85</v>
      </c>
      <c r="F396" s="33" t="s">
        <v>767</v>
      </c>
      <c r="G396" s="33" t="s">
        <v>549</v>
      </c>
      <c r="H396" s="3">
        <f t="shared" si="24"/>
        <v>931.0625</v>
      </c>
      <c r="I396" s="3">
        <f t="shared" si="25"/>
        <v>148.97</v>
      </c>
    </row>
    <row r="397" spans="1:9">
      <c r="A397" s="174" t="s">
        <v>7099</v>
      </c>
      <c r="B397">
        <v>85</v>
      </c>
      <c r="F397" s="33" t="s">
        <v>1601</v>
      </c>
      <c r="G397" s="33" t="s">
        <v>2109</v>
      </c>
      <c r="H397" s="3">
        <f t="shared" si="24"/>
        <v>840</v>
      </c>
      <c r="I397" s="3">
        <f t="shared" si="25"/>
        <v>134.4</v>
      </c>
    </row>
    <row r="398" spans="1:9">
      <c r="A398" s="174" t="s">
        <v>7099</v>
      </c>
      <c r="B398">
        <v>85</v>
      </c>
      <c r="F398" s="33" t="s">
        <v>2292</v>
      </c>
      <c r="G398" s="33" t="s">
        <v>2132</v>
      </c>
      <c r="H398" s="3">
        <f t="shared" si="24"/>
        <v>8300</v>
      </c>
      <c r="I398" s="3">
        <f t="shared" si="25"/>
        <v>1328</v>
      </c>
    </row>
    <row r="399" spans="1:9">
      <c r="A399" s="174" t="s">
        <v>7099</v>
      </c>
      <c r="B399">
        <v>85</v>
      </c>
      <c r="F399" s="33" t="s">
        <v>1587</v>
      </c>
      <c r="G399" s="33" t="s">
        <v>1239</v>
      </c>
      <c r="H399" s="3">
        <f t="shared" si="24"/>
        <v>204</v>
      </c>
      <c r="I399" s="3">
        <f t="shared" si="25"/>
        <v>32.64</v>
      </c>
    </row>
    <row r="400" spans="1:9">
      <c r="A400" s="174" t="s">
        <v>7099</v>
      </c>
      <c r="B400">
        <v>85</v>
      </c>
      <c r="F400" s="33" t="s">
        <v>769</v>
      </c>
      <c r="G400" s="33" t="s">
        <v>2275</v>
      </c>
      <c r="H400" s="3">
        <f t="shared" si="24"/>
        <v>4310.3125</v>
      </c>
      <c r="I400" s="3">
        <f t="shared" si="25"/>
        <v>689.65</v>
      </c>
    </row>
    <row r="401" spans="1:10">
      <c r="A401" s="174" t="s">
        <v>7099</v>
      </c>
      <c r="B401">
        <v>85</v>
      </c>
      <c r="F401" s="33" t="s">
        <v>1576</v>
      </c>
      <c r="G401" s="33" t="s">
        <v>1059</v>
      </c>
      <c r="H401" s="3">
        <f t="shared" si="24"/>
        <v>1241.375</v>
      </c>
      <c r="I401" s="3">
        <f t="shared" si="25"/>
        <v>198.62</v>
      </c>
    </row>
    <row r="402" spans="1:10">
      <c r="A402" s="174" t="s">
        <v>7099</v>
      </c>
      <c r="B402">
        <v>85</v>
      </c>
      <c r="F402" s="33" t="s">
        <v>752</v>
      </c>
      <c r="G402" s="33" t="s">
        <v>552</v>
      </c>
      <c r="H402" s="3">
        <f t="shared" si="24"/>
        <v>37.9375</v>
      </c>
      <c r="I402" s="3">
        <f t="shared" si="25"/>
        <v>6.07</v>
      </c>
    </row>
    <row r="403" spans="1:10">
      <c r="A403" s="174" t="s">
        <v>7099</v>
      </c>
      <c r="B403">
        <v>85</v>
      </c>
      <c r="F403" s="33" t="s">
        <v>944</v>
      </c>
      <c r="G403" s="33" t="s">
        <v>1889</v>
      </c>
      <c r="H403" s="3">
        <f t="shared" si="24"/>
        <v>220622.625</v>
      </c>
      <c r="I403" s="3">
        <f t="shared" si="25"/>
        <v>35299.620000000003</v>
      </c>
    </row>
    <row r="404" spans="1:10">
      <c r="A404" s="174" t="s">
        <v>7099</v>
      </c>
      <c r="B404">
        <v>85</v>
      </c>
      <c r="F404" s="33" t="s">
        <v>2290</v>
      </c>
      <c r="G404" s="33" t="s">
        <v>2291</v>
      </c>
      <c r="H404" s="3">
        <f t="shared" si="24"/>
        <v>425</v>
      </c>
      <c r="I404" s="3">
        <f t="shared" si="25"/>
        <v>68</v>
      </c>
    </row>
    <row r="405" spans="1:10">
      <c r="A405" s="174" t="s">
        <v>7099</v>
      </c>
      <c r="B405">
        <v>85</v>
      </c>
      <c r="F405" s="33" t="s">
        <v>2320</v>
      </c>
      <c r="G405" s="33" t="s">
        <v>2321</v>
      </c>
      <c r="H405" s="3">
        <f t="shared" si="24"/>
        <v>93.9375</v>
      </c>
      <c r="I405" s="3">
        <f t="shared" si="25"/>
        <v>15.03</v>
      </c>
    </row>
    <row r="406" spans="1:10">
      <c r="A406" s="174" t="s">
        <v>7099</v>
      </c>
      <c r="B406">
        <v>85</v>
      </c>
      <c r="F406" s="41" t="s">
        <v>1594</v>
      </c>
      <c r="G406" s="33" t="s">
        <v>973</v>
      </c>
      <c r="H406" s="3">
        <f t="shared" si="24"/>
        <v>38248.874999999993</v>
      </c>
      <c r="I406" s="3">
        <f t="shared" si="25"/>
        <v>6119.8199999999988</v>
      </c>
    </row>
    <row r="407" spans="1:10">
      <c r="A407" s="174" t="s">
        <v>7099</v>
      </c>
      <c r="B407">
        <v>85</v>
      </c>
      <c r="F407" s="33" t="s">
        <v>781</v>
      </c>
      <c r="G407" s="33" t="s">
        <v>80</v>
      </c>
      <c r="H407" s="3">
        <f t="shared" si="24"/>
        <v>2396</v>
      </c>
      <c r="I407" s="3">
        <f t="shared" si="25"/>
        <v>383.36</v>
      </c>
    </row>
    <row r="408" spans="1:10">
      <c r="A408" s="174" t="s">
        <v>7099</v>
      </c>
      <c r="B408">
        <v>85</v>
      </c>
      <c r="F408" s="33" t="s">
        <v>780</v>
      </c>
      <c r="G408" s="33" t="s">
        <v>373</v>
      </c>
      <c r="H408" s="3">
        <f t="shared" si="24"/>
        <v>15000</v>
      </c>
      <c r="I408" s="3">
        <f t="shared" si="25"/>
        <v>2400</v>
      </c>
    </row>
    <row r="409" spans="1:10">
      <c r="A409" s="174" t="s">
        <v>7099</v>
      </c>
      <c r="B409">
        <v>85</v>
      </c>
      <c r="F409" s="33" t="s">
        <v>784</v>
      </c>
      <c r="G409" s="33" t="s">
        <v>618</v>
      </c>
      <c r="H409" s="3">
        <f t="shared" si="24"/>
        <v>172.4375</v>
      </c>
      <c r="I409" s="3">
        <f t="shared" si="25"/>
        <v>27.59</v>
      </c>
    </row>
    <row r="410" spans="1:10">
      <c r="A410" s="174" t="s">
        <v>7099</v>
      </c>
      <c r="B410">
        <v>85</v>
      </c>
      <c r="F410" s="33" t="s">
        <v>954</v>
      </c>
      <c r="G410" s="33" t="s">
        <v>2276</v>
      </c>
      <c r="H410" s="3">
        <f t="shared" si="24"/>
        <v>393.49999999999994</v>
      </c>
      <c r="I410" s="3">
        <f t="shared" si="25"/>
        <v>62.959999999999994</v>
      </c>
    </row>
    <row r="411" spans="1:10">
      <c r="A411" s="174" t="s">
        <v>7099</v>
      </c>
      <c r="B411">
        <v>85</v>
      </c>
      <c r="F411" s="33" t="s">
        <v>2324</v>
      </c>
      <c r="G411" s="33" t="s">
        <v>2325</v>
      </c>
      <c r="H411" s="3">
        <f t="shared" si="24"/>
        <v>625.625</v>
      </c>
      <c r="I411" s="3">
        <f t="shared" si="25"/>
        <v>100.1</v>
      </c>
    </row>
    <row r="412" spans="1:10">
      <c r="A412" s="174" t="s">
        <v>7099</v>
      </c>
      <c r="B412">
        <v>85</v>
      </c>
      <c r="F412" s="33" t="s">
        <v>1611</v>
      </c>
      <c r="G412" s="33" t="s">
        <v>1612</v>
      </c>
      <c r="H412" s="3">
        <f t="shared" si="24"/>
        <v>367.0625</v>
      </c>
      <c r="I412" s="3">
        <f t="shared" si="25"/>
        <v>58.73</v>
      </c>
    </row>
    <row r="413" spans="1:10">
      <c r="A413" s="174" t="s">
        <v>7099</v>
      </c>
      <c r="B413">
        <v>6</v>
      </c>
      <c r="F413" s="33" t="s">
        <v>2302</v>
      </c>
      <c r="G413" s="33" t="s">
        <v>1969</v>
      </c>
      <c r="H413" s="3">
        <f t="shared" si="24"/>
        <v>1553.5625</v>
      </c>
      <c r="I413" s="3">
        <f t="shared" si="25"/>
        <v>248.57</v>
      </c>
      <c r="J413">
        <v>62.14</v>
      </c>
    </row>
    <row r="414" spans="1:10">
      <c r="A414" s="174" t="s">
        <v>7099</v>
      </c>
      <c r="B414">
        <v>85</v>
      </c>
      <c r="F414" s="33" t="s">
        <v>794</v>
      </c>
      <c r="G414" s="33" t="s">
        <v>612</v>
      </c>
      <c r="H414" s="3">
        <f t="shared" si="24"/>
        <v>228.00000000000003</v>
      </c>
      <c r="I414" s="3">
        <f t="shared" si="25"/>
        <v>36.480000000000004</v>
      </c>
    </row>
    <row r="415" spans="1:10">
      <c r="A415" s="174" t="s">
        <v>7099</v>
      </c>
      <c r="B415">
        <v>85</v>
      </c>
      <c r="F415" s="37" t="s">
        <v>1598</v>
      </c>
      <c r="G415" s="33" t="s">
        <v>1599</v>
      </c>
      <c r="H415" s="3">
        <f t="shared" si="24"/>
        <v>277751.8125</v>
      </c>
      <c r="I415" s="3">
        <f t="shared" si="25"/>
        <v>44440.29</v>
      </c>
    </row>
    <row r="416" spans="1:10">
      <c r="A416" s="174" t="s">
        <v>7099</v>
      </c>
      <c r="B416">
        <v>85</v>
      </c>
      <c r="F416" s="33" t="s">
        <v>793</v>
      </c>
      <c r="G416" s="33" t="s">
        <v>22</v>
      </c>
      <c r="H416" s="3">
        <f t="shared" si="24"/>
        <v>86549.937500000015</v>
      </c>
      <c r="I416" s="3">
        <f t="shared" si="25"/>
        <v>13847.990000000002</v>
      </c>
    </row>
    <row r="417" spans="1:11">
      <c r="A417" s="174" t="s">
        <v>7099</v>
      </c>
      <c r="B417">
        <v>85</v>
      </c>
      <c r="F417" s="33" t="s">
        <v>778</v>
      </c>
      <c r="G417" s="33" t="s">
        <v>2026</v>
      </c>
      <c r="H417" s="3">
        <f t="shared" si="24"/>
        <v>1000</v>
      </c>
      <c r="I417" s="3">
        <f t="shared" si="25"/>
        <v>160</v>
      </c>
    </row>
    <row r="418" spans="1:11">
      <c r="A418" s="174" t="s">
        <v>7099</v>
      </c>
      <c r="B418">
        <v>85</v>
      </c>
      <c r="F418" s="33" t="s">
        <v>2352</v>
      </c>
      <c r="G418" s="33" t="s">
        <v>2353</v>
      </c>
      <c r="H418" s="3">
        <f t="shared" si="24"/>
        <v>139.375</v>
      </c>
      <c r="I418" s="3">
        <f t="shared" si="25"/>
        <v>22.3</v>
      </c>
    </row>
    <row r="419" spans="1:11">
      <c r="A419" s="174" t="s">
        <v>7099</v>
      </c>
      <c r="B419">
        <v>85</v>
      </c>
      <c r="F419" s="33" t="s">
        <v>798</v>
      </c>
      <c r="G419" s="33" t="s">
        <v>77</v>
      </c>
      <c r="H419" s="3">
        <f t="shared" si="24"/>
        <v>2195.1249999999995</v>
      </c>
      <c r="I419" s="3">
        <f t="shared" si="25"/>
        <v>351.21999999999997</v>
      </c>
    </row>
    <row r="420" spans="1:11">
      <c r="A420" s="174" t="s">
        <v>7099</v>
      </c>
      <c r="B420">
        <v>85</v>
      </c>
      <c r="F420" s="33" t="s">
        <v>2354</v>
      </c>
      <c r="G420" s="33" t="s">
        <v>2355</v>
      </c>
      <c r="H420" s="3">
        <f t="shared" si="24"/>
        <v>529.0625</v>
      </c>
      <c r="I420" s="3">
        <f t="shared" si="25"/>
        <v>84.65</v>
      </c>
    </row>
    <row r="421" spans="1:11">
      <c r="A421" s="174" t="s">
        <v>7099</v>
      </c>
      <c r="B421">
        <v>85</v>
      </c>
      <c r="F421" s="33" t="s">
        <v>946</v>
      </c>
      <c r="G421" s="33" t="s">
        <v>947</v>
      </c>
      <c r="H421" s="3">
        <f t="shared" si="24"/>
        <v>10463.437499999998</v>
      </c>
      <c r="I421" s="3">
        <f t="shared" si="25"/>
        <v>1674.1499999999999</v>
      </c>
    </row>
    <row r="422" spans="1:11">
      <c r="A422" s="174" t="s">
        <v>7099</v>
      </c>
      <c r="B422">
        <v>85</v>
      </c>
      <c r="F422" s="33" t="s">
        <v>1687</v>
      </c>
      <c r="G422" s="33" t="s">
        <v>1688</v>
      </c>
      <c r="H422" s="3">
        <f t="shared" si="24"/>
        <v>595.625</v>
      </c>
      <c r="I422" s="3">
        <f t="shared" si="25"/>
        <v>95.3</v>
      </c>
    </row>
    <row r="423" spans="1:11">
      <c r="A423" s="174" t="s">
        <v>7099</v>
      </c>
      <c r="B423">
        <v>85</v>
      </c>
      <c r="F423" s="41" t="s">
        <v>2285</v>
      </c>
      <c r="G423" s="33" t="s">
        <v>1800</v>
      </c>
      <c r="H423" s="3">
        <f t="shared" si="24"/>
        <v>215976.5625</v>
      </c>
      <c r="I423" s="3">
        <f t="shared" si="25"/>
        <v>34556.25</v>
      </c>
    </row>
    <row r="424" spans="1:11">
      <c r="A424" s="174" t="s">
        <v>7099</v>
      </c>
      <c r="B424">
        <v>85</v>
      </c>
      <c r="F424" s="33" t="s">
        <v>2277</v>
      </c>
      <c r="G424" s="33" t="s">
        <v>2278</v>
      </c>
      <c r="H424" s="3">
        <f t="shared" si="24"/>
        <v>425.5</v>
      </c>
      <c r="I424" s="3">
        <f t="shared" si="25"/>
        <v>68.08</v>
      </c>
    </row>
    <row r="425" spans="1:11">
      <c r="A425" s="174" t="s">
        <v>7099</v>
      </c>
      <c r="B425">
        <v>85</v>
      </c>
      <c r="F425" s="33" t="s">
        <v>2336</v>
      </c>
      <c r="G425" s="33" t="s">
        <v>2337</v>
      </c>
      <c r="H425" s="3">
        <f t="shared" si="24"/>
        <v>292.1875</v>
      </c>
      <c r="I425" s="3">
        <f t="shared" si="25"/>
        <v>46.75</v>
      </c>
    </row>
    <row r="426" spans="1:11">
      <c r="A426" s="174" t="s">
        <v>7099</v>
      </c>
      <c r="B426">
        <v>6</v>
      </c>
      <c r="F426" s="33" t="s">
        <v>2293</v>
      </c>
      <c r="G426" s="33" t="s">
        <v>270</v>
      </c>
      <c r="H426" s="3">
        <f t="shared" si="24"/>
        <v>7146.6875</v>
      </c>
      <c r="I426" s="3">
        <f t="shared" si="25"/>
        <v>1143.47</v>
      </c>
      <c r="J426" s="164">
        <v>285.87</v>
      </c>
      <c r="K426" t="s">
        <v>7080</v>
      </c>
    </row>
    <row r="427" spans="1:11">
      <c r="A427" s="174" t="s">
        <v>7099</v>
      </c>
      <c r="B427">
        <v>85</v>
      </c>
      <c r="F427" s="33" t="s">
        <v>1600</v>
      </c>
      <c r="G427" s="33" t="s">
        <v>1011</v>
      </c>
      <c r="H427" s="3">
        <f t="shared" si="24"/>
        <v>10379.375</v>
      </c>
      <c r="I427" s="3">
        <f t="shared" si="25"/>
        <v>1660.7</v>
      </c>
    </row>
    <row r="428" spans="1:11">
      <c r="A428" s="174" t="s">
        <v>7099</v>
      </c>
      <c r="B428">
        <v>85</v>
      </c>
      <c r="F428" s="41" t="s">
        <v>830</v>
      </c>
      <c r="G428" s="43" t="s">
        <v>831</v>
      </c>
      <c r="H428" s="3">
        <f t="shared" si="24"/>
        <v>416</v>
      </c>
      <c r="I428" s="3">
        <f t="shared" si="25"/>
        <v>66.56</v>
      </c>
    </row>
    <row r="429" spans="1:11">
      <c r="A429" s="174" t="s">
        <v>7099</v>
      </c>
      <c r="B429">
        <v>85</v>
      </c>
      <c r="F429" s="33" t="s">
        <v>803</v>
      </c>
      <c r="G429" s="33" t="s">
        <v>74</v>
      </c>
      <c r="H429" s="3">
        <f t="shared" si="24"/>
        <v>27484.9375</v>
      </c>
      <c r="I429" s="3">
        <f t="shared" si="25"/>
        <v>4397.59</v>
      </c>
    </row>
    <row r="430" spans="1:11">
      <c r="A430" s="174" t="s">
        <v>7099</v>
      </c>
      <c r="B430">
        <v>85</v>
      </c>
      <c r="F430" s="33" t="s">
        <v>801</v>
      </c>
      <c r="G430" s="33" t="s">
        <v>215</v>
      </c>
      <c r="H430" s="3">
        <f t="shared" si="24"/>
        <v>10500</v>
      </c>
      <c r="I430" s="3">
        <f t="shared" si="25"/>
        <v>1680</v>
      </c>
    </row>
    <row r="431" spans="1:11">
      <c r="A431" s="174" t="s">
        <v>7099</v>
      </c>
      <c r="B431">
        <v>85</v>
      </c>
      <c r="F431" s="33" t="s">
        <v>805</v>
      </c>
      <c r="G431" s="33" t="s">
        <v>112</v>
      </c>
      <c r="H431" s="3">
        <f t="shared" si="24"/>
        <v>25000</v>
      </c>
      <c r="I431" s="3">
        <f t="shared" si="25"/>
        <v>4000</v>
      </c>
    </row>
    <row r="432" spans="1:11">
      <c r="A432" s="174" t="s">
        <v>7099</v>
      </c>
      <c r="B432">
        <v>85</v>
      </c>
      <c r="F432" s="33" t="s">
        <v>1588</v>
      </c>
      <c r="G432" s="33" t="s">
        <v>1589</v>
      </c>
      <c r="H432" s="3">
        <f t="shared" si="24"/>
        <v>3748.5</v>
      </c>
      <c r="I432" s="3">
        <f t="shared" si="25"/>
        <v>599.76</v>
      </c>
    </row>
    <row r="433" spans="1:10">
      <c r="A433" s="174" t="s">
        <v>7099</v>
      </c>
      <c r="B433">
        <v>85</v>
      </c>
      <c r="F433" s="33" t="s">
        <v>2329</v>
      </c>
      <c r="G433" s="33" t="s">
        <v>2330</v>
      </c>
      <c r="H433" s="3">
        <f t="shared" si="24"/>
        <v>2978.125</v>
      </c>
      <c r="I433" s="3">
        <f t="shared" si="25"/>
        <v>476.5</v>
      </c>
    </row>
    <row r="434" spans="1:10">
      <c r="A434" s="174" t="s">
        <v>7099</v>
      </c>
      <c r="B434">
        <v>85</v>
      </c>
      <c r="F434" s="33" t="s">
        <v>802</v>
      </c>
      <c r="G434" s="33" t="s">
        <v>226</v>
      </c>
      <c r="H434" s="3">
        <f t="shared" si="24"/>
        <v>459</v>
      </c>
      <c r="I434" s="3">
        <f t="shared" si="25"/>
        <v>73.44</v>
      </c>
    </row>
    <row r="435" spans="1:10">
      <c r="A435" s="174" t="s">
        <v>7099</v>
      </c>
      <c r="B435">
        <v>85</v>
      </c>
      <c r="F435" s="33" t="s">
        <v>806</v>
      </c>
      <c r="G435" s="33" t="s">
        <v>207</v>
      </c>
      <c r="H435" s="3">
        <f t="shared" si="24"/>
        <v>2866.5</v>
      </c>
      <c r="I435" s="3">
        <f t="shared" si="25"/>
        <v>458.64</v>
      </c>
    </row>
    <row r="436" spans="1:10">
      <c r="A436" s="174" t="s">
        <v>7099</v>
      </c>
      <c r="B436">
        <v>85</v>
      </c>
      <c r="F436" s="33" t="s">
        <v>811</v>
      </c>
      <c r="G436" s="33" t="s">
        <v>2289</v>
      </c>
      <c r="H436" s="3">
        <f t="shared" ref="H436:H499" si="26">+I436/0.16</f>
        <v>12</v>
      </c>
      <c r="I436" s="3">
        <f t="shared" ref="I436:I499" si="27">+SUMIF($F$10:$F$363,F436,$I$10:$I$363)</f>
        <v>1.92</v>
      </c>
    </row>
    <row r="437" spans="1:10">
      <c r="A437" s="174" t="s">
        <v>7099</v>
      </c>
      <c r="B437">
        <v>85</v>
      </c>
      <c r="F437" s="33" t="s">
        <v>2299</v>
      </c>
      <c r="G437" s="33" t="s">
        <v>2300</v>
      </c>
      <c r="H437" s="3">
        <f t="shared" si="26"/>
        <v>178.62499999999997</v>
      </c>
      <c r="I437" s="3">
        <f t="shared" si="27"/>
        <v>28.58</v>
      </c>
    </row>
    <row r="438" spans="1:10">
      <c r="A438" s="174" t="s">
        <v>7099</v>
      </c>
      <c r="B438">
        <v>6</v>
      </c>
      <c r="F438" s="41" t="s">
        <v>816</v>
      </c>
      <c r="G438" s="33" t="s">
        <v>5</v>
      </c>
      <c r="H438" s="3">
        <f t="shared" si="26"/>
        <v>107142.875</v>
      </c>
      <c r="I438" s="3">
        <f t="shared" si="27"/>
        <v>17142.86</v>
      </c>
      <c r="J438">
        <v>11428.57</v>
      </c>
    </row>
    <row r="439" spans="1:10">
      <c r="A439" s="174" t="s">
        <v>7099</v>
      </c>
      <c r="B439">
        <v>85</v>
      </c>
      <c r="F439" s="33" t="s">
        <v>1674</v>
      </c>
      <c r="G439" s="33" t="s">
        <v>2286</v>
      </c>
      <c r="H439" s="3">
        <f t="shared" si="26"/>
        <v>155.125</v>
      </c>
      <c r="I439" s="3">
        <f t="shared" si="27"/>
        <v>24.82</v>
      </c>
    </row>
    <row r="440" spans="1:10">
      <c r="A440" s="174" t="s">
        <v>7099</v>
      </c>
      <c r="B440">
        <v>85</v>
      </c>
      <c r="F440" s="33" t="s">
        <v>2347</v>
      </c>
      <c r="G440" s="33" t="s">
        <v>2348</v>
      </c>
      <c r="H440" s="3">
        <f t="shared" si="26"/>
        <v>93.125</v>
      </c>
      <c r="I440" s="3">
        <f t="shared" si="27"/>
        <v>14.9</v>
      </c>
    </row>
    <row r="441" spans="1:10">
      <c r="A441" s="174" t="s">
        <v>7099</v>
      </c>
      <c r="B441">
        <v>85</v>
      </c>
      <c r="F441" s="33" t="s">
        <v>2303</v>
      </c>
      <c r="G441" s="33" t="s">
        <v>2088</v>
      </c>
      <c r="H441" s="3">
        <f t="shared" si="26"/>
        <v>580</v>
      </c>
      <c r="I441" s="3">
        <f t="shared" si="27"/>
        <v>92.8</v>
      </c>
    </row>
    <row r="442" spans="1:10">
      <c r="A442" s="174" t="s">
        <v>7099</v>
      </c>
      <c r="B442">
        <v>85</v>
      </c>
      <c r="F442" s="33" t="s">
        <v>738</v>
      </c>
      <c r="G442" s="33" t="s">
        <v>2268</v>
      </c>
      <c r="H442" s="3">
        <f t="shared" si="26"/>
        <v>143.375</v>
      </c>
      <c r="I442" s="3">
        <f t="shared" si="27"/>
        <v>22.94</v>
      </c>
    </row>
    <row r="443" spans="1:10">
      <c r="A443" s="174" t="s">
        <v>7099</v>
      </c>
      <c r="B443">
        <v>85</v>
      </c>
      <c r="F443" s="33" t="s">
        <v>952</v>
      </c>
      <c r="G443" s="33" t="s">
        <v>115</v>
      </c>
      <c r="H443" s="3">
        <f t="shared" si="26"/>
        <v>2128</v>
      </c>
      <c r="I443" s="3">
        <f t="shared" si="27"/>
        <v>340.48</v>
      </c>
    </row>
    <row r="444" spans="1:10">
      <c r="A444" s="174" t="s">
        <v>7099</v>
      </c>
      <c r="B444">
        <v>85</v>
      </c>
      <c r="F444" s="33" t="s">
        <v>2305</v>
      </c>
      <c r="G444" s="33" t="s">
        <v>2157</v>
      </c>
      <c r="H444" s="3">
        <f t="shared" si="26"/>
        <v>1720</v>
      </c>
      <c r="I444" s="3">
        <f t="shared" si="27"/>
        <v>275.2</v>
      </c>
    </row>
    <row r="445" spans="1:10">
      <c r="A445" s="174" t="s">
        <v>7099</v>
      </c>
      <c r="B445">
        <v>85</v>
      </c>
      <c r="F445" s="33" t="s">
        <v>836</v>
      </c>
      <c r="G445" s="33" t="s">
        <v>558</v>
      </c>
      <c r="H445" s="3">
        <f t="shared" si="26"/>
        <v>100</v>
      </c>
      <c r="I445" s="3">
        <f t="shared" si="27"/>
        <v>16</v>
      </c>
    </row>
    <row r="446" spans="1:10">
      <c r="A446" s="174" t="s">
        <v>7099</v>
      </c>
      <c r="B446">
        <v>85</v>
      </c>
      <c r="F446" s="33" t="s">
        <v>820</v>
      </c>
      <c r="G446" s="33" t="s">
        <v>97</v>
      </c>
      <c r="H446" s="3">
        <f t="shared" si="26"/>
        <v>4130.4375</v>
      </c>
      <c r="I446" s="3">
        <f t="shared" si="27"/>
        <v>660.87</v>
      </c>
    </row>
    <row r="447" spans="1:10">
      <c r="A447" s="174" t="s">
        <v>7099</v>
      </c>
      <c r="B447">
        <v>85</v>
      </c>
      <c r="F447" s="33" t="s">
        <v>917</v>
      </c>
      <c r="G447" s="33" t="s">
        <v>130</v>
      </c>
      <c r="H447" s="3">
        <f t="shared" si="26"/>
        <v>706.0625</v>
      </c>
      <c r="I447" s="3">
        <f t="shared" si="27"/>
        <v>112.97</v>
      </c>
    </row>
    <row r="448" spans="1:10">
      <c r="A448" s="174" t="s">
        <v>7099</v>
      </c>
      <c r="B448">
        <v>85</v>
      </c>
      <c r="F448" s="33" t="s">
        <v>2349</v>
      </c>
      <c r="G448" s="33" t="s">
        <v>2350</v>
      </c>
      <c r="H448" s="3">
        <f t="shared" si="26"/>
        <v>129.375</v>
      </c>
      <c r="I448" s="3">
        <f t="shared" si="27"/>
        <v>20.7</v>
      </c>
    </row>
    <row r="449" spans="1:10">
      <c r="A449" s="174" t="s">
        <v>7099</v>
      </c>
      <c r="B449">
        <v>85</v>
      </c>
      <c r="F449" s="33" t="s">
        <v>1615</v>
      </c>
      <c r="G449" s="33" t="s">
        <v>1449</v>
      </c>
      <c r="H449" s="3">
        <f t="shared" si="26"/>
        <v>392.6875</v>
      </c>
      <c r="I449" s="3">
        <f t="shared" si="27"/>
        <v>62.83</v>
      </c>
    </row>
    <row r="450" spans="1:10">
      <c r="A450" s="174" t="s">
        <v>7099</v>
      </c>
      <c r="B450">
        <v>85</v>
      </c>
      <c r="F450" s="33" t="s">
        <v>2345</v>
      </c>
      <c r="G450" s="33" t="s">
        <v>2346</v>
      </c>
      <c r="H450" s="3">
        <f t="shared" si="26"/>
        <v>542.1875</v>
      </c>
      <c r="I450" s="3">
        <f t="shared" si="27"/>
        <v>86.75</v>
      </c>
    </row>
    <row r="451" spans="1:10">
      <c r="A451" s="174" t="s">
        <v>7099</v>
      </c>
      <c r="B451">
        <v>85</v>
      </c>
      <c r="F451" s="33" t="s">
        <v>818</v>
      </c>
      <c r="G451" s="33" t="s">
        <v>584</v>
      </c>
      <c r="H451" s="3">
        <f t="shared" si="26"/>
        <v>555</v>
      </c>
      <c r="I451" s="3">
        <f t="shared" si="27"/>
        <v>88.8</v>
      </c>
    </row>
    <row r="452" spans="1:10">
      <c r="A452" s="174" t="s">
        <v>7099</v>
      </c>
      <c r="B452">
        <v>85</v>
      </c>
      <c r="F452" s="33" t="s">
        <v>2304</v>
      </c>
      <c r="G452" s="33" t="s">
        <v>1738</v>
      </c>
      <c r="H452" s="3">
        <f t="shared" si="26"/>
        <v>277751.8125</v>
      </c>
      <c r="I452" s="3">
        <f t="shared" si="27"/>
        <v>44440.29</v>
      </c>
    </row>
    <row r="453" spans="1:10">
      <c r="A453" s="174" t="s">
        <v>7099</v>
      </c>
      <c r="B453">
        <v>85</v>
      </c>
      <c r="F453" s="33" t="s">
        <v>733</v>
      </c>
      <c r="G453" s="33" t="s">
        <v>124</v>
      </c>
      <c r="H453" s="3">
        <f t="shared" si="26"/>
        <v>6614.6874999999991</v>
      </c>
      <c r="I453" s="3">
        <f t="shared" si="27"/>
        <v>1058.3499999999999</v>
      </c>
    </row>
    <row r="454" spans="1:10">
      <c r="A454" s="174" t="s">
        <v>7099</v>
      </c>
      <c r="B454">
        <v>85</v>
      </c>
      <c r="F454" s="33" t="s">
        <v>839</v>
      </c>
      <c r="G454" s="33" t="s">
        <v>229</v>
      </c>
      <c r="H454" s="3">
        <f t="shared" si="26"/>
        <v>1536</v>
      </c>
      <c r="I454" s="3">
        <f t="shared" si="27"/>
        <v>245.76</v>
      </c>
    </row>
    <row r="455" spans="1:10">
      <c r="A455" s="174" t="s">
        <v>7099</v>
      </c>
      <c r="B455">
        <v>85</v>
      </c>
      <c r="F455" s="33" t="s">
        <v>1619</v>
      </c>
      <c r="G455" s="33" t="s">
        <v>1013</v>
      </c>
      <c r="H455" s="3">
        <f t="shared" si="26"/>
        <v>3500</v>
      </c>
      <c r="I455" s="3">
        <f t="shared" si="27"/>
        <v>560</v>
      </c>
    </row>
    <row r="456" spans="1:10">
      <c r="A456" s="174" t="s">
        <v>7099</v>
      </c>
      <c r="B456">
        <v>85</v>
      </c>
      <c r="F456" s="33" t="s">
        <v>838</v>
      </c>
      <c r="G456" s="33" t="s">
        <v>49</v>
      </c>
      <c r="H456" s="3">
        <f t="shared" si="26"/>
        <v>474.125</v>
      </c>
      <c r="I456" s="3">
        <f t="shared" si="27"/>
        <v>75.86</v>
      </c>
    </row>
    <row r="457" spans="1:10">
      <c r="A457" s="174" t="s">
        <v>7099</v>
      </c>
      <c r="B457">
        <v>6</v>
      </c>
      <c r="F457" s="41" t="s">
        <v>843</v>
      </c>
      <c r="G457" s="33" t="s">
        <v>844</v>
      </c>
      <c r="H457" s="3">
        <f t="shared" si="26"/>
        <v>107142.875</v>
      </c>
      <c r="I457" s="3">
        <f t="shared" si="27"/>
        <v>17142.86</v>
      </c>
      <c r="J457">
        <v>11428.57</v>
      </c>
    </row>
    <row r="458" spans="1:10">
      <c r="A458" s="174" t="s">
        <v>7099</v>
      </c>
      <c r="B458">
        <v>85</v>
      </c>
      <c r="F458" s="41" t="s">
        <v>1620</v>
      </c>
      <c r="G458" s="33" t="s">
        <v>1186</v>
      </c>
      <c r="H458" s="3">
        <f t="shared" si="26"/>
        <v>9984.8125</v>
      </c>
      <c r="I458" s="3">
        <f t="shared" si="27"/>
        <v>1597.5700000000002</v>
      </c>
    </row>
    <row r="459" spans="1:10">
      <c r="A459" s="174" t="s">
        <v>7099</v>
      </c>
      <c r="B459">
        <v>85</v>
      </c>
      <c r="F459" s="33" t="s">
        <v>847</v>
      </c>
      <c r="G459" s="33" t="s">
        <v>541</v>
      </c>
      <c r="H459" s="3">
        <f t="shared" si="26"/>
        <v>371.1875</v>
      </c>
      <c r="I459" s="3">
        <f t="shared" si="27"/>
        <v>59.39</v>
      </c>
    </row>
    <row r="460" spans="1:10">
      <c r="A460" s="174" t="s">
        <v>7099</v>
      </c>
      <c r="B460">
        <v>85</v>
      </c>
      <c r="F460" s="41" t="s">
        <v>854</v>
      </c>
      <c r="G460" s="33" t="s">
        <v>855</v>
      </c>
      <c r="H460" s="3">
        <f t="shared" si="26"/>
        <v>211715.1875</v>
      </c>
      <c r="I460" s="3">
        <f t="shared" si="27"/>
        <v>33874.43</v>
      </c>
    </row>
    <row r="461" spans="1:10">
      <c r="A461" s="174" t="s">
        <v>7099</v>
      </c>
      <c r="B461">
        <v>85</v>
      </c>
      <c r="F461" s="33" t="s">
        <v>852</v>
      </c>
      <c r="G461" s="33" t="s">
        <v>2023</v>
      </c>
      <c r="H461" s="3">
        <f t="shared" si="26"/>
        <v>65.5</v>
      </c>
      <c r="I461" s="3">
        <f t="shared" si="27"/>
        <v>10.48</v>
      </c>
    </row>
    <row r="462" spans="1:10">
      <c r="A462" s="174" t="s">
        <v>7099</v>
      </c>
      <c r="B462">
        <v>85</v>
      </c>
      <c r="F462" s="37" t="s">
        <v>856</v>
      </c>
      <c r="G462" s="33" t="s">
        <v>857</v>
      </c>
      <c r="H462" s="3">
        <f t="shared" si="26"/>
        <v>1137064.6875</v>
      </c>
      <c r="I462" s="3">
        <f t="shared" si="27"/>
        <v>181930.35</v>
      </c>
    </row>
    <row r="463" spans="1:10">
      <c r="A463" s="174" t="s">
        <v>7099</v>
      </c>
      <c r="B463">
        <v>85</v>
      </c>
      <c r="F463" s="33" t="s">
        <v>851</v>
      </c>
      <c r="G463" s="33" t="s">
        <v>86</v>
      </c>
      <c r="H463" s="3">
        <f t="shared" si="26"/>
        <v>5071.4999999999991</v>
      </c>
      <c r="I463" s="3">
        <f t="shared" si="27"/>
        <v>811.43999999999994</v>
      </c>
    </row>
    <row r="464" spans="1:10">
      <c r="A464" s="174" t="s">
        <v>7099</v>
      </c>
      <c r="B464">
        <v>85</v>
      </c>
      <c r="F464" s="33" t="s">
        <v>2296</v>
      </c>
      <c r="G464" s="33" t="s">
        <v>2297</v>
      </c>
      <c r="H464" s="3">
        <f t="shared" si="26"/>
        <v>240.50000000000003</v>
      </c>
      <c r="I464" s="3">
        <f t="shared" si="27"/>
        <v>38.480000000000004</v>
      </c>
    </row>
    <row r="465" spans="1:9">
      <c r="A465" s="174" t="s">
        <v>7099</v>
      </c>
      <c r="B465">
        <v>85</v>
      </c>
      <c r="F465" s="33" t="s">
        <v>2310</v>
      </c>
      <c r="G465" s="33" t="s">
        <v>2114</v>
      </c>
      <c r="H465" s="3">
        <f t="shared" si="26"/>
        <v>550</v>
      </c>
      <c r="I465" s="3">
        <f t="shared" si="27"/>
        <v>88</v>
      </c>
    </row>
    <row r="466" spans="1:9">
      <c r="A466" s="174" t="s">
        <v>7099</v>
      </c>
      <c r="B466">
        <v>85</v>
      </c>
      <c r="F466" s="33" t="s">
        <v>2326</v>
      </c>
      <c r="G466" s="33" t="s">
        <v>2327</v>
      </c>
      <c r="H466" s="3">
        <f t="shared" si="26"/>
        <v>248.25</v>
      </c>
      <c r="I466" s="3">
        <f t="shared" si="27"/>
        <v>39.72</v>
      </c>
    </row>
    <row r="467" spans="1:9">
      <c r="A467" s="174" t="s">
        <v>7099</v>
      </c>
      <c r="B467">
        <v>85</v>
      </c>
      <c r="F467" s="33" t="s">
        <v>2331</v>
      </c>
      <c r="G467" s="33" t="s">
        <v>2332</v>
      </c>
      <c r="H467" s="3">
        <f t="shared" si="26"/>
        <v>637.9375</v>
      </c>
      <c r="I467" s="3">
        <f t="shared" si="27"/>
        <v>102.07</v>
      </c>
    </row>
    <row r="468" spans="1:9">
      <c r="A468" s="174" t="s">
        <v>7099</v>
      </c>
      <c r="B468">
        <v>85</v>
      </c>
      <c r="F468" s="33" t="s">
        <v>849</v>
      </c>
      <c r="G468" s="33" t="s">
        <v>127</v>
      </c>
      <c r="H468" s="3">
        <f t="shared" si="26"/>
        <v>8200</v>
      </c>
      <c r="I468" s="3">
        <f t="shared" si="27"/>
        <v>1312</v>
      </c>
    </row>
    <row r="469" spans="1:9">
      <c r="A469" s="174" t="s">
        <v>7099</v>
      </c>
      <c r="B469">
        <v>85</v>
      </c>
      <c r="F469" s="33" t="s">
        <v>2308</v>
      </c>
      <c r="G469" s="33" t="s">
        <v>2309</v>
      </c>
      <c r="H469" s="3">
        <f t="shared" si="26"/>
        <v>68.125</v>
      </c>
      <c r="I469" s="3">
        <f t="shared" si="27"/>
        <v>10.9</v>
      </c>
    </row>
    <row r="470" spans="1:9">
      <c r="A470" s="174" t="s">
        <v>7099</v>
      </c>
      <c r="B470">
        <v>85</v>
      </c>
      <c r="F470" s="33" t="s">
        <v>850</v>
      </c>
      <c r="G470" s="33" t="s">
        <v>89</v>
      </c>
      <c r="H470" s="3">
        <f t="shared" si="26"/>
        <v>21450</v>
      </c>
      <c r="I470" s="3">
        <f t="shared" si="27"/>
        <v>3432</v>
      </c>
    </row>
    <row r="471" spans="1:9">
      <c r="A471" s="174" t="s">
        <v>7099</v>
      </c>
      <c r="B471">
        <v>85</v>
      </c>
      <c r="F471" s="33" t="s">
        <v>2287</v>
      </c>
      <c r="G471" s="33" t="s">
        <v>2288</v>
      </c>
      <c r="H471" s="3">
        <f t="shared" si="26"/>
        <v>425.6875</v>
      </c>
      <c r="I471" s="3">
        <f t="shared" si="27"/>
        <v>68.11</v>
      </c>
    </row>
    <row r="472" spans="1:9">
      <c r="A472" s="174" t="s">
        <v>7099</v>
      </c>
      <c r="B472">
        <v>85</v>
      </c>
      <c r="F472" s="37" t="s">
        <v>1626</v>
      </c>
      <c r="G472" s="33" t="s">
        <v>1627</v>
      </c>
      <c r="H472" s="3">
        <f t="shared" si="26"/>
        <v>349316.9375</v>
      </c>
      <c r="I472" s="3">
        <f t="shared" si="27"/>
        <v>55890.71</v>
      </c>
    </row>
    <row r="473" spans="1:9">
      <c r="A473" s="174" t="s">
        <v>7099</v>
      </c>
      <c r="B473">
        <v>85</v>
      </c>
      <c r="F473" s="33" t="s">
        <v>858</v>
      </c>
      <c r="G473" s="33" t="s">
        <v>121</v>
      </c>
      <c r="H473" s="3">
        <f t="shared" si="26"/>
        <v>1050</v>
      </c>
      <c r="I473" s="3">
        <f t="shared" si="27"/>
        <v>168</v>
      </c>
    </row>
    <row r="474" spans="1:9">
      <c r="A474" s="174" t="s">
        <v>7099</v>
      </c>
      <c r="B474">
        <v>85</v>
      </c>
      <c r="F474" s="33" t="s">
        <v>927</v>
      </c>
      <c r="G474" s="33" t="s">
        <v>928</v>
      </c>
      <c r="H474" s="3">
        <f t="shared" si="26"/>
        <v>130</v>
      </c>
      <c r="I474" s="3">
        <f t="shared" si="27"/>
        <v>20.8</v>
      </c>
    </row>
    <row r="475" spans="1:9">
      <c r="A475" s="174" t="s">
        <v>7099</v>
      </c>
      <c r="B475">
        <v>85</v>
      </c>
      <c r="F475" s="33" t="s">
        <v>2279</v>
      </c>
      <c r="G475" s="33" t="s">
        <v>2280</v>
      </c>
      <c r="H475" s="3">
        <f t="shared" si="26"/>
        <v>174.625</v>
      </c>
      <c r="I475" s="3">
        <f t="shared" si="27"/>
        <v>27.94</v>
      </c>
    </row>
    <row r="476" spans="1:9">
      <c r="A476" s="174" t="s">
        <v>7099</v>
      </c>
      <c r="B476">
        <v>85</v>
      </c>
      <c r="F476" s="33" t="s">
        <v>2273</v>
      </c>
      <c r="G476" s="33" t="s">
        <v>2274</v>
      </c>
      <c r="H476" s="3">
        <f t="shared" si="26"/>
        <v>69.8125</v>
      </c>
      <c r="I476" s="3">
        <f t="shared" si="27"/>
        <v>11.17</v>
      </c>
    </row>
    <row r="477" spans="1:9">
      <c r="A477" s="174" t="s">
        <v>7099</v>
      </c>
      <c r="B477">
        <v>85</v>
      </c>
      <c r="F477" s="33" t="s">
        <v>2283</v>
      </c>
      <c r="G477" s="33" t="s">
        <v>2284</v>
      </c>
      <c r="H477" s="3">
        <f t="shared" si="26"/>
        <v>1473.125</v>
      </c>
      <c r="I477" s="3">
        <f t="shared" si="27"/>
        <v>235.7</v>
      </c>
    </row>
    <row r="478" spans="1:9">
      <c r="A478" s="174" t="s">
        <v>7099</v>
      </c>
      <c r="B478">
        <v>85</v>
      </c>
      <c r="F478" s="33" t="s">
        <v>860</v>
      </c>
      <c r="G478" s="33" t="s">
        <v>1974</v>
      </c>
      <c r="H478" s="3">
        <f t="shared" si="26"/>
        <v>118.12499999999999</v>
      </c>
      <c r="I478" s="3">
        <f t="shared" si="27"/>
        <v>18.899999999999999</v>
      </c>
    </row>
    <row r="479" spans="1:9">
      <c r="A479" s="174" t="s">
        <v>7099</v>
      </c>
      <c r="B479">
        <v>85</v>
      </c>
      <c r="F479" s="33" t="s">
        <v>2311</v>
      </c>
      <c r="G479" s="33" t="s">
        <v>2093</v>
      </c>
      <c r="H479" s="3">
        <f t="shared" si="26"/>
        <v>136.1875</v>
      </c>
      <c r="I479" s="3">
        <f t="shared" si="27"/>
        <v>21.79</v>
      </c>
    </row>
    <row r="480" spans="1:9">
      <c r="A480" s="174" t="s">
        <v>7099</v>
      </c>
      <c r="B480">
        <v>85</v>
      </c>
      <c r="F480" s="32" t="s">
        <v>921</v>
      </c>
      <c r="G480" s="33" t="s">
        <v>922</v>
      </c>
      <c r="H480" s="3">
        <f t="shared" si="26"/>
        <v>373052.6875</v>
      </c>
      <c r="I480" s="3">
        <f t="shared" si="27"/>
        <v>59688.43</v>
      </c>
    </row>
    <row r="481" spans="1:9">
      <c r="A481" s="174" t="s">
        <v>7099</v>
      </c>
      <c r="B481">
        <v>85</v>
      </c>
      <c r="F481" s="33" t="s">
        <v>2312</v>
      </c>
      <c r="G481" s="33" t="s">
        <v>2101</v>
      </c>
      <c r="H481" s="3">
        <f t="shared" si="26"/>
        <v>225</v>
      </c>
      <c r="I481" s="3">
        <f t="shared" si="27"/>
        <v>36</v>
      </c>
    </row>
    <row r="482" spans="1:9">
      <c r="A482" s="174" t="s">
        <v>7099</v>
      </c>
      <c r="B482">
        <v>85</v>
      </c>
      <c r="F482" s="33" t="s">
        <v>2313</v>
      </c>
      <c r="G482" s="33" t="s">
        <v>2201</v>
      </c>
      <c r="H482" s="3">
        <f t="shared" si="26"/>
        <v>1000</v>
      </c>
      <c r="I482" s="3">
        <f t="shared" si="27"/>
        <v>160</v>
      </c>
    </row>
    <row r="483" spans="1:9">
      <c r="A483" s="174" t="s">
        <v>7099</v>
      </c>
      <c r="B483">
        <v>85</v>
      </c>
      <c r="F483" s="33" t="s">
        <v>2358</v>
      </c>
      <c r="G483" s="33" t="s">
        <v>2359</v>
      </c>
      <c r="H483" s="3">
        <f t="shared" si="26"/>
        <v>45</v>
      </c>
      <c r="I483" s="3">
        <f t="shared" si="27"/>
        <v>7.2</v>
      </c>
    </row>
    <row r="484" spans="1:9">
      <c r="A484" s="174" t="s">
        <v>7099</v>
      </c>
      <c r="B484">
        <v>85</v>
      </c>
      <c r="F484" s="33" t="s">
        <v>869</v>
      </c>
      <c r="G484" s="33" t="s">
        <v>2142</v>
      </c>
      <c r="H484" s="3">
        <f t="shared" si="26"/>
        <v>3932.3124999999995</v>
      </c>
      <c r="I484" s="3">
        <f t="shared" si="27"/>
        <v>629.16999999999996</v>
      </c>
    </row>
    <row r="485" spans="1:9">
      <c r="A485" s="174" t="s">
        <v>7099</v>
      </c>
      <c r="B485">
        <v>85</v>
      </c>
      <c r="F485" s="33" t="s">
        <v>868</v>
      </c>
      <c r="G485" s="33" t="s">
        <v>94</v>
      </c>
      <c r="H485" s="3">
        <f t="shared" si="26"/>
        <v>46550</v>
      </c>
      <c r="I485" s="3">
        <f t="shared" si="27"/>
        <v>7448</v>
      </c>
    </row>
    <row r="486" spans="1:9">
      <c r="A486" s="174" t="s">
        <v>7099</v>
      </c>
      <c r="B486">
        <v>85</v>
      </c>
      <c r="F486" s="33" t="s">
        <v>742</v>
      </c>
      <c r="G486" s="33" t="s">
        <v>602</v>
      </c>
      <c r="H486" s="3">
        <f t="shared" si="26"/>
        <v>614.25</v>
      </c>
      <c r="I486" s="3">
        <f t="shared" si="27"/>
        <v>98.28</v>
      </c>
    </row>
    <row r="487" spans="1:9">
      <c r="A487" s="174" t="s">
        <v>7099</v>
      </c>
      <c r="B487">
        <v>85</v>
      </c>
      <c r="F487" s="33" t="s">
        <v>919</v>
      </c>
      <c r="G487" s="33" t="s">
        <v>920</v>
      </c>
      <c r="H487" s="3">
        <f t="shared" si="26"/>
        <v>62.124999999999993</v>
      </c>
      <c r="I487" s="3">
        <f t="shared" si="27"/>
        <v>9.94</v>
      </c>
    </row>
    <row r="488" spans="1:9">
      <c r="A488" s="174" t="s">
        <v>7099</v>
      </c>
      <c r="B488">
        <v>85</v>
      </c>
      <c r="F488" s="33" t="s">
        <v>2314</v>
      </c>
      <c r="G488" s="33" t="s">
        <v>2008</v>
      </c>
      <c r="H488" s="3">
        <f t="shared" si="26"/>
        <v>1397.4375</v>
      </c>
      <c r="I488" s="3">
        <f t="shared" si="27"/>
        <v>223.59</v>
      </c>
    </row>
    <row r="489" spans="1:9">
      <c r="A489" s="174" t="s">
        <v>7099</v>
      </c>
      <c r="B489">
        <v>85</v>
      </c>
      <c r="F489" s="33" t="s">
        <v>2360</v>
      </c>
      <c r="G489" s="60" t="s">
        <v>2361</v>
      </c>
      <c r="H489" s="3">
        <f t="shared" si="26"/>
        <v>219</v>
      </c>
      <c r="I489" s="3">
        <f t="shared" si="27"/>
        <v>35.04</v>
      </c>
    </row>
    <row r="490" spans="1:9">
      <c r="A490" s="174" t="s">
        <v>7099</v>
      </c>
      <c r="B490">
        <v>85</v>
      </c>
      <c r="F490" s="33" t="s">
        <v>2281</v>
      </c>
      <c r="G490" s="33" t="s">
        <v>2282</v>
      </c>
      <c r="H490" s="3">
        <f t="shared" si="26"/>
        <v>3170.6875</v>
      </c>
      <c r="I490" s="3">
        <f t="shared" si="27"/>
        <v>507.31</v>
      </c>
    </row>
    <row r="491" spans="1:9">
      <c r="A491" s="174" t="s">
        <v>7099</v>
      </c>
      <c r="B491">
        <v>85</v>
      </c>
      <c r="F491" s="33" t="s">
        <v>943</v>
      </c>
      <c r="G491" s="33" t="s">
        <v>71</v>
      </c>
      <c r="H491" s="3">
        <f t="shared" si="26"/>
        <v>1280.375</v>
      </c>
      <c r="I491" s="3">
        <f t="shared" si="27"/>
        <v>204.86</v>
      </c>
    </row>
    <row r="492" spans="1:9">
      <c r="A492" s="174" t="s">
        <v>7099</v>
      </c>
      <c r="B492">
        <v>85</v>
      </c>
      <c r="F492" s="33" t="s">
        <v>2333</v>
      </c>
      <c r="G492" s="33" t="s">
        <v>2334</v>
      </c>
      <c r="H492" s="3">
        <f t="shared" si="26"/>
        <v>207.75</v>
      </c>
      <c r="I492" s="3">
        <f t="shared" si="27"/>
        <v>33.24</v>
      </c>
    </row>
    <row r="493" spans="1:9">
      <c r="A493" s="174" t="s">
        <v>7099</v>
      </c>
      <c r="B493">
        <v>85</v>
      </c>
      <c r="F493" s="33" t="s">
        <v>878</v>
      </c>
      <c r="G493" s="33" t="s">
        <v>319</v>
      </c>
      <c r="H493" s="3">
        <f t="shared" si="26"/>
        <v>42100.5</v>
      </c>
      <c r="I493" s="3">
        <f t="shared" si="27"/>
        <v>6736.08</v>
      </c>
    </row>
    <row r="494" spans="1:9">
      <c r="A494" s="174" t="s">
        <v>7099</v>
      </c>
      <c r="B494">
        <v>85</v>
      </c>
      <c r="F494" s="33" t="s">
        <v>877</v>
      </c>
      <c r="G494" s="33" t="s">
        <v>223</v>
      </c>
      <c r="H494" s="3">
        <f t="shared" si="26"/>
        <v>56221.4375</v>
      </c>
      <c r="I494" s="3">
        <f t="shared" si="27"/>
        <v>8995.43</v>
      </c>
    </row>
    <row r="495" spans="1:9">
      <c r="A495" s="174" t="s">
        <v>7099</v>
      </c>
      <c r="B495">
        <v>85</v>
      </c>
      <c r="F495" s="33" t="s">
        <v>2339</v>
      </c>
      <c r="G495" s="33" t="s">
        <v>2340</v>
      </c>
      <c r="H495" s="3">
        <f t="shared" si="26"/>
        <v>333.5625</v>
      </c>
      <c r="I495" s="3">
        <f t="shared" si="27"/>
        <v>53.37</v>
      </c>
    </row>
    <row r="496" spans="1:9">
      <c r="A496" s="174" t="s">
        <v>7099</v>
      </c>
      <c r="B496">
        <v>85</v>
      </c>
      <c r="F496" s="33" t="s">
        <v>2356</v>
      </c>
      <c r="G496" s="33" t="s">
        <v>2357</v>
      </c>
      <c r="H496" s="3">
        <f t="shared" si="26"/>
        <v>583.9375</v>
      </c>
      <c r="I496" s="3">
        <f t="shared" si="27"/>
        <v>93.43</v>
      </c>
    </row>
    <row r="497" spans="1:9">
      <c r="A497" s="174" t="s">
        <v>7099</v>
      </c>
      <c r="B497">
        <v>85</v>
      </c>
      <c r="F497" s="41" t="s">
        <v>915</v>
      </c>
      <c r="G497" s="43" t="s">
        <v>916</v>
      </c>
      <c r="H497" s="3">
        <f t="shared" si="26"/>
        <v>25</v>
      </c>
      <c r="I497" s="3">
        <f t="shared" si="27"/>
        <v>4</v>
      </c>
    </row>
    <row r="498" spans="1:9">
      <c r="A498" s="174" t="s">
        <v>7099</v>
      </c>
      <c r="B498">
        <v>85</v>
      </c>
      <c r="F498" s="33" t="s">
        <v>913</v>
      </c>
      <c r="G498" s="33" t="s">
        <v>914</v>
      </c>
      <c r="H498" s="3">
        <f t="shared" si="26"/>
        <v>1480.6249999999998</v>
      </c>
      <c r="I498" s="3">
        <f t="shared" si="27"/>
        <v>236.89999999999998</v>
      </c>
    </row>
    <row r="499" spans="1:9">
      <c r="A499" s="174" t="s">
        <v>7099</v>
      </c>
      <c r="B499">
        <v>85</v>
      </c>
      <c r="F499" s="61" t="s">
        <v>873</v>
      </c>
      <c r="G499" s="62" t="s">
        <v>874</v>
      </c>
      <c r="H499" s="3">
        <f t="shared" si="26"/>
        <v>253943.3125</v>
      </c>
      <c r="I499" s="3">
        <f t="shared" si="27"/>
        <v>40630.93</v>
      </c>
    </row>
    <row r="500" spans="1:9">
      <c r="A500" s="174" t="s">
        <v>7099</v>
      </c>
      <c r="B500">
        <v>85</v>
      </c>
      <c r="F500" s="33" t="s">
        <v>909</v>
      </c>
      <c r="G500" s="60" t="s">
        <v>910</v>
      </c>
      <c r="H500" s="3">
        <f t="shared" ref="H500:H523" si="28">+I500/0.16</f>
        <v>337.4375</v>
      </c>
      <c r="I500" s="3">
        <f t="shared" ref="I500:I523" si="29">+SUMIF($F$10:$F$363,F500,$I$10:$I$363)</f>
        <v>53.99</v>
      </c>
    </row>
    <row r="501" spans="1:9">
      <c r="A501" s="174" t="s">
        <v>7099</v>
      </c>
      <c r="B501">
        <v>85</v>
      </c>
      <c r="F501" s="33" t="s">
        <v>740</v>
      </c>
      <c r="G501" s="33" t="s">
        <v>741</v>
      </c>
      <c r="H501" s="3">
        <f t="shared" si="28"/>
        <v>88</v>
      </c>
      <c r="I501" s="3">
        <f t="shared" si="29"/>
        <v>14.08</v>
      </c>
    </row>
    <row r="502" spans="1:9">
      <c r="A502" s="174" t="s">
        <v>7099</v>
      </c>
      <c r="B502">
        <v>85</v>
      </c>
      <c r="F502" s="33" t="s">
        <v>884</v>
      </c>
      <c r="G502" s="33" t="s">
        <v>535</v>
      </c>
      <c r="H502" s="3">
        <f t="shared" si="28"/>
        <v>689.625</v>
      </c>
      <c r="I502" s="3">
        <f t="shared" si="29"/>
        <v>110.34</v>
      </c>
    </row>
    <row r="503" spans="1:9">
      <c r="A503" s="174" t="s">
        <v>7099</v>
      </c>
      <c r="B503">
        <v>85</v>
      </c>
      <c r="F503" s="33" t="s">
        <v>933</v>
      </c>
      <c r="G503" s="33" t="s">
        <v>934</v>
      </c>
      <c r="H503" s="3">
        <f t="shared" si="28"/>
        <v>75</v>
      </c>
      <c r="I503" s="3">
        <f t="shared" si="29"/>
        <v>12</v>
      </c>
    </row>
    <row r="504" spans="1:9">
      <c r="A504" s="174" t="s">
        <v>7099</v>
      </c>
      <c r="B504">
        <v>85</v>
      </c>
      <c r="F504" s="33" t="s">
        <v>2316</v>
      </c>
      <c r="G504" s="33" t="s">
        <v>2259</v>
      </c>
      <c r="H504" s="3">
        <f t="shared" si="28"/>
        <v>304.3125</v>
      </c>
      <c r="I504" s="3">
        <f t="shared" si="29"/>
        <v>48.69</v>
      </c>
    </row>
    <row r="505" spans="1:9">
      <c r="A505" s="174" t="s">
        <v>7099</v>
      </c>
      <c r="B505">
        <v>85</v>
      </c>
      <c r="F505" s="41" t="s">
        <v>876</v>
      </c>
      <c r="G505" s="33" t="s">
        <v>306</v>
      </c>
      <c r="H505" s="3">
        <f t="shared" si="28"/>
        <v>32115.750000000004</v>
      </c>
      <c r="I505" s="3">
        <f t="shared" si="29"/>
        <v>5138.5200000000004</v>
      </c>
    </row>
    <row r="506" spans="1:9">
      <c r="A506" s="174" t="s">
        <v>7099</v>
      </c>
      <c r="B506">
        <v>85</v>
      </c>
      <c r="F506" s="41" t="s">
        <v>2341</v>
      </c>
      <c r="G506" s="33" t="s">
        <v>2342</v>
      </c>
      <c r="H506" s="3">
        <f t="shared" si="28"/>
        <v>437.875</v>
      </c>
      <c r="I506" s="3">
        <f t="shared" si="29"/>
        <v>70.06</v>
      </c>
    </row>
    <row r="507" spans="1:9">
      <c r="A507" s="174" t="s">
        <v>7099</v>
      </c>
      <c r="B507">
        <v>85</v>
      </c>
      <c r="F507" s="33" t="s">
        <v>2322</v>
      </c>
      <c r="G507" s="33" t="s">
        <v>2323</v>
      </c>
      <c r="H507" s="3">
        <f t="shared" si="28"/>
        <v>334.49999999999994</v>
      </c>
      <c r="I507" s="3">
        <f t="shared" si="29"/>
        <v>53.519999999999996</v>
      </c>
    </row>
    <row r="508" spans="1:9">
      <c r="A508" s="174" t="s">
        <v>7099</v>
      </c>
      <c r="B508">
        <v>85</v>
      </c>
      <c r="F508" s="33" t="s">
        <v>2306</v>
      </c>
      <c r="G508" s="60" t="s">
        <v>2003</v>
      </c>
      <c r="H508" s="3">
        <f t="shared" si="28"/>
        <v>200</v>
      </c>
      <c r="I508" s="3">
        <f t="shared" si="29"/>
        <v>32</v>
      </c>
    </row>
    <row r="509" spans="1:9">
      <c r="A509" s="174" t="s">
        <v>7099</v>
      </c>
      <c r="B509">
        <v>85</v>
      </c>
      <c r="F509" s="33" t="s">
        <v>2343</v>
      </c>
      <c r="G509" s="33" t="s">
        <v>2344</v>
      </c>
      <c r="H509" s="3">
        <f t="shared" si="28"/>
        <v>1212.375</v>
      </c>
      <c r="I509" s="3">
        <f t="shared" si="29"/>
        <v>193.98000000000002</v>
      </c>
    </row>
    <row r="510" spans="1:9">
      <c r="A510" s="174" t="s">
        <v>7099</v>
      </c>
      <c r="B510">
        <v>85</v>
      </c>
      <c r="F510" s="33" t="s">
        <v>907</v>
      </c>
      <c r="G510" s="33" t="s">
        <v>908</v>
      </c>
      <c r="H510" s="3">
        <f t="shared" si="28"/>
        <v>1217.3125</v>
      </c>
      <c r="I510" s="3">
        <f t="shared" si="29"/>
        <v>194.77</v>
      </c>
    </row>
    <row r="511" spans="1:9">
      <c r="A511" s="174" t="s">
        <v>7099</v>
      </c>
      <c r="B511">
        <v>85</v>
      </c>
      <c r="F511" s="33" t="s">
        <v>880</v>
      </c>
      <c r="G511" s="33" t="s">
        <v>523</v>
      </c>
      <c r="H511" s="3">
        <f t="shared" si="28"/>
        <v>26.3125</v>
      </c>
      <c r="I511" s="3">
        <f t="shared" si="29"/>
        <v>4.21</v>
      </c>
    </row>
    <row r="512" spans="1:9">
      <c r="A512" s="174" t="s">
        <v>7099</v>
      </c>
      <c r="B512">
        <v>85</v>
      </c>
      <c r="F512" t="s">
        <v>829</v>
      </c>
      <c r="G512" t="s">
        <v>6</v>
      </c>
      <c r="H512" s="3">
        <f t="shared" si="28"/>
        <v>136848.93749999997</v>
      </c>
      <c r="I512" s="3">
        <f t="shared" si="29"/>
        <v>21895.829999999998</v>
      </c>
    </row>
    <row r="513" spans="1:11">
      <c r="A513" s="174" t="s">
        <v>7099</v>
      </c>
      <c r="B513">
        <v>85</v>
      </c>
      <c r="F513" s="33" t="s">
        <v>1632</v>
      </c>
      <c r="G513" s="33" t="s">
        <v>968</v>
      </c>
      <c r="H513" s="3">
        <f t="shared" si="28"/>
        <v>17644.75</v>
      </c>
      <c r="I513" s="3">
        <f t="shared" si="29"/>
        <v>2823.16</v>
      </c>
    </row>
    <row r="514" spans="1:11">
      <c r="A514" s="174" t="s">
        <v>7099</v>
      </c>
      <c r="B514">
        <v>85</v>
      </c>
      <c r="F514" s="41" t="s">
        <v>886</v>
      </c>
      <c r="G514" s="33" t="s">
        <v>887</v>
      </c>
      <c r="H514" s="3">
        <f t="shared" si="28"/>
        <v>12659600.625</v>
      </c>
      <c r="I514" s="3">
        <f t="shared" si="29"/>
        <v>2025536.1</v>
      </c>
    </row>
    <row r="515" spans="1:11">
      <c r="A515" s="174" t="s">
        <v>7099</v>
      </c>
      <c r="B515">
        <v>85</v>
      </c>
      <c r="F515" s="33" t="s">
        <v>1635</v>
      </c>
      <c r="G515" s="33" t="s">
        <v>1886</v>
      </c>
      <c r="H515" s="3">
        <f t="shared" si="28"/>
        <v>277752.6875</v>
      </c>
      <c r="I515" s="3">
        <f t="shared" si="29"/>
        <v>44440.43</v>
      </c>
    </row>
    <row r="516" spans="1:11">
      <c r="A516" s="174" t="s">
        <v>7099</v>
      </c>
      <c r="B516">
        <v>85</v>
      </c>
      <c r="F516" s="33" t="s">
        <v>879</v>
      </c>
      <c r="G516" s="33" t="s">
        <v>52</v>
      </c>
      <c r="H516" s="3">
        <f t="shared" si="28"/>
        <v>1897.4374999999998</v>
      </c>
      <c r="I516" s="3">
        <f t="shared" si="29"/>
        <v>303.58999999999997</v>
      </c>
    </row>
    <row r="517" spans="1:11">
      <c r="A517" s="174" t="s">
        <v>7099</v>
      </c>
      <c r="B517">
        <v>85</v>
      </c>
      <c r="F517" s="33" t="s">
        <v>882</v>
      </c>
      <c r="G517" s="33" t="s">
        <v>590</v>
      </c>
      <c r="H517" s="3">
        <f t="shared" si="28"/>
        <v>462.62499999999994</v>
      </c>
      <c r="I517" s="3">
        <f t="shared" si="29"/>
        <v>74.02</v>
      </c>
    </row>
    <row r="518" spans="1:11">
      <c r="A518" s="174" t="s">
        <v>7099</v>
      </c>
      <c r="B518">
        <v>85</v>
      </c>
      <c r="F518" s="32" t="s">
        <v>890</v>
      </c>
      <c r="G518" s="33" t="s">
        <v>891</v>
      </c>
      <c r="H518" s="3">
        <f t="shared" si="28"/>
        <v>253943.43750000003</v>
      </c>
      <c r="I518" s="3">
        <f t="shared" si="29"/>
        <v>40630.950000000004</v>
      </c>
    </row>
    <row r="519" spans="1:11">
      <c r="A519" s="174" t="s">
        <v>7099</v>
      </c>
      <c r="B519">
        <v>85</v>
      </c>
      <c r="F519" s="33" t="s">
        <v>1613</v>
      </c>
      <c r="G519" s="33" t="s">
        <v>2298</v>
      </c>
      <c r="H519" s="3">
        <f t="shared" si="28"/>
        <v>175.1875</v>
      </c>
      <c r="I519" s="3">
        <f t="shared" si="29"/>
        <v>28.03</v>
      </c>
    </row>
    <row r="520" spans="1:11">
      <c r="A520" s="174" t="s">
        <v>7099</v>
      </c>
      <c r="B520">
        <v>85</v>
      </c>
      <c r="F520" s="33" t="s">
        <v>889</v>
      </c>
      <c r="G520" s="33" t="s">
        <v>118</v>
      </c>
      <c r="H520" s="3">
        <f t="shared" si="28"/>
        <v>1800</v>
      </c>
      <c r="I520" s="3">
        <f t="shared" si="29"/>
        <v>288</v>
      </c>
    </row>
    <row r="521" spans="1:11">
      <c r="A521" s="174" t="s">
        <v>7099</v>
      </c>
      <c r="B521">
        <v>85</v>
      </c>
      <c r="F521" s="33" t="s">
        <v>2318</v>
      </c>
      <c r="G521" s="33" t="s">
        <v>2319</v>
      </c>
      <c r="H521" s="3">
        <f t="shared" si="28"/>
        <v>72.4375</v>
      </c>
      <c r="I521" s="3">
        <f t="shared" si="29"/>
        <v>11.59</v>
      </c>
    </row>
    <row r="522" spans="1:11">
      <c r="A522" s="174" t="s">
        <v>7099</v>
      </c>
      <c r="B522">
        <v>85</v>
      </c>
      <c r="F522" s="41" t="s">
        <v>2317</v>
      </c>
      <c r="G522" s="33" t="s">
        <v>1808</v>
      </c>
      <c r="H522" s="3">
        <f t="shared" si="28"/>
        <v>220622.625</v>
      </c>
      <c r="I522" s="3">
        <f t="shared" si="29"/>
        <v>35299.620000000003</v>
      </c>
    </row>
    <row r="523" spans="1:11">
      <c r="A523" s="174" t="s">
        <v>7099</v>
      </c>
      <c r="B523">
        <v>85</v>
      </c>
      <c r="F523" s="33" t="s">
        <v>1728</v>
      </c>
      <c r="G523" s="33" t="s">
        <v>1287</v>
      </c>
      <c r="H523" s="3">
        <f t="shared" si="28"/>
        <v>285</v>
      </c>
      <c r="I523" s="3">
        <f t="shared" si="29"/>
        <v>45.6</v>
      </c>
    </row>
    <row r="524" spans="1:11">
      <c r="H524" s="3">
        <f>SUM(H371:H523)</f>
        <v>22440383.5</v>
      </c>
      <c r="I524" s="3">
        <f>SUM(I371:I523)</f>
        <v>3590461.3599999994</v>
      </c>
    </row>
    <row r="526" spans="1:11">
      <c r="H526" s="3">
        <f>+H365</f>
        <v>22440383.5</v>
      </c>
      <c r="I526" s="3">
        <f>+I365</f>
        <v>3590461.3600000008</v>
      </c>
      <c r="J526" s="3">
        <f>SUM(J371:J524)</f>
        <v>23272.809999999998</v>
      </c>
    </row>
    <row r="527" spans="1:11">
      <c r="H527" s="3">
        <f>+H526-H524</f>
        <v>0</v>
      </c>
      <c r="I527" s="3">
        <f>+I524-I526</f>
        <v>0</v>
      </c>
      <c r="J527" s="3">
        <f>22857.14+129.8</f>
        <v>22986.94</v>
      </c>
    </row>
    <row r="528" spans="1:11">
      <c r="J528" s="14">
        <f>+J527-J526</f>
        <v>-285.86999999999898</v>
      </c>
      <c r="K528" t="s">
        <v>7081</v>
      </c>
    </row>
  </sheetData>
  <autoFilter ref="A9:I363"/>
  <sortState ref="A10:J301">
    <sortCondition ref="E10:E301"/>
  </sortState>
  <conditionalFormatting sqref="F371:G524">
    <cfRule type="duplicateValues" dxfId="1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28"/>
  <sheetViews>
    <sheetView zoomScale="80" zoomScaleNormal="80" workbookViewId="0">
      <pane ySplit="10" topLeftCell="A440" activePane="bottomLeft" state="frozen"/>
      <selection pane="bottomLeft" activeCell="A383" sqref="A383:A525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4" bestFit="1" customWidth="1"/>
    <col min="4" max="4" width="2" bestFit="1" customWidth="1"/>
    <col min="5" max="5" width="38.7109375" bestFit="1" customWidth="1"/>
    <col min="6" max="6" width="16.7109375" bestFit="1" customWidth="1"/>
    <col min="7" max="7" width="52.28515625" bestFit="1" customWidth="1"/>
    <col min="8" max="8" width="18.5703125" customWidth="1"/>
    <col min="9" max="9" width="13.140625" style="3" bestFit="1" customWidth="1"/>
  </cols>
  <sheetData>
    <row r="1" spans="1:9">
      <c r="A1" t="s">
        <v>729</v>
      </c>
    </row>
    <row r="2" spans="1:9">
      <c r="A2" t="s">
        <v>2845</v>
      </c>
      <c r="B2">
        <v>2013</v>
      </c>
    </row>
    <row r="3" spans="1:9">
      <c r="A3" t="s">
        <v>731</v>
      </c>
    </row>
    <row r="10" spans="1:9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9">
      <c r="A11" t="s">
        <v>2712</v>
      </c>
      <c r="B11" s="1">
        <v>41370</v>
      </c>
      <c r="C11" t="s">
        <v>2713</v>
      </c>
      <c r="D11">
        <v>1</v>
      </c>
      <c r="E11" t="s">
        <v>124</v>
      </c>
      <c r="F11" s="64" t="s">
        <v>733</v>
      </c>
      <c r="G11" s="9" t="s">
        <v>124</v>
      </c>
      <c r="H11" s="3">
        <f t="shared" ref="H11:H41" si="0">+I11/0.16</f>
        <v>6614.6874999999991</v>
      </c>
      <c r="I11" s="3">
        <v>1058.3499999999999</v>
      </c>
    </row>
    <row r="12" spans="1:9">
      <c r="A12" t="s">
        <v>2456</v>
      </c>
      <c r="B12" s="1">
        <v>41387</v>
      </c>
      <c r="C12" t="s">
        <v>2457</v>
      </c>
      <c r="D12">
        <v>1</v>
      </c>
      <c r="E12" t="s">
        <v>2458</v>
      </c>
      <c r="F12" s="8" t="s">
        <v>736</v>
      </c>
      <c r="G12" s="9" t="s">
        <v>737</v>
      </c>
      <c r="H12" s="3">
        <f t="shared" si="0"/>
        <v>277751.8125</v>
      </c>
      <c r="I12" s="3">
        <v>44440.29</v>
      </c>
    </row>
    <row r="13" spans="1:9">
      <c r="A13" t="s">
        <v>2498</v>
      </c>
      <c r="B13" s="1">
        <v>41394</v>
      </c>
      <c r="C13" t="s">
        <v>2499</v>
      </c>
      <c r="D13">
        <v>1</v>
      </c>
      <c r="E13" t="s">
        <v>2500</v>
      </c>
      <c r="F13" s="8" t="s">
        <v>736</v>
      </c>
      <c r="G13" s="9" t="s">
        <v>737</v>
      </c>
      <c r="H13" s="3">
        <f t="shared" si="0"/>
        <v>277751.8125</v>
      </c>
      <c r="I13" s="3">
        <v>44440.29</v>
      </c>
    </row>
    <row r="14" spans="1:9">
      <c r="A14" t="s">
        <v>2580</v>
      </c>
      <c r="B14" s="1">
        <v>41394</v>
      </c>
      <c r="C14" t="s">
        <v>2581</v>
      </c>
      <c r="D14">
        <v>1</v>
      </c>
      <c r="E14" t="s">
        <v>517</v>
      </c>
      <c r="F14" s="9" t="s">
        <v>738</v>
      </c>
      <c r="G14" s="9" t="s">
        <v>517</v>
      </c>
      <c r="H14" s="3">
        <f t="shared" si="0"/>
        <v>135.6875</v>
      </c>
      <c r="I14" s="3">
        <v>21.71</v>
      </c>
    </row>
    <row r="15" spans="1:9">
      <c r="A15" t="s">
        <v>1673</v>
      </c>
      <c r="B15" s="1">
        <v>41394</v>
      </c>
      <c r="C15" t="s">
        <v>2542</v>
      </c>
      <c r="D15">
        <v>1</v>
      </c>
      <c r="E15" t="s">
        <v>469</v>
      </c>
      <c r="F15" s="9" t="s">
        <v>739</v>
      </c>
      <c r="G15" s="9" t="s">
        <v>469</v>
      </c>
      <c r="H15" s="3">
        <f t="shared" si="0"/>
        <v>1000</v>
      </c>
      <c r="I15" s="3">
        <v>160</v>
      </c>
    </row>
    <row r="16" spans="1:9">
      <c r="A16" t="s">
        <v>570</v>
      </c>
      <c r="B16" s="1">
        <v>41394</v>
      </c>
      <c r="C16" t="s">
        <v>2688</v>
      </c>
      <c r="D16">
        <v>1</v>
      </c>
      <c r="E16" t="s">
        <v>469</v>
      </c>
      <c r="F16" s="9" t="s">
        <v>739</v>
      </c>
      <c r="G16" s="9" t="s">
        <v>469</v>
      </c>
      <c r="H16" s="3">
        <f t="shared" si="0"/>
        <v>431.0625</v>
      </c>
      <c r="I16" s="3">
        <v>68.97</v>
      </c>
    </row>
    <row r="17" spans="1:9">
      <c r="A17" t="s">
        <v>1006</v>
      </c>
      <c r="B17" s="1">
        <v>41366</v>
      </c>
      <c r="C17" t="s">
        <v>2703</v>
      </c>
      <c r="D17">
        <v>1</v>
      </c>
      <c r="E17" t="s">
        <v>1285</v>
      </c>
      <c r="F17" s="64" t="s">
        <v>1571</v>
      </c>
      <c r="G17" s="9" t="s">
        <v>1285</v>
      </c>
      <c r="H17" s="3">
        <f t="shared" si="0"/>
        <v>19000</v>
      </c>
      <c r="I17" s="3">
        <v>3040</v>
      </c>
    </row>
    <row r="18" spans="1:9">
      <c r="A18" t="s">
        <v>255</v>
      </c>
      <c r="B18" s="1">
        <v>41381</v>
      </c>
      <c r="C18" t="s">
        <v>2764</v>
      </c>
      <c r="D18">
        <v>1</v>
      </c>
      <c r="E18" t="s">
        <v>1285</v>
      </c>
      <c r="F18" s="12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9">
      <c r="A19" t="s">
        <v>2605</v>
      </c>
      <c r="B19" s="1">
        <v>41394</v>
      </c>
      <c r="C19" t="s">
        <v>2606</v>
      </c>
      <c r="D19">
        <v>1</v>
      </c>
      <c r="E19" t="s">
        <v>2607</v>
      </c>
      <c r="F19" s="9" t="s">
        <v>2269</v>
      </c>
      <c r="G19" s="9" t="s">
        <v>2607</v>
      </c>
      <c r="H19" s="3">
        <f t="shared" si="0"/>
        <v>210</v>
      </c>
      <c r="I19" s="3">
        <v>33.6</v>
      </c>
    </row>
    <row r="20" spans="1:9">
      <c r="A20" t="s">
        <v>711</v>
      </c>
      <c r="B20" s="1">
        <v>41394</v>
      </c>
      <c r="C20" t="s">
        <v>2833</v>
      </c>
      <c r="D20">
        <v>1</v>
      </c>
      <c r="E20" t="s">
        <v>2834</v>
      </c>
      <c r="F20" s="9" t="s">
        <v>2269</v>
      </c>
      <c r="G20" s="9" t="s">
        <v>2834</v>
      </c>
      <c r="H20" s="3">
        <f t="shared" si="0"/>
        <v>1500</v>
      </c>
      <c r="I20" s="3">
        <v>240</v>
      </c>
    </row>
    <row r="21" spans="1:9">
      <c r="A21" t="s">
        <v>2493</v>
      </c>
      <c r="B21" s="1">
        <v>41394</v>
      </c>
      <c r="C21" t="s">
        <v>2494</v>
      </c>
      <c r="D21">
        <v>1</v>
      </c>
      <c r="E21" t="s">
        <v>991</v>
      </c>
      <c r="F21" s="12" t="s">
        <v>2846</v>
      </c>
      <c r="G21" s="9" t="s">
        <v>991</v>
      </c>
      <c r="H21" s="3">
        <f t="shared" si="0"/>
        <v>205379.4375</v>
      </c>
      <c r="I21" s="3">
        <v>32860.71</v>
      </c>
    </row>
    <row r="22" spans="1:9">
      <c r="A22" t="s">
        <v>2591</v>
      </c>
      <c r="B22" s="1">
        <v>41394</v>
      </c>
      <c r="C22" t="s">
        <v>2592</v>
      </c>
      <c r="D22">
        <v>1</v>
      </c>
      <c r="E22" t="s">
        <v>481</v>
      </c>
      <c r="F22" s="9" t="s">
        <v>748</v>
      </c>
      <c r="G22" s="9" t="s">
        <v>481</v>
      </c>
      <c r="H22" s="3">
        <f t="shared" si="0"/>
        <v>68.875</v>
      </c>
      <c r="I22" s="3">
        <v>11.02</v>
      </c>
    </row>
    <row r="23" spans="1:9">
      <c r="A23" t="s">
        <v>2396</v>
      </c>
      <c r="B23" s="1">
        <v>41365</v>
      </c>
      <c r="C23" t="s">
        <v>1944</v>
      </c>
      <c r="D23">
        <v>1</v>
      </c>
      <c r="E23" t="s">
        <v>2395</v>
      </c>
      <c r="F23" s="30" t="s">
        <v>886</v>
      </c>
      <c r="G23" s="31" t="s">
        <v>887</v>
      </c>
      <c r="H23" s="3">
        <f t="shared" si="0"/>
        <v>-352771.3125</v>
      </c>
      <c r="I23" s="3">
        <v>-56443.41</v>
      </c>
    </row>
    <row r="24" spans="1:9">
      <c r="A24" t="s">
        <v>573</v>
      </c>
      <c r="B24" s="1">
        <v>41394</v>
      </c>
      <c r="C24" t="s">
        <v>2689</v>
      </c>
      <c r="D24">
        <v>1</v>
      </c>
      <c r="E24" t="s">
        <v>472</v>
      </c>
      <c r="F24" s="9" t="s">
        <v>754</v>
      </c>
      <c r="G24" s="9" t="s">
        <v>472</v>
      </c>
      <c r="H24" s="3">
        <f t="shared" si="0"/>
        <v>1350</v>
      </c>
      <c r="I24" s="3">
        <v>216</v>
      </c>
    </row>
    <row r="25" spans="1:9">
      <c r="A25" t="s">
        <v>494</v>
      </c>
      <c r="B25" s="1">
        <v>41394</v>
      </c>
      <c r="C25" t="s">
        <v>2640</v>
      </c>
      <c r="D25">
        <v>1</v>
      </c>
      <c r="E25" t="s">
        <v>1501</v>
      </c>
      <c r="F25" t="s">
        <v>946</v>
      </c>
      <c r="G25" t="s">
        <v>947</v>
      </c>
      <c r="H25" s="3">
        <f t="shared" si="0"/>
        <v>1159.5</v>
      </c>
      <c r="I25" s="3">
        <v>185.52</v>
      </c>
    </row>
    <row r="26" spans="1:9">
      <c r="A26" t="s">
        <v>1826</v>
      </c>
      <c r="B26" s="1">
        <v>41379</v>
      </c>
      <c r="C26" t="s">
        <v>2406</v>
      </c>
      <c r="D26">
        <v>1</v>
      </c>
      <c r="E26" t="s">
        <v>388</v>
      </c>
      <c r="F26" s="12" t="s">
        <v>755</v>
      </c>
      <c r="G26" s="9" t="s">
        <v>756</v>
      </c>
      <c r="H26" s="3">
        <f t="shared" si="0"/>
        <v>183533.1875</v>
      </c>
      <c r="I26" s="3">
        <v>29365.31</v>
      </c>
    </row>
    <row r="27" spans="1:9">
      <c r="A27" t="s">
        <v>2463</v>
      </c>
      <c r="B27" s="1">
        <v>41391</v>
      </c>
      <c r="C27" t="s">
        <v>2462</v>
      </c>
      <c r="D27">
        <v>1</v>
      </c>
      <c r="E27" t="s">
        <v>2464</v>
      </c>
      <c r="F27" s="12" t="s">
        <v>755</v>
      </c>
      <c r="G27" s="9" t="s">
        <v>756</v>
      </c>
      <c r="H27" s="3">
        <f t="shared" si="0"/>
        <v>186701.3125</v>
      </c>
      <c r="I27" s="3">
        <v>29872.21</v>
      </c>
    </row>
    <row r="28" spans="1:9">
      <c r="A28" t="s">
        <v>2596</v>
      </c>
      <c r="B28" s="1">
        <v>41394</v>
      </c>
      <c r="C28" t="s">
        <v>2597</v>
      </c>
      <c r="D28">
        <v>1</v>
      </c>
      <c r="E28" t="s">
        <v>599</v>
      </c>
      <c r="F28" s="9" t="s">
        <v>757</v>
      </c>
      <c r="G28" s="9" t="s">
        <v>599</v>
      </c>
      <c r="H28" s="3">
        <f t="shared" si="0"/>
        <v>37.9375</v>
      </c>
      <c r="I28" s="3">
        <v>6.07</v>
      </c>
    </row>
    <row r="29" spans="1:9">
      <c r="A29" t="s">
        <v>2444</v>
      </c>
      <c r="B29" s="1">
        <v>41383</v>
      </c>
      <c r="C29" t="s">
        <v>2445</v>
      </c>
      <c r="D29">
        <v>1</v>
      </c>
      <c r="E29" t="s">
        <v>2446</v>
      </c>
      <c r="F29" s="8" t="s">
        <v>759</v>
      </c>
      <c r="G29" s="9" t="s">
        <v>760</v>
      </c>
      <c r="H29" s="3">
        <f t="shared" si="0"/>
        <v>220622.625</v>
      </c>
      <c r="I29" s="3">
        <v>35299.620000000003</v>
      </c>
    </row>
    <row r="30" spans="1:9">
      <c r="A30" t="s">
        <v>253</v>
      </c>
      <c r="B30" s="1">
        <v>41381</v>
      </c>
      <c r="C30" t="s">
        <v>2763</v>
      </c>
      <c r="D30">
        <v>1</v>
      </c>
      <c r="E30" t="s">
        <v>284</v>
      </c>
      <c r="F30" s="12" t="s">
        <v>763</v>
      </c>
      <c r="G30" s="9" t="s">
        <v>284</v>
      </c>
      <c r="H30" s="3">
        <f t="shared" si="0"/>
        <v>10171</v>
      </c>
      <c r="I30" s="3">
        <v>1627.36</v>
      </c>
    </row>
    <row r="31" spans="1:9">
      <c r="A31" t="s">
        <v>87</v>
      </c>
      <c r="B31" s="1">
        <v>41370</v>
      </c>
      <c r="C31" t="s">
        <v>2727</v>
      </c>
      <c r="D31">
        <v>1</v>
      </c>
      <c r="E31" t="s">
        <v>1059</v>
      </c>
      <c r="F31" s="64" t="s">
        <v>1576</v>
      </c>
      <c r="G31" s="9" t="s">
        <v>1059</v>
      </c>
      <c r="H31" s="3">
        <f t="shared" si="0"/>
        <v>827.62499999999989</v>
      </c>
      <c r="I31" s="3">
        <v>132.41999999999999</v>
      </c>
    </row>
    <row r="32" spans="1:9">
      <c r="A32" t="s">
        <v>2809</v>
      </c>
      <c r="B32" s="1">
        <v>41394</v>
      </c>
      <c r="C32" t="s">
        <v>2810</v>
      </c>
      <c r="D32">
        <v>1</v>
      </c>
      <c r="E32" t="s">
        <v>1059</v>
      </c>
      <c r="F32" s="9" t="s">
        <v>1576</v>
      </c>
      <c r="G32" s="9" t="s">
        <v>1059</v>
      </c>
      <c r="H32" s="3">
        <f t="shared" si="0"/>
        <v>662.0625</v>
      </c>
      <c r="I32" s="3">
        <v>105.93</v>
      </c>
    </row>
    <row r="33" spans="1:12">
      <c r="A33" t="s">
        <v>81</v>
      </c>
      <c r="B33" s="1">
        <v>41370</v>
      </c>
      <c r="C33" t="s">
        <v>2725</v>
      </c>
      <c r="D33">
        <v>2</v>
      </c>
      <c r="E33" t="s">
        <v>1062</v>
      </c>
      <c r="F33" s="64" t="s">
        <v>1577</v>
      </c>
      <c r="G33" s="9" t="s">
        <v>1062</v>
      </c>
      <c r="H33" s="3">
        <f t="shared" si="0"/>
        <v>1982.75</v>
      </c>
      <c r="I33" s="3">
        <v>317.24</v>
      </c>
    </row>
    <row r="34" spans="1:12">
      <c r="A34" t="s">
        <v>2593</v>
      </c>
      <c r="B34" s="1">
        <v>41394</v>
      </c>
      <c r="C34" t="s">
        <v>2594</v>
      </c>
      <c r="D34">
        <v>1</v>
      </c>
      <c r="E34" t="s">
        <v>2595</v>
      </c>
      <c r="F34" s="9" t="s">
        <v>2847</v>
      </c>
      <c r="G34" s="9" t="s">
        <v>2848</v>
      </c>
      <c r="H34" s="3">
        <f t="shared" si="0"/>
        <v>73.25</v>
      </c>
      <c r="I34" s="3">
        <v>11.72</v>
      </c>
    </row>
    <row r="35" spans="1:12">
      <c r="A35" t="s">
        <v>426</v>
      </c>
      <c r="B35" s="1">
        <v>41394</v>
      </c>
      <c r="C35" t="s">
        <v>433</v>
      </c>
      <c r="D35">
        <v>1</v>
      </c>
      <c r="E35" t="s">
        <v>2517</v>
      </c>
      <c r="F35" s="12" t="s">
        <v>825</v>
      </c>
      <c r="G35" s="20" t="s">
        <v>826</v>
      </c>
      <c r="H35" s="3">
        <f t="shared" si="0"/>
        <v>339</v>
      </c>
      <c r="I35" s="3">
        <v>54.24</v>
      </c>
    </row>
    <row r="36" spans="1:12">
      <c r="A36" t="s">
        <v>0</v>
      </c>
      <c r="B36" s="1">
        <v>41394</v>
      </c>
      <c r="C36" t="s">
        <v>433</v>
      </c>
      <c r="D36">
        <v>1</v>
      </c>
      <c r="E36" t="s">
        <v>2524</v>
      </c>
      <c r="F36" s="13" t="s">
        <v>1578</v>
      </c>
      <c r="G36" s="75" t="s">
        <v>1579</v>
      </c>
      <c r="H36" s="3">
        <f t="shared" si="0"/>
        <v>1650.9374999999998</v>
      </c>
      <c r="I36" s="3">
        <v>264.14999999999998</v>
      </c>
    </row>
    <row r="37" spans="1:12">
      <c r="A37" t="s">
        <v>2121</v>
      </c>
      <c r="B37" s="1">
        <v>41394</v>
      </c>
      <c r="C37" t="s">
        <v>433</v>
      </c>
      <c r="D37">
        <v>1</v>
      </c>
      <c r="E37" t="s">
        <v>2518</v>
      </c>
      <c r="F37" s="12" t="s">
        <v>950</v>
      </c>
      <c r="G37" s="20" t="s">
        <v>951</v>
      </c>
      <c r="H37" s="3">
        <f t="shared" si="0"/>
        <v>4536.5625</v>
      </c>
      <c r="I37" s="3">
        <v>725.85</v>
      </c>
    </row>
    <row r="38" spans="1:12">
      <c r="A38" t="s">
        <v>422</v>
      </c>
      <c r="B38" s="1">
        <v>41394</v>
      </c>
      <c r="C38" t="s">
        <v>433</v>
      </c>
      <c r="D38">
        <v>1</v>
      </c>
      <c r="E38" t="s">
        <v>2515</v>
      </c>
      <c r="F38" s="12" t="s">
        <v>821</v>
      </c>
      <c r="G38" s="12" t="s">
        <v>2272</v>
      </c>
      <c r="H38" s="3">
        <f t="shared" si="0"/>
        <v>250</v>
      </c>
      <c r="I38" s="3">
        <v>40</v>
      </c>
    </row>
    <row r="39" spans="1:12">
      <c r="A39" t="s">
        <v>2105</v>
      </c>
      <c r="B39" s="1">
        <v>41394</v>
      </c>
      <c r="C39" t="s">
        <v>433</v>
      </c>
      <c r="D39">
        <v>1</v>
      </c>
      <c r="E39" t="s">
        <v>2516</v>
      </c>
      <c r="F39" s="12" t="s">
        <v>823</v>
      </c>
      <c r="G39" s="20" t="s">
        <v>824</v>
      </c>
      <c r="H39" s="3">
        <f t="shared" si="0"/>
        <v>198</v>
      </c>
      <c r="I39" s="3">
        <v>31.68</v>
      </c>
    </row>
    <row r="40" spans="1:12">
      <c r="A40" t="s">
        <v>2102</v>
      </c>
      <c r="B40" s="1">
        <v>41394</v>
      </c>
      <c r="C40" t="s">
        <v>433</v>
      </c>
      <c r="D40">
        <v>1</v>
      </c>
      <c r="E40" t="s">
        <v>2514</v>
      </c>
      <c r="F40" s="12" t="s">
        <v>830</v>
      </c>
      <c r="G40" s="20" t="s">
        <v>831</v>
      </c>
      <c r="H40" s="3">
        <f t="shared" si="0"/>
        <v>436</v>
      </c>
      <c r="I40" s="3">
        <v>69.760000000000005</v>
      </c>
    </row>
    <row r="41" spans="1:12">
      <c r="A41" t="s">
        <v>564</v>
      </c>
      <c r="B41" s="1">
        <v>41394</v>
      </c>
      <c r="C41" t="s">
        <v>2683</v>
      </c>
      <c r="D41">
        <v>1</v>
      </c>
      <c r="E41" t="s">
        <v>2684</v>
      </c>
      <c r="F41" t="s">
        <v>946</v>
      </c>
      <c r="G41" t="s">
        <v>947</v>
      </c>
      <c r="H41" s="3">
        <f t="shared" si="0"/>
        <v>168.125</v>
      </c>
      <c r="I41" s="3">
        <v>26.9</v>
      </c>
    </row>
    <row r="42" spans="1:12">
      <c r="A42" t="s">
        <v>542</v>
      </c>
      <c r="B42" s="1">
        <v>41394</v>
      </c>
      <c r="C42" t="s">
        <v>2669</v>
      </c>
      <c r="D42">
        <v>1</v>
      </c>
      <c r="E42" t="s">
        <v>2670</v>
      </c>
      <c r="F42" t="s">
        <v>946</v>
      </c>
      <c r="G42" t="s">
        <v>947</v>
      </c>
      <c r="H42" s="3">
        <f t="shared" ref="H42" si="1">I42/0.16</f>
        <v>58.8125</v>
      </c>
      <c r="I42" s="46">
        <f>8.97+0.44</f>
        <v>9.41</v>
      </c>
      <c r="J42" s="3"/>
      <c r="K42" s="3"/>
    </row>
    <row r="43" spans="1:12" ht="13.5" customHeight="1">
      <c r="A43" t="s">
        <v>542</v>
      </c>
      <c r="B43" s="1">
        <v>41394</v>
      </c>
      <c r="C43" t="s">
        <v>2669</v>
      </c>
      <c r="D43">
        <v>1</v>
      </c>
      <c r="E43" t="s">
        <v>2670</v>
      </c>
      <c r="F43" s="9" t="s">
        <v>929</v>
      </c>
      <c r="G43" s="9" t="s">
        <v>930</v>
      </c>
      <c r="H43" s="65">
        <f t="shared" ref="H43" si="2">I43/0.16</f>
        <v>83.4375</v>
      </c>
      <c r="I43" s="65">
        <v>13.35</v>
      </c>
      <c r="J43" s="14">
        <f>142.25-H42-H43</f>
        <v>0</v>
      </c>
      <c r="K43" s="14">
        <f>22.76-I42-I43</f>
        <v>0</v>
      </c>
      <c r="L43" t="s">
        <v>900</v>
      </c>
    </row>
    <row r="44" spans="1:12">
      <c r="A44" t="s">
        <v>2584</v>
      </c>
      <c r="B44" s="1">
        <v>41394</v>
      </c>
      <c r="C44" t="s">
        <v>2585</v>
      </c>
      <c r="D44">
        <v>1</v>
      </c>
      <c r="E44" t="s">
        <v>549</v>
      </c>
      <c r="F44" s="9" t="s">
        <v>767</v>
      </c>
      <c r="G44" s="9" t="s">
        <v>549</v>
      </c>
      <c r="H44" s="3">
        <f t="shared" ref="H44:H109" si="3">+I44/0.16</f>
        <v>930.18750000000011</v>
      </c>
      <c r="I44" s="3">
        <v>148.83000000000001</v>
      </c>
      <c r="J44" s="14" t="e">
        <f>+H44-#REF!</f>
        <v>#REF!</v>
      </c>
      <c r="K44" s="14" t="e">
        <f>+I44-#REF!</f>
        <v>#REF!</v>
      </c>
      <c r="L44" t="s">
        <v>900</v>
      </c>
    </row>
    <row r="45" spans="1:12">
      <c r="A45" t="s">
        <v>50</v>
      </c>
      <c r="B45" s="1">
        <v>41370</v>
      </c>
      <c r="C45" t="s">
        <v>2718</v>
      </c>
      <c r="D45">
        <v>1</v>
      </c>
      <c r="E45" t="s">
        <v>1142</v>
      </c>
      <c r="F45" s="64" t="s">
        <v>770</v>
      </c>
      <c r="G45" s="9" t="s">
        <v>1142</v>
      </c>
      <c r="H45" s="3">
        <f t="shared" si="3"/>
        <v>5600</v>
      </c>
      <c r="I45" s="3">
        <v>896</v>
      </c>
    </row>
    <row r="46" spans="1:12">
      <c r="A46" t="s">
        <v>714</v>
      </c>
      <c r="B46" s="1">
        <v>41394</v>
      </c>
      <c r="C46" t="s">
        <v>2837</v>
      </c>
      <c r="D46">
        <v>1</v>
      </c>
      <c r="E46" t="s">
        <v>1142</v>
      </c>
      <c r="F46" s="9" t="s">
        <v>770</v>
      </c>
      <c r="G46" s="9" t="s">
        <v>1142</v>
      </c>
      <c r="H46" s="3">
        <f t="shared" si="3"/>
        <v>17475</v>
      </c>
      <c r="I46" s="3">
        <v>2796</v>
      </c>
    </row>
    <row r="47" spans="1:12">
      <c r="A47" t="s">
        <v>27</v>
      </c>
      <c r="B47" s="1">
        <v>41366</v>
      </c>
      <c r="C47" t="s">
        <v>2704</v>
      </c>
      <c r="D47">
        <v>1</v>
      </c>
      <c r="E47" t="s">
        <v>29</v>
      </c>
      <c r="F47" s="64" t="s">
        <v>772</v>
      </c>
      <c r="G47" s="9" t="s">
        <v>29</v>
      </c>
      <c r="H47" s="3">
        <f t="shared" si="3"/>
        <v>50000</v>
      </c>
      <c r="I47" s="3">
        <v>8000</v>
      </c>
    </row>
    <row r="48" spans="1:12">
      <c r="A48" t="s">
        <v>30</v>
      </c>
      <c r="B48" s="1">
        <v>41367</v>
      </c>
      <c r="C48" t="s">
        <v>2705</v>
      </c>
      <c r="D48">
        <v>1</v>
      </c>
      <c r="E48" t="s">
        <v>29</v>
      </c>
      <c r="F48" s="64" t="s">
        <v>772</v>
      </c>
      <c r="G48" s="9" t="s">
        <v>29</v>
      </c>
      <c r="H48" s="3">
        <f t="shared" si="3"/>
        <v>13973.1875</v>
      </c>
      <c r="I48" s="3">
        <v>2235.71</v>
      </c>
    </row>
    <row r="49" spans="1:9">
      <c r="A49" t="s">
        <v>32</v>
      </c>
      <c r="B49" s="1">
        <v>41367</v>
      </c>
      <c r="C49" t="s">
        <v>2706</v>
      </c>
      <c r="D49">
        <v>1</v>
      </c>
      <c r="E49" t="s">
        <v>29</v>
      </c>
      <c r="F49" s="64" t="s">
        <v>772</v>
      </c>
      <c r="G49" s="9" t="s">
        <v>29</v>
      </c>
      <c r="H49" s="3">
        <f t="shared" si="3"/>
        <v>7400</v>
      </c>
      <c r="I49" s="3">
        <v>1184</v>
      </c>
    </row>
    <row r="50" spans="1:9">
      <c r="A50" t="s">
        <v>2728</v>
      </c>
      <c r="B50" s="1">
        <v>41372</v>
      </c>
      <c r="C50" t="s">
        <v>2729</v>
      </c>
      <c r="D50">
        <v>1</v>
      </c>
      <c r="E50" t="s">
        <v>29</v>
      </c>
      <c r="F50" s="64" t="s">
        <v>772</v>
      </c>
      <c r="G50" s="9" t="s">
        <v>29</v>
      </c>
      <c r="H50" s="3">
        <f t="shared" si="3"/>
        <v>63599.375</v>
      </c>
      <c r="I50" s="3">
        <v>10175.9</v>
      </c>
    </row>
    <row r="51" spans="1:9">
      <c r="A51" t="s">
        <v>119</v>
      </c>
      <c r="B51" s="1">
        <v>41373</v>
      </c>
      <c r="C51" t="s">
        <v>2733</v>
      </c>
      <c r="D51">
        <v>1</v>
      </c>
      <c r="E51" t="s">
        <v>29</v>
      </c>
      <c r="F51" s="8" t="s">
        <v>772</v>
      </c>
      <c r="G51" s="9" t="s">
        <v>29</v>
      </c>
      <c r="H51" s="3">
        <f t="shared" si="3"/>
        <v>40740.9375</v>
      </c>
      <c r="I51" s="3">
        <v>6518.55</v>
      </c>
    </row>
    <row r="52" spans="1:9">
      <c r="A52" t="s">
        <v>156</v>
      </c>
      <c r="B52" s="1">
        <v>41375</v>
      </c>
      <c r="C52" t="s">
        <v>2737</v>
      </c>
      <c r="D52">
        <v>1</v>
      </c>
      <c r="E52" t="s">
        <v>29</v>
      </c>
      <c r="F52" s="9" t="s">
        <v>772</v>
      </c>
      <c r="G52" s="9" t="s">
        <v>29</v>
      </c>
      <c r="H52" s="3">
        <f t="shared" si="3"/>
        <v>1917.25</v>
      </c>
      <c r="I52" s="3">
        <v>306.76</v>
      </c>
    </row>
    <row r="53" spans="1:9">
      <c r="A53" t="s">
        <v>1129</v>
      </c>
      <c r="B53" s="1">
        <v>41376</v>
      </c>
      <c r="C53" t="s">
        <v>2746</v>
      </c>
      <c r="D53">
        <v>1</v>
      </c>
      <c r="E53" t="s">
        <v>29</v>
      </c>
      <c r="F53" s="9" t="s">
        <v>772</v>
      </c>
      <c r="G53" s="9" t="s">
        <v>29</v>
      </c>
      <c r="H53" s="3">
        <f t="shared" si="3"/>
        <v>83825.5625</v>
      </c>
      <c r="I53" s="3">
        <v>13412.09</v>
      </c>
    </row>
    <row r="54" spans="1:9">
      <c r="A54" t="s">
        <v>1131</v>
      </c>
      <c r="B54" s="1">
        <v>41376</v>
      </c>
      <c r="C54" t="s">
        <v>2747</v>
      </c>
      <c r="D54">
        <v>1</v>
      </c>
      <c r="E54" t="s">
        <v>29</v>
      </c>
      <c r="F54" s="9" t="s">
        <v>772</v>
      </c>
      <c r="G54" s="22" t="s">
        <v>29</v>
      </c>
      <c r="H54" s="3">
        <f t="shared" si="3"/>
        <v>2778.75</v>
      </c>
      <c r="I54" s="3">
        <v>444.6</v>
      </c>
    </row>
    <row r="55" spans="1:9">
      <c r="A55" t="s">
        <v>175</v>
      </c>
      <c r="B55" s="1">
        <v>41376</v>
      </c>
      <c r="C55" t="s">
        <v>2748</v>
      </c>
      <c r="D55">
        <v>1</v>
      </c>
      <c r="E55" t="s">
        <v>29</v>
      </c>
      <c r="F55" s="9" t="s">
        <v>772</v>
      </c>
      <c r="G55" s="9" t="s">
        <v>29</v>
      </c>
      <c r="H55" s="3">
        <f t="shared" si="3"/>
        <v>339236</v>
      </c>
      <c r="I55" s="3">
        <v>54277.760000000002</v>
      </c>
    </row>
    <row r="56" spans="1:9">
      <c r="A56" t="s">
        <v>2766</v>
      </c>
      <c r="B56" s="1">
        <v>41381</v>
      </c>
      <c r="C56" t="s">
        <v>2767</v>
      </c>
      <c r="D56">
        <v>1</v>
      </c>
      <c r="E56" t="s">
        <v>29</v>
      </c>
      <c r="F56" s="9" t="s">
        <v>772</v>
      </c>
      <c r="G56" s="9" t="s">
        <v>29</v>
      </c>
      <c r="H56" s="3">
        <f t="shared" si="3"/>
        <v>31819.937499999996</v>
      </c>
      <c r="I56" s="3">
        <v>5091.1899999999996</v>
      </c>
    </row>
    <row r="57" spans="1:9">
      <c r="A57" t="s">
        <v>2768</v>
      </c>
      <c r="B57" s="1">
        <v>41381</v>
      </c>
      <c r="C57" t="s">
        <v>2769</v>
      </c>
      <c r="D57">
        <v>1</v>
      </c>
      <c r="E57" t="s">
        <v>29</v>
      </c>
      <c r="F57" s="9" t="s">
        <v>772</v>
      </c>
      <c r="G57" s="9" t="s">
        <v>29</v>
      </c>
      <c r="H57" s="3">
        <f t="shared" si="3"/>
        <v>630.1875</v>
      </c>
      <c r="I57" s="3">
        <v>100.83</v>
      </c>
    </row>
    <row r="58" spans="1:9">
      <c r="A58" t="s">
        <v>2198</v>
      </c>
      <c r="B58" s="1">
        <v>41383</v>
      </c>
      <c r="C58" t="s">
        <v>2791</v>
      </c>
      <c r="D58">
        <v>1</v>
      </c>
      <c r="E58" t="s">
        <v>29</v>
      </c>
      <c r="F58" s="9" t="s">
        <v>772</v>
      </c>
      <c r="G58" s="9" t="s">
        <v>29</v>
      </c>
      <c r="H58" s="3">
        <f t="shared" si="3"/>
        <v>567.3125</v>
      </c>
      <c r="I58" s="3">
        <v>90.77</v>
      </c>
    </row>
    <row r="59" spans="1:9">
      <c r="A59" t="s">
        <v>2204</v>
      </c>
      <c r="B59" s="1">
        <v>41383</v>
      </c>
      <c r="C59" t="s">
        <v>2792</v>
      </c>
      <c r="D59">
        <v>1</v>
      </c>
      <c r="E59" t="s">
        <v>29</v>
      </c>
      <c r="F59" s="9" t="s">
        <v>772</v>
      </c>
      <c r="G59" s="9" t="s">
        <v>29</v>
      </c>
      <c r="H59" s="3">
        <f t="shared" si="3"/>
        <v>73111.25</v>
      </c>
      <c r="I59" s="3">
        <v>11697.8</v>
      </c>
    </row>
    <row r="60" spans="1:9">
      <c r="A60" t="s">
        <v>2213</v>
      </c>
      <c r="B60" s="1">
        <v>41387</v>
      </c>
      <c r="C60" t="s">
        <v>2799</v>
      </c>
      <c r="D60">
        <v>1</v>
      </c>
      <c r="E60" t="s">
        <v>29</v>
      </c>
      <c r="F60" s="64" t="s">
        <v>772</v>
      </c>
      <c r="G60" s="9" t="s">
        <v>29</v>
      </c>
      <c r="H60" s="3">
        <f t="shared" si="3"/>
        <v>1020.8125000000001</v>
      </c>
      <c r="I60" s="3">
        <v>163.33000000000001</v>
      </c>
    </row>
    <row r="61" spans="1:9">
      <c r="A61" t="s">
        <v>2804</v>
      </c>
      <c r="B61" s="1">
        <v>41394</v>
      </c>
      <c r="C61" t="s">
        <v>2805</v>
      </c>
      <c r="D61">
        <v>1</v>
      </c>
      <c r="E61" t="s">
        <v>29</v>
      </c>
      <c r="F61" s="9" t="s">
        <v>772</v>
      </c>
      <c r="G61" s="9" t="s">
        <v>29</v>
      </c>
      <c r="H61" s="3">
        <f t="shared" si="3"/>
        <v>68732.875</v>
      </c>
      <c r="I61" s="3">
        <v>10997.26</v>
      </c>
    </row>
    <row r="62" spans="1:9">
      <c r="A62" t="s">
        <v>690</v>
      </c>
      <c r="B62" s="1">
        <v>41394</v>
      </c>
      <c r="C62" t="s">
        <v>2822</v>
      </c>
      <c r="D62">
        <v>1</v>
      </c>
      <c r="E62" t="s">
        <v>29</v>
      </c>
      <c r="F62" s="9" t="s">
        <v>772</v>
      </c>
      <c r="G62" s="9" t="s">
        <v>29</v>
      </c>
      <c r="H62" s="3">
        <f t="shared" si="3"/>
        <v>1501.75</v>
      </c>
      <c r="I62" s="3">
        <v>240.28</v>
      </c>
    </row>
    <row r="63" spans="1:9">
      <c r="A63" t="s">
        <v>2254</v>
      </c>
      <c r="B63" s="1">
        <v>41394</v>
      </c>
      <c r="C63" t="s">
        <v>2823</v>
      </c>
      <c r="D63">
        <v>1</v>
      </c>
      <c r="E63" t="s">
        <v>29</v>
      </c>
      <c r="F63" s="9" t="s">
        <v>772</v>
      </c>
      <c r="G63" s="9" t="s">
        <v>29</v>
      </c>
      <c r="H63" s="3">
        <f t="shared" si="3"/>
        <v>139915</v>
      </c>
      <c r="I63" s="3">
        <v>22386.400000000001</v>
      </c>
    </row>
    <row r="64" spans="1:9">
      <c r="A64" t="s">
        <v>697</v>
      </c>
      <c r="B64" s="1">
        <v>41394</v>
      </c>
      <c r="C64" t="s">
        <v>2824</v>
      </c>
      <c r="D64">
        <v>1</v>
      </c>
      <c r="E64" t="s">
        <v>29</v>
      </c>
      <c r="F64" s="9" t="s">
        <v>772</v>
      </c>
      <c r="G64" s="9" t="s">
        <v>29</v>
      </c>
      <c r="H64" s="3">
        <f t="shared" si="3"/>
        <v>783.0625</v>
      </c>
      <c r="I64" s="3">
        <v>125.29</v>
      </c>
    </row>
    <row r="65" spans="1:9">
      <c r="A65" t="s">
        <v>699</v>
      </c>
      <c r="B65" s="1">
        <v>41394</v>
      </c>
      <c r="C65" t="s">
        <v>2825</v>
      </c>
      <c r="D65">
        <v>1</v>
      </c>
      <c r="E65" t="s">
        <v>29</v>
      </c>
      <c r="F65" s="9" t="s">
        <v>772</v>
      </c>
      <c r="G65" s="9" t="s">
        <v>29</v>
      </c>
      <c r="H65" s="3">
        <f t="shared" si="3"/>
        <v>9527.375</v>
      </c>
      <c r="I65" s="3">
        <v>1524.38</v>
      </c>
    </row>
    <row r="66" spans="1:9">
      <c r="A66" t="s">
        <v>69</v>
      </c>
      <c r="B66" s="1">
        <v>41370</v>
      </c>
      <c r="C66" t="s">
        <v>2720</v>
      </c>
      <c r="D66">
        <v>1</v>
      </c>
      <c r="E66" t="s">
        <v>1239</v>
      </c>
      <c r="F66" s="64" t="s">
        <v>1587</v>
      </c>
      <c r="G66" s="9" t="s">
        <v>1239</v>
      </c>
      <c r="H66" s="3">
        <f t="shared" si="3"/>
        <v>204</v>
      </c>
      <c r="I66" s="3">
        <v>32.64</v>
      </c>
    </row>
    <row r="67" spans="1:9">
      <c r="A67" t="s">
        <v>1538</v>
      </c>
      <c r="B67" s="1">
        <v>41394</v>
      </c>
      <c r="C67" t="s">
        <v>2537</v>
      </c>
      <c r="D67">
        <v>1</v>
      </c>
      <c r="E67" t="s">
        <v>514</v>
      </c>
      <c r="F67" s="9" t="s">
        <v>773</v>
      </c>
      <c r="G67" s="9" t="s">
        <v>514</v>
      </c>
      <c r="H67" s="3">
        <f t="shared" si="3"/>
        <v>44.8125</v>
      </c>
      <c r="I67" s="3">
        <v>7.17</v>
      </c>
    </row>
    <row r="68" spans="1:9">
      <c r="A68" t="s">
        <v>2617</v>
      </c>
      <c r="B68" s="1">
        <v>41394</v>
      </c>
      <c r="C68" t="s">
        <v>2618</v>
      </c>
      <c r="D68">
        <v>1</v>
      </c>
      <c r="E68" t="s">
        <v>514</v>
      </c>
      <c r="F68" s="9" t="s">
        <v>773</v>
      </c>
      <c r="G68" s="9" t="s">
        <v>514</v>
      </c>
      <c r="H68" s="3">
        <f t="shared" si="3"/>
        <v>34.4375</v>
      </c>
      <c r="I68" s="3">
        <v>5.51</v>
      </c>
    </row>
    <row r="69" spans="1:9">
      <c r="A69" t="s">
        <v>2629</v>
      </c>
      <c r="B69" s="1">
        <v>41394</v>
      </c>
      <c r="C69" t="s">
        <v>2625</v>
      </c>
      <c r="D69">
        <v>1</v>
      </c>
      <c r="E69" t="s">
        <v>514</v>
      </c>
      <c r="F69" s="9" t="s">
        <v>773</v>
      </c>
      <c r="G69" s="9" t="s">
        <v>514</v>
      </c>
      <c r="H69" s="3">
        <f t="shared" si="3"/>
        <v>44.8125</v>
      </c>
      <c r="I69" s="3">
        <v>7.17</v>
      </c>
    </row>
    <row r="70" spans="1:9">
      <c r="A70" t="s">
        <v>467</v>
      </c>
      <c r="B70" s="1">
        <v>41394</v>
      </c>
      <c r="C70" t="s">
        <v>2634</v>
      </c>
      <c r="D70">
        <v>1</v>
      </c>
      <c r="E70" t="s">
        <v>514</v>
      </c>
      <c r="F70" s="9" t="s">
        <v>773</v>
      </c>
      <c r="G70" s="9" t="s">
        <v>514</v>
      </c>
      <c r="H70" s="3">
        <f t="shared" si="3"/>
        <v>57.75</v>
      </c>
      <c r="I70" s="3">
        <v>9.24</v>
      </c>
    </row>
    <row r="71" spans="1:9">
      <c r="A71" t="s">
        <v>1764</v>
      </c>
      <c r="B71" s="1">
        <v>41372</v>
      </c>
      <c r="C71" t="s">
        <v>2390</v>
      </c>
      <c r="D71">
        <v>1</v>
      </c>
      <c r="E71" t="s">
        <v>2391</v>
      </c>
      <c r="F71" s="12" t="s">
        <v>775</v>
      </c>
      <c r="G71" s="9" t="s">
        <v>776</v>
      </c>
      <c r="H71" s="3">
        <f t="shared" si="3"/>
        <v>186701.3125</v>
      </c>
      <c r="I71" s="3">
        <v>29872.21</v>
      </c>
    </row>
    <row r="72" spans="1:9">
      <c r="A72" t="s">
        <v>2491</v>
      </c>
      <c r="B72" s="1">
        <v>41393</v>
      </c>
      <c r="C72" t="s">
        <v>2492</v>
      </c>
      <c r="D72">
        <v>1</v>
      </c>
      <c r="E72" t="s">
        <v>1275</v>
      </c>
      <c r="F72" s="12" t="s">
        <v>775</v>
      </c>
      <c r="G72" s="9" t="s">
        <v>776</v>
      </c>
      <c r="H72" s="3">
        <f t="shared" si="3"/>
        <v>199344.9375</v>
      </c>
      <c r="I72" s="3">
        <v>31895.19</v>
      </c>
    </row>
    <row r="73" spans="1:9">
      <c r="A73" t="s">
        <v>1959</v>
      </c>
      <c r="B73" s="1">
        <v>41394</v>
      </c>
      <c r="C73" t="s">
        <v>2503</v>
      </c>
      <c r="D73">
        <v>1</v>
      </c>
      <c r="E73" t="s">
        <v>2504</v>
      </c>
      <c r="F73" s="12" t="s">
        <v>775</v>
      </c>
      <c r="G73" s="9" t="s">
        <v>776</v>
      </c>
      <c r="H73" s="3">
        <f t="shared" si="3"/>
        <v>199344.9375</v>
      </c>
      <c r="I73" s="3">
        <v>31895.19</v>
      </c>
    </row>
    <row r="74" spans="1:9">
      <c r="A74" t="s">
        <v>2700</v>
      </c>
      <c r="B74" s="1">
        <v>41365</v>
      </c>
      <c r="C74" t="s">
        <v>2701</v>
      </c>
      <c r="D74">
        <v>1</v>
      </c>
      <c r="E74" t="s">
        <v>983</v>
      </c>
      <c r="F74" s="64" t="s">
        <v>2849</v>
      </c>
      <c r="G74" s="9" t="s">
        <v>983</v>
      </c>
      <c r="H74" s="3">
        <f t="shared" si="3"/>
        <v>1379.3125</v>
      </c>
      <c r="I74" s="3">
        <v>220.69</v>
      </c>
    </row>
    <row r="75" spans="1:9">
      <c r="A75" t="s">
        <v>14</v>
      </c>
      <c r="B75" s="1">
        <v>41365</v>
      </c>
      <c r="C75" t="s">
        <v>2702</v>
      </c>
      <c r="D75">
        <v>1</v>
      </c>
      <c r="E75" t="s">
        <v>983</v>
      </c>
      <c r="F75" s="64" t="s">
        <v>2849</v>
      </c>
      <c r="G75" s="9" t="s">
        <v>983</v>
      </c>
      <c r="H75" s="3">
        <f t="shared" si="3"/>
        <v>10000</v>
      </c>
      <c r="I75" s="3">
        <v>1600</v>
      </c>
    </row>
    <row r="76" spans="1:9">
      <c r="A76" t="s">
        <v>1143</v>
      </c>
      <c r="B76" s="1">
        <v>41377</v>
      </c>
      <c r="C76" t="s">
        <v>2757</v>
      </c>
      <c r="D76">
        <v>1</v>
      </c>
      <c r="E76" t="s">
        <v>373</v>
      </c>
      <c r="F76" s="9" t="s">
        <v>780</v>
      </c>
      <c r="G76" s="9" t="s">
        <v>373</v>
      </c>
      <c r="H76" s="3">
        <f t="shared" si="3"/>
        <v>15000</v>
      </c>
      <c r="I76" s="3">
        <v>2400</v>
      </c>
    </row>
    <row r="77" spans="1:9">
      <c r="A77" t="s">
        <v>1232</v>
      </c>
      <c r="B77" s="1">
        <v>41382</v>
      </c>
      <c r="C77" t="s">
        <v>2781</v>
      </c>
      <c r="D77">
        <v>1</v>
      </c>
      <c r="E77" t="s">
        <v>373</v>
      </c>
      <c r="F77" s="36" t="s">
        <v>780</v>
      </c>
      <c r="G77" s="9" t="s">
        <v>373</v>
      </c>
      <c r="H77" s="3">
        <f t="shared" si="3"/>
        <v>14405.75</v>
      </c>
      <c r="I77" s="3">
        <v>2304.92</v>
      </c>
    </row>
    <row r="78" spans="1:9">
      <c r="A78" t="s">
        <v>2842</v>
      </c>
      <c r="B78" s="1">
        <v>41394</v>
      </c>
      <c r="C78" t="s">
        <v>2843</v>
      </c>
      <c r="D78">
        <v>1</v>
      </c>
      <c r="E78" t="s">
        <v>373</v>
      </c>
      <c r="F78" s="9" t="s">
        <v>780</v>
      </c>
      <c r="G78" s="9" t="s">
        <v>373</v>
      </c>
      <c r="H78" s="3">
        <f t="shared" si="3"/>
        <v>15000</v>
      </c>
      <c r="I78" s="3">
        <v>2400</v>
      </c>
    </row>
    <row r="79" spans="1:9">
      <c r="A79" t="s">
        <v>2710</v>
      </c>
      <c r="B79" s="1">
        <v>41370</v>
      </c>
      <c r="C79" t="s">
        <v>2711</v>
      </c>
      <c r="D79">
        <v>1</v>
      </c>
      <c r="E79" t="s">
        <v>80</v>
      </c>
      <c r="F79" s="64" t="s">
        <v>781</v>
      </c>
      <c r="G79" s="9" t="s">
        <v>80</v>
      </c>
      <c r="H79" s="3">
        <f t="shared" si="3"/>
        <v>2926</v>
      </c>
      <c r="I79" s="3">
        <v>468.16</v>
      </c>
    </row>
    <row r="80" spans="1:9">
      <c r="A80" t="s">
        <v>2180</v>
      </c>
      <c r="B80" s="1">
        <v>41377</v>
      </c>
      <c r="C80" t="s">
        <v>2756</v>
      </c>
      <c r="D80">
        <v>1</v>
      </c>
      <c r="E80" t="s">
        <v>80</v>
      </c>
      <c r="F80" s="9" t="s">
        <v>781</v>
      </c>
      <c r="G80" s="9" t="s">
        <v>80</v>
      </c>
      <c r="H80" s="3">
        <f t="shared" si="3"/>
        <v>1835</v>
      </c>
      <c r="I80" s="3">
        <v>293.60000000000002</v>
      </c>
    </row>
    <row r="81" spans="1:12">
      <c r="A81" t="s">
        <v>282</v>
      </c>
      <c r="B81" s="1">
        <v>41382</v>
      </c>
      <c r="C81" t="s">
        <v>2782</v>
      </c>
      <c r="D81">
        <v>1</v>
      </c>
      <c r="E81" t="s">
        <v>80</v>
      </c>
      <c r="F81" s="36" t="s">
        <v>781</v>
      </c>
      <c r="G81" s="9" t="s">
        <v>80</v>
      </c>
      <c r="H81" s="3">
        <f t="shared" si="3"/>
        <v>1687.9999999999998</v>
      </c>
      <c r="I81" s="3">
        <v>270.08</v>
      </c>
    </row>
    <row r="82" spans="1:12">
      <c r="A82" t="s">
        <v>1561</v>
      </c>
      <c r="B82" s="1">
        <v>41394</v>
      </c>
      <c r="C82" t="s">
        <v>2815</v>
      </c>
      <c r="D82">
        <v>1</v>
      </c>
      <c r="E82" t="s">
        <v>80</v>
      </c>
      <c r="F82" s="9" t="s">
        <v>781</v>
      </c>
      <c r="G82" s="9" t="s">
        <v>80</v>
      </c>
      <c r="H82" s="3">
        <f t="shared" si="3"/>
        <v>2929.5</v>
      </c>
      <c r="I82" s="3">
        <v>468.72</v>
      </c>
    </row>
    <row r="83" spans="1:12">
      <c r="A83" t="s">
        <v>309</v>
      </c>
      <c r="B83" s="1">
        <v>41394</v>
      </c>
      <c r="C83" t="s">
        <v>2841</v>
      </c>
      <c r="D83">
        <v>1</v>
      </c>
      <c r="E83" t="s">
        <v>80</v>
      </c>
      <c r="F83" s="9" t="s">
        <v>781</v>
      </c>
      <c r="G83" s="9" t="s">
        <v>80</v>
      </c>
      <c r="H83" s="3">
        <f t="shared" si="3"/>
        <v>348</v>
      </c>
      <c r="I83" s="3">
        <v>55.68</v>
      </c>
    </row>
    <row r="84" spans="1:12">
      <c r="A84" t="s">
        <v>2567</v>
      </c>
      <c r="B84" s="1">
        <v>41394</v>
      </c>
      <c r="C84" t="s">
        <v>2568</v>
      </c>
      <c r="D84">
        <v>1</v>
      </c>
      <c r="E84" t="s">
        <v>618</v>
      </c>
      <c r="F84" s="9" t="s">
        <v>784</v>
      </c>
      <c r="G84" s="9" t="s">
        <v>618</v>
      </c>
      <c r="H84" s="3">
        <f t="shared" si="3"/>
        <v>69</v>
      </c>
      <c r="I84" s="3">
        <v>11.04</v>
      </c>
    </row>
    <row r="85" spans="1:12">
      <c r="A85" t="s">
        <v>2627</v>
      </c>
      <c r="B85" s="1">
        <v>41394</v>
      </c>
      <c r="C85" t="s">
        <v>2628</v>
      </c>
      <c r="D85">
        <v>1</v>
      </c>
      <c r="E85" t="s">
        <v>1446</v>
      </c>
      <c r="F85" s="9" t="s">
        <v>1593</v>
      </c>
      <c r="G85" s="66" t="s">
        <v>1446</v>
      </c>
      <c r="H85" s="3">
        <f t="shared" si="3"/>
        <v>385.37499999999994</v>
      </c>
      <c r="I85" s="3">
        <v>61.66</v>
      </c>
      <c r="J85" s="14" t="e">
        <f>+H85-#REF!</f>
        <v>#REF!</v>
      </c>
      <c r="K85" s="14" t="e">
        <f>+I85-#REF!</f>
        <v>#REF!</v>
      </c>
      <c r="L85" t="s">
        <v>900</v>
      </c>
    </row>
    <row r="86" spans="1:12">
      <c r="A86" t="s">
        <v>963</v>
      </c>
      <c r="B86" s="1">
        <v>41365</v>
      </c>
      <c r="C86" t="s">
        <v>2699</v>
      </c>
      <c r="D86">
        <v>1</v>
      </c>
      <c r="E86" t="s">
        <v>973</v>
      </c>
      <c r="F86" s="12" t="s">
        <v>1594</v>
      </c>
      <c r="G86" s="9" t="s">
        <v>973</v>
      </c>
      <c r="H86" s="3">
        <f t="shared" si="3"/>
        <v>2859</v>
      </c>
      <c r="I86" s="3">
        <v>457.44</v>
      </c>
    </row>
    <row r="87" spans="1:12">
      <c r="A87" t="s">
        <v>2738</v>
      </c>
      <c r="B87" s="1">
        <v>41375</v>
      </c>
      <c r="C87" t="s">
        <v>2739</v>
      </c>
      <c r="D87">
        <v>1</v>
      </c>
      <c r="E87" t="s">
        <v>973</v>
      </c>
      <c r="F87" s="9" t="s">
        <v>1594</v>
      </c>
      <c r="G87" s="9" t="s">
        <v>973</v>
      </c>
      <c r="H87" s="3">
        <f t="shared" si="3"/>
        <v>2823.25</v>
      </c>
      <c r="I87" s="3">
        <v>451.72</v>
      </c>
    </row>
    <row r="88" spans="1:12">
      <c r="A88" t="s">
        <v>227</v>
      </c>
      <c r="B88" s="1">
        <v>41381</v>
      </c>
      <c r="C88" t="s">
        <v>2761</v>
      </c>
      <c r="D88">
        <v>1</v>
      </c>
      <c r="E88" t="s">
        <v>973</v>
      </c>
      <c r="F88" s="12" t="s">
        <v>1594</v>
      </c>
      <c r="G88" s="9" t="s">
        <v>973</v>
      </c>
      <c r="H88" s="3">
        <f t="shared" si="3"/>
        <v>2500</v>
      </c>
      <c r="I88" s="3">
        <v>400</v>
      </c>
    </row>
    <row r="89" spans="1:12">
      <c r="A89" t="s">
        <v>2449</v>
      </c>
      <c r="B89" s="1">
        <v>41386</v>
      </c>
      <c r="C89" t="s">
        <v>2450</v>
      </c>
      <c r="D89">
        <v>1</v>
      </c>
      <c r="E89" t="s">
        <v>2451</v>
      </c>
      <c r="F89" s="9" t="s">
        <v>1595</v>
      </c>
      <c r="G89" s="9" t="s">
        <v>1596</v>
      </c>
      <c r="H89" s="3">
        <f t="shared" si="3"/>
        <v>277751.8125</v>
      </c>
      <c r="I89" s="3">
        <v>44440.29</v>
      </c>
    </row>
    <row r="90" spans="1:12">
      <c r="A90" t="s">
        <v>1483</v>
      </c>
      <c r="B90" s="1">
        <v>41394</v>
      </c>
      <c r="C90" t="s">
        <v>2522</v>
      </c>
      <c r="D90">
        <v>1</v>
      </c>
      <c r="E90" t="s">
        <v>2523</v>
      </c>
      <c r="F90" s="67" t="s">
        <v>829</v>
      </c>
      <c r="G90" s="68" t="s">
        <v>6</v>
      </c>
      <c r="H90" s="3">
        <f t="shared" si="3"/>
        <v>681.625</v>
      </c>
      <c r="I90" s="3">
        <v>109.06</v>
      </c>
    </row>
    <row r="91" spans="1:12">
      <c r="A91" t="s">
        <v>1479</v>
      </c>
      <c r="B91" s="1">
        <v>41394</v>
      </c>
      <c r="C91" t="s">
        <v>2520</v>
      </c>
      <c r="D91">
        <v>1</v>
      </c>
      <c r="E91" t="s">
        <v>2521</v>
      </c>
      <c r="F91" s="67" t="s">
        <v>829</v>
      </c>
      <c r="G91" s="68" t="s">
        <v>6</v>
      </c>
      <c r="H91" s="3">
        <f t="shared" si="3"/>
        <v>644.1875</v>
      </c>
      <c r="I91" s="3">
        <v>103.07</v>
      </c>
    </row>
    <row r="92" spans="1:12">
      <c r="A92" t="s">
        <v>2621</v>
      </c>
      <c r="B92" s="1">
        <v>41394</v>
      </c>
      <c r="C92" t="s">
        <v>2622</v>
      </c>
      <c r="D92">
        <v>1</v>
      </c>
      <c r="E92" t="s">
        <v>2623</v>
      </c>
      <c r="F92" t="s">
        <v>946</v>
      </c>
      <c r="G92" t="s">
        <v>2850</v>
      </c>
      <c r="H92" s="3">
        <f t="shared" si="3"/>
        <v>8.625</v>
      </c>
      <c r="I92" s="3">
        <v>1.38</v>
      </c>
      <c r="J92" s="14" t="e">
        <f>+H92-#REF!</f>
        <v>#REF!</v>
      </c>
      <c r="K92" s="14" t="e">
        <f>-I92-#REF!</f>
        <v>#REF!</v>
      </c>
      <c r="L92" t="s">
        <v>900</v>
      </c>
    </row>
    <row r="93" spans="1:12">
      <c r="A93" t="s">
        <v>2209</v>
      </c>
      <c r="B93" s="1">
        <v>41386</v>
      </c>
      <c r="C93" t="s">
        <v>2794</v>
      </c>
      <c r="D93">
        <v>1</v>
      </c>
      <c r="E93" t="s">
        <v>1011</v>
      </c>
      <c r="F93" s="36" t="s">
        <v>1600</v>
      </c>
      <c r="G93" s="9" t="s">
        <v>1011</v>
      </c>
      <c r="H93" s="3">
        <f t="shared" si="3"/>
        <v>10379.375</v>
      </c>
      <c r="I93" s="3">
        <v>1660.7</v>
      </c>
    </row>
    <row r="94" spans="1:12">
      <c r="A94" t="s">
        <v>2169</v>
      </c>
      <c r="B94" s="1">
        <v>41374</v>
      </c>
      <c r="C94" t="s">
        <v>2735</v>
      </c>
      <c r="D94">
        <v>1</v>
      </c>
      <c r="E94" t="s">
        <v>965</v>
      </c>
      <c r="F94" s="9" t="s">
        <v>2867</v>
      </c>
      <c r="G94" s="9" t="s">
        <v>2868</v>
      </c>
      <c r="H94" s="3">
        <f>+I94/0.16</f>
        <v>1670.6875</v>
      </c>
      <c r="I94" s="3">
        <v>267.31</v>
      </c>
    </row>
    <row r="95" spans="1:12" s="141" customFormat="1">
      <c r="A95" s="141" t="s">
        <v>2190</v>
      </c>
      <c r="B95" s="142">
        <v>41381</v>
      </c>
      <c r="C95" s="141" t="s">
        <v>2765</v>
      </c>
      <c r="D95" s="141">
        <v>1</v>
      </c>
      <c r="E95" s="141" t="s">
        <v>965</v>
      </c>
      <c r="F95" s="143" t="s">
        <v>2865</v>
      </c>
      <c r="G95" s="143" t="s">
        <v>2866</v>
      </c>
      <c r="H95" s="144">
        <f t="shared" si="3"/>
        <v>137.5625</v>
      </c>
      <c r="I95" s="144">
        <v>22.01</v>
      </c>
      <c r="J95" s="145"/>
      <c r="K95" s="145"/>
    </row>
    <row r="96" spans="1:12" s="141" customFormat="1">
      <c r="A96" s="141" t="s">
        <v>2770</v>
      </c>
      <c r="B96" s="142">
        <v>41382</v>
      </c>
      <c r="C96" s="141" t="s">
        <v>2771</v>
      </c>
      <c r="D96" s="141">
        <v>1</v>
      </c>
      <c r="E96" s="141" t="s">
        <v>965</v>
      </c>
      <c r="F96" t="s">
        <v>946</v>
      </c>
      <c r="G96" s="146" t="s">
        <v>1581</v>
      </c>
      <c r="H96" s="147">
        <f t="shared" ref="H96" si="4">I96/0.16</f>
        <v>172.375</v>
      </c>
      <c r="I96" s="147">
        <f>27.6-0.02</f>
        <v>27.580000000000002</v>
      </c>
      <c r="J96" s="145">
        <f>172.38-H96</f>
        <v>4.9999999999954525E-3</v>
      </c>
      <c r="K96" s="145">
        <f>27.58-I96</f>
        <v>0</v>
      </c>
      <c r="L96" s="141" t="s">
        <v>900</v>
      </c>
    </row>
    <row r="97" spans="1:12">
      <c r="A97" t="s">
        <v>1197</v>
      </c>
      <c r="B97" s="1">
        <v>41394</v>
      </c>
      <c r="C97" t="s">
        <v>2821</v>
      </c>
      <c r="D97">
        <v>2</v>
      </c>
      <c r="E97" t="s">
        <v>220</v>
      </c>
      <c r="F97" s="9" t="s">
        <v>797</v>
      </c>
      <c r="G97" s="9" t="s">
        <v>220</v>
      </c>
      <c r="H97" s="3">
        <f t="shared" si="3"/>
        <v>7995</v>
      </c>
      <c r="I97" s="3">
        <v>1279.2</v>
      </c>
    </row>
    <row r="98" spans="1:12">
      <c r="A98" t="s">
        <v>72</v>
      </c>
      <c r="B98" s="1">
        <v>41370</v>
      </c>
      <c r="C98" t="s">
        <v>2721</v>
      </c>
      <c r="D98">
        <v>1</v>
      </c>
      <c r="E98" t="s">
        <v>77</v>
      </c>
      <c r="F98" s="64" t="s">
        <v>798</v>
      </c>
      <c r="G98" s="9" t="s">
        <v>77</v>
      </c>
      <c r="H98" s="3">
        <f t="shared" si="3"/>
        <v>2521.8125</v>
      </c>
      <c r="I98" s="3">
        <v>403.49</v>
      </c>
    </row>
    <row r="99" spans="1:12">
      <c r="A99" t="s">
        <v>1145</v>
      </c>
      <c r="B99" s="1">
        <v>41377</v>
      </c>
      <c r="C99" t="s">
        <v>2758</v>
      </c>
      <c r="D99">
        <v>1</v>
      </c>
      <c r="E99" t="s">
        <v>77</v>
      </c>
      <c r="F99" s="9" t="s">
        <v>798</v>
      </c>
      <c r="G99" s="9" t="s">
        <v>77</v>
      </c>
      <c r="H99" s="3">
        <f t="shared" si="3"/>
        <v>2529.625</v>
      </c>
      <c r="I99" s="3">
        <v>404.74</v>
      </c>
    </row>
    <row r="100" spans="1:12">
      <c r="A100" t="s">
        <v>2789</v>
      </c>
      <c r="B100" s="1">
        <v>41382</v>
      </c>
      <c r="C100" t="s">
        <v>2790</v>
      </c>
      <c r="D100">
        <v>1</v>
      </c>
      <c r="E100" t="s">
        <v>77</v>
      </c>
      <c r="F100" s="9" t="s">
        <v>798</v>
      </c>
      <c r="G100" s="9" t="s">
        <v>77</v>
      </c>
      <c r="H100" s="3">
        <f t="shared" si="3"/>
        <v>495.1875</v>
      </c>
      <c r="I100" s="3">
        <v>79.23</v>
      </c>
      <c r="J100" s="14" t="e">
        <f>+H100-#REF!</f>
        <v>#REF!</v>
      </c>
      <c r="K100" t="e">
        <f>+I100-#REF!</f>
        <v>#REF!</v>
      </c>
      <c r="L100" t="s">
        <v>900</v>
      </c>
    </row>
    <row r="101" spans="1:12">
      <c r="A101" t="s">
        <v>393</v>
      </c>
      <c r="B101" s="1">
        <v>41394</v>
      </c>
      <c r="C101" t="s">
        <v>2817</v>
      </c>
      <c r="D101">
        <v>1</v>
      </c>
      <c r="E101" t="s">
        <v>77</v>
      </c>
      <c r="F101" s="9" t="s">
        <v>798</v>
      </c>
      <c r="G101" s="9" t="s">
        <v>77</v>
      </c>
      <c r="H101" s="3">
        <f t="shared" si="3"/>
        <v>187.99999999999997</v>
      </c>
      <c r="I101" s="3">
        <v>30.08</v>
      </c>
    </row>
    <row r="102" spans="1:12">
      <c r="A102" t="s">
        <v>354</v>
      </c>
      <c r="B102" s="1">
        <v>41394</v>
      </c>
      <c r="C102" t="s">
        <v>2840</v>
      </c>
      <c r="D102">
        <v>1</v>
      </c>
      <c r="E102" t="s">
        <v>77</v>
      </c>
      <c r="F102" s="9" t="s">
        <v>798</v>
      </c>
      <c r="G102" s="9" t="s">
        <v>77</v>
      </c>
      <c r="H102" s="3">
        <f t="shared" si="3"/>
        <v>2298.8125</v>
      </c>
      <c r="I102" s="3">
        <v>367.81</v>
      </c>
    </row>
    <row r="103" spans="1:12">
      <c r="A103" t="s">
        <v>518</v>
      </c>
      <c r="B103" s="1">
        <v>41394</v>
      </c>
      <c r="C103" t="s">
        <v>2659</v>
      </c>
      <c r="D103">
        <v>1</v>
      </c>
      <c r="E103" t="s">
        <v>2660</v>
      </c>
      <c r="F103" s="9" t="s">
        <v>941</v>
      </c>
      <c r="G103" s="9" t="s">
        <v>1641</v>
      </c>
      <c r="H103" s="65">
        <f t="shared" ref="H103:H105" si="5">I103/0.16</f>
        <v>73.25</v>
      </c>
      <c r="I103" s="65">
        <v>11.72</v>
      </c>
      <c r="J103" s="3"/>
      <c r="K103" s="3"/>
    </row>
    <row r="104" spans="1:12">
      <c r="A104" t="s">
        <v>518</v>
      </c>
      <c r="B104" s="1">
        <v>41394</v>
      </c>
      <c r="C104" t="s">
        <v>2659</v>
      </c>
      <c r="D104">
        <v>1</v>
      </c>
      <c r="E104" t="s">
        <v>2660</v>
      </c>
      <c r="F104" t="s">
        <v>946</v>
      </c>
      <c r="G104" t="s">
        <v>947</v>
      </c>
      <c r="H104" s="3">
        <f t="shared" si="5"/>
        <v>240.68749999999997</v>
      </c>
      <c r="I104" s="46">
        <f>36.29+2.22</f>
        <v>38.51</v>
      </c>
    </row>
    <row r="105" spans="1:12">
      <c r="A105" t="s">
        <v>518</v>
      </c>
      <c r="B105" s="1">
        <v>41394</v>
      </c>
      <c r="C105" t="s">
        <v>2659</v>
      </c>
      <c r="D105">
        <v>1</v>
      </c>
      <c r="E105" t="s">
        <v>2660</v>
      </c>
      <c r="F105" s="9" t="s">
        <v>2851</v>
      </c>
      <c r="G105" s="9" t="s">
        <v>2852</v>
      </c>
      <c r="H105" s="65">
        <f t="shared" si="5"/>
        <v>417.12499999999994</v>
      </c>
      <c r="I105" s="65">
        <v>66.739999999999995</v>
      </c>
      <c r="J105" s="14">
        <f>731.06-H103-H104-H105</f>
        <v>-2.4999999999977263E-3</v>
      </c>
      <c r="K105" s="14">
        <f>116.97-I103-I104-I105</f>
        <v>0</v>
      </c>
      <c r="L105" t="s">
        <v>900</v>
      </c>
    </row>
    <row r="106" spans="1:12">
      <c r="A106" t="s">
        <v>2569</v>
      </c>
      <c r="B106" s="1">
        <v>41394</v>
      </c>
      <c r="C106" t="s">
        <v>2570</v>
      </c>
      <c r="D106">
        <v>1</v>
      </c>
      <c r="E106" t="s">
        <v>2571</v>
      </c>
      <c r="F106" s="9" t="s">
        <v>2853</v>
      </c>
      <c r="G106" s="9" t="s">
        <v>2571</v>
      </c>
      <c r="H106" s="3">
        <f t="shared" si="3"/>
        <v>48.625</v>
      </c>
      <c r="I106" s="3">
        <v>7.78</v>
      </c>
    </row>
    <row r="107" spans="1:12">
      <c r="A107" t="s">
        <v>2575</v>
      </c>
      <c r="B107" s="1">
        <v>41394</v>
      </c>
      <c r="C107" t="s">
        <v>2576</v>
      </c>
      <c r="D107">
        <v>1</v>
      </c>
      <c r="E107" t="s">
        <v>2571</v>
      </c>
      <c r="F107" s="9" t="s">
        <v>2853</v>
      </c>
      <c r="G107" s="9" t="s">
        <v>2571</v>
      </c>
      <c r="H107" s="3">
        <f t="shared" si="3"/>
        <v>60.624999999999993</v>
      </c>
      <c r="I107" s="3">
        <v>9.6999999999999993</v>
      </c>
    </row>
    <row r="108" spans="1:12">
      <c r="A108" t="s">
        <v>2601</v>
      </c>
      <c r="B108" s="1">
        <v>41394</v>
      </c>
      <c r="C108" t="s">
        <v>2602</v>
      </c>
      <c r="D108">
        <v>1</v>
      </c>
      <c r="E108" t="s">
        <v>2571</v>
      </c>
      <c r="F108" s="9" t="s">
        <v>2853</v>
      </c>
      <c r="G108" s="9" t="s">
        <v>2571</v>
      </c>
      <c r="H108" s="3">
        <f t="shared" si="3"/>
        <v>111.74999999999999</v>
      </c>
      <c r="I108" s="3">
        <v>17.88</v>
      </c>
    </row>
    <row r="109" spans="1:12">
      <c r="A109" t="s">
        <v>2615</v>
      </c>
      <c r="B109" s="1">
        <v>41394</v>
      </c>
      <c r="C109" t="s">
        <v>2616</v>
      </c>
      <c r="D109">
        <v>1</v>
      </c>
      <c r="E109" t="s">
        <v>2571</v>
      </c>
      <c r="F109" t="s">
        <v>946</v>
      </c>
      <c r="G109" t="s">
        <v>2850</v>
      </c>
      <c r="H109" s="3">
        <f t="shared" si="3"/>
        <v>10.3125</v>
      </c>
      <c r="I109" s="3">
        <v>1.65</v>
      </c>
    </row>
    <row r="110" spans="1:12">
      <c r="A110" t="s">
        <v>47</v>
      </c>
      <c r="B110" s="1">
        <v>41370</v>
      </c>
      <c r="C110" t="s">
        <v>2717</v>
      </c>
      <c r="D110">
        <v>2</v>
      </c>
      <c r="E110" t="s">
        <v>74</v>
      </c>
      <c r="F110" s="64" t="s">
        <v>803</v>
      </c>
      <c r="G110" s="9" t="s">
        <v>74</v>
      </c>
      <c r="H110" s="3">
        <f t="shared" ref="H110:H176" si="6">+I110/0.16</f>
        <v>8038.3750000000009</v>
      </c>
      <c r="I110" s="3">
        <v>1286.1400000000001</v>
      </c>
    </row>
    <row r="111" spans="1:12">
      <c r="A111" t="s">
        <v>185</v>
      </c>
      <c r="B111" s="1">
        <v>41377</v>
      </c>
      <c r="C111" t="s">
        <v>2759</v>
      </c>
      <c r="D111">
        <v>2</v>
      </c>
      <c r="E111" t="s">
        <v>74</v>
      </c>
      <c r="F111" s="9" t="s">
        <v>803</v>
      </c>
      <c r="G111" s="9" t="s">
        <v>74</v>
      </c>
      <c r="H111" s="3">
        <f t="shared" si="6"/>
        <v>20740.4375</v>
      </c>
      <c r="I111" s="3">
        <v>3318.47</v>
      </c>
    </row>
    <row r="112" spans="1:12">
      <c r="A112" t="s">
        <v>1235</v>
      </c>
      <c r="B112" s="1">
        <v>41382</v>
      </c>
      <c r="C112" t="s">
        <v>2783</v>
      </c>
      <c r="D112">
        <v>2</v>
      </c>
      <c r="E112" t="s">
        <v>74</v>
      </c>
      <c r="F112" s="9" t="s">
        <v>803</v>
      </c>
      <c r="G112" s="9" t="s">
        <v>74</v>
      </c>
      <c r="H112" s="3">
        <f t="shared" si="6"/>
        <v>3970.4999999999995</v>
      </c>
      <c r="I112" s="3">
        <v>635.28</v>
      </c>
    </row>
    <row r="113" spans="1:9">
      <c r="A113" t="s">
        <v>1564</v>
      </c>
      <c r="B113" s="1">
        <v>41394</v>
      </c>
      <c r="C113" t="s">
        <v>2819</v>
      </c>
      <c r="D113">
        <v>2</v>
      </c>
      <c r="E113" t="s">
        <v>74</v>
      </c>
      <c r="F113" s="9" t="s">
        <v>803</v>
      </c>
      <c r="G113" s="9" t="s">
        <v>74</v>
      </c>
      <c r="H113" s="3">
        <f t="shared" si="6"/>
        <v>21084.0625</v>
      </c>
      <c r="I113" s="3">
        <v>3373.45</v>
      </c>
    </row>
    <row r="114" spans="1:9">
      <c r="A114" t="s">
        <v>2740</v>
      </c>
      <c r="B114" s="1">
        <v>41375</v>
      </c>
      <c r="C114" t="s">
        <v>2741</v>
      </c>
      <c r="D114">
        <v>1</v>
      </c>
      <c r="E114" t="s">
        <v>112</v>
      </c>
      <c r="F114" s="9" t="s">
        <v>805</v>
      </c>
      <c r="G114" s="9" t="s">
        <v>112</v>
      </c>
      <c r="H114" s="3">
        <f t="shared" si="6"/>
        <v>25000</v>
      </c>
      <c r="I114" s="3">
        <v>4000</v>
      </c>
    </row>
    <row r="115" spans="1:9">
      <c r="A115" t="s">
        <v>1071</v>
      </c>
      <c r="B115" s="1">
        <v>41372</v>
      </c>
      <c r="C115" t="s">
        <v>2730</v>
      </c>
      <c r="D115">
        <v>1</v>
      </c>
      <c r="E115" t="s">
        <v>2731</v>
      </c>
      <c r="F115" s="9" t="s">
        <v>2854</v>
      </c>
      <c r="G115" s="9" t="s">
        <v>2731</v>
      </c>
      <c r="H115" s="3">
        <f t="shared" si="6"/>
        <v>2234.125</v>
      </c>
      <c r="I115" s="3">
        <v>357.46</v>
      </c>
    </row>
    <row r="116" spans="1:9">
      <c r="A116" t="s">
        <v>524</v>
      </c>
      <c r="B116" s="1">
        <v>41394</v>
      </c>
      <c r="C116" t="s">
        <v>2661</v>
      </c>
      <c r="D116">
        <v>1</v>
      </c>
      <c r="E116" t="s">
        <v>2662</v>
      </c>
      <c r="F116" t="s">
        <v>946</v>
      </c>
      <c r="G116" t="s">
        <v>1581</v>
      </c>
      <c r="H116" s="3">
        <f t="shared" si="6"/>
        <v>56.0625</v>
      </c>
      <c r="I116" s="3">
        <v>8.9700000000000006</v>
      </c>
    </row>
    <row r="117" spans="1:9">
      <c r="A117" t="s">
        <v>78</v>
      </c>
      <c r="B117" s="1">
        <v>41370</v>
      </c>
      <c r="C117" t="s">
        <v>2723</v>
      </c>
      <c r="D117">
        <v>1</v>
      </c>
      <c r="E117" t="s">
        <v>2724</v>
      </c>
      <c r="F117" s="64" t="s">
        <v>2855</v>
      </c>
      <c r="G117" s="9" t="s">
        <v>2724</v>
      </c>
      <c r="H117" s="3">
        <f t="shared" si="6"/>
        <v>3500</v>
      </c>
      <c r="I117" s="3">
        <v>560</v>
      </c>
    </row>
    <row r="118" spans="1:9">
      <c r="A118" t="s">
        <v>2807</v>
      </c>
      <c r="B118" s="1">
        <v>41394</v>
      </c>
      <c r="C118" t="s">
        <v>2808</v>
      </c>
      <c r="D118">
        <v>1</v>
      </c>
      <c r="E118" t="s">
        <v>2724</v>
      </c>
      <c r="F118" s="9" t="s">
        <v>2855</v>
      </c>
      <c r="G118" s="9" t="s">
        <v>2724</v>
      </c>
      <c r="H118" s="3">
        <f t="shared" si="6"/>
        <v>3500</v>
      </c>
      <c r="I118" s="3">
        <v>560</v>
      </c>
    </row>
    <row r="119" spans="1:9">
      <c r="A119" t="s">
        <v>456</v>
      </c>
      <c r="B119" s="1">
        <v>41394</v>
      </c>
      <c r="C119" t="s">
        <v>2535</v>
      </c>
      <c r="D119">
        <v>1</v>
      </c>
      <c r="E119" t="s">
        <v>2536</v>
      </c>
      <c r="F119" s="9" t="s">
        <v>809</v>
      </c>
      <c r="G119" s="9" t="s">
        <v>2536</v>
      </c>
      <c r="H119" s="3">
        <f t="shared" si="6"/>
        <v>264.6875</v>
      </c>
      <c r="I119" s="3">
        <v>42.35</v>
      </c>
    </row>
    <row r="120" spans="1:9">
      <c r="A120" t="s">
        <v>84</v>
      </c>
      <c r="B120" s="1">
        <v>41370</v>
      </c>
      <c r="C120" t="s">
        <v>2726</v>
      </c>
      <c r="D120">
        <v>2</v>
      </c>
      <c r="E120" t="s">
        <v>207</v>
      </c>
      <c r="F120" s="64" t="s">
        <v>806</v>
      </c>
      <c r="G120" s="9" t="s">
        <v>207</v>
      </c>
      <c r="H120" s="3">
        <f t="shared" si="6"/>
        <v>4858</v>
      </c>
      <c r="I120" s="3">
        <v>777.28</v>
      </c>
    </row>
    <row r="121" spans="1:9">
      <c r="A121" t="s">
        <v>187</v>
      </c>
      <c r="B121" s="1">
        <v>41377</v>
      </c>
      <c r="C121" t="s">
        <v>2760</v>
      </c>
      <c r="D121">
        <v>2</v>
      </c>
      <c r="E121" t="s">
        <v>207</v>
      </c>
      <c r="F121" s="9" t="s">
        <v>806</v>
      </c>
      <c r="G121" s="9" t="s">
        <v>207</v>
      </c>
      <c r="H121" s="3">
        <f t="shared" si="6"/>
        <v>1764</v>
      </c>
      <c r="I121" s="3">
        <v>282.24</v>
      </c>
    </row>
    <row r="122" spans="1:9">
      <c r="A122" t="s">
        <v>2774</v>
      </c>
      <c r="B122" s="1">
        <v>41382</v>
      </c>
      <c r="C122" t="s">
        <v>2775</v>
      </c>
      <c r="D122">
        <v>2</v>
      </c>
      <c r="E122" t="s">
        <v>207</v>
      </c>
      <c r="F122" s="12" t="s">
        <v>806</v>
      </c>
      <c r="G122" s="9" t="s">
        <v>207</v>
      </c>
      <c r="H122" s="3">
        <f t="shared" si="6"/>
        <v>2562</v>
      </c>
      <c r="I122" s="3">
        <v>409.92</v>
      </c>
    </row>
    <row r="123" spans="1:9">
      <c r="A123" t="s">
        <v>2811</v>
      </c>
      <c r="B123" s="1">
        <v>41394</v>
      </c>
      <c r="C123" t="s">
        <v>2812</v>
      </c>
      <c r="D123">
        <v>2</v>
      </c>
      <c r="E123" t="s">
        <v>207</v>
      </c>
      <c r="F123" s="9" t="s">
        <v>806</v>
      </c>
      <c r="G123" s="9" t="s">
        <v>207</v>
      </c>
      <c r="H123" s="3">
        <f t="shared" si="6"/>
        <v>882</v>
      </c>
      <c r="I123" s="3">
        <v>141.12</v>
      </c>
    </row>
    <row r="124" spans="1:9">
      <c r="A124" t="s">
        <v>707</v>
      </c>
      <c r="B124" s="1">
        <v>41394</v>
      </c>
      <c r="C124" t="s">
        <v>2826</v>
      </c>
      <c r="D124">
        <v>1</v>
      </c>
      <c r="E124" t="s">
        <v>2827</v>
      </c>
      <c r="F124" s="9" t="s">
        <v>2856</v>
      </c>
      <c r="G124" s="9" t="s">
        <v>2827</v>
      </c>
      <c r="H124" s="3">
        <f t="shared" si="6"/>
        <v>5980</v>
      </c>
      <c r="I124" s="3">
        <v>956.8</v>
      </c>
    </row>
    <row r="125" spans="1:9">
      <c r="A125" t="s">
        <v>709</v>
      </c>
      <c r="B125" s="1">
        <v>41394</v>
      </c>
      <c r="C125" t="s">
        <v>2828</v>
      </c>
      <c r="D125">
        <v>1</v>
      </c>
      <c r="E125" t="s">
        <v>2827</v>
      </c>
      <c r="F125" s="9" t="s">
        <v>2856</v>
      </c>
      <c r="G125" s="9" t="s">
        <v>2827</v>
      </c>
      <c r="H125" s="3">
        <f t="shared" si="6"/>
        <v>3017.25</v>
      </c>
      <c r="I125" s="3">
        <v>482.76</v>
      </c>
    </row>
    <row r="126" spans="1:9">
      <c r="A126" t="s">
        <v>1686</v>
      </c>
      <c r="B126" s="1">
        <v>41394</v>
      </c>
      <c r="C126" t="s">
        <v>2531</v>
      </c>
      <c r="D126">
        <v>1</v>
      </c>
      <c r="E126" t="s">
        <v>2532</v>
      </c>
      <c r="F126" s="30" t="s">
        <v>886</v>
      </c>
      <c r="G126" s="31" t="s">
        <v>887</v>
      </c>
      <c r="H126" s="3">
        <f t="shared" si="6"/>
        <v>2595.1875</v>
      </c>
      <c r="I126" s="3">
        <v>415.23</v>
      </c>
    </row>
    <row r="127" spans="1:9">
      <c r="A127" t="s">
        <v>136</v>
      </c>
      <c r="B127" s="1">
        <v>41375</v>
      </c>
      <c r="C127" t="s">
        <v>2736</v>
      </c>
      <c r="D127">
        <v>1</v>
      </c>
      <c r="E127" t="s">
        <v>1157</v>
      </c>
      <c r="F127" s="9" t="s">
        <v>764</v>
      </c>
      <c r="G127" s="9" t="s">
        <v>100</v>
      </c>
      <c r="H127" s="3">
        <f t="shared" si="6"/>
        <v>21268.5</v>
      </c>
      <c r="I127" s="3">
        <v>3402.96</v>
      </c>
    </row>
    <row r="128" spans="1:9">
      <c r="A128" t="s">
        <v>1470</v>
      </c>
      <c r="B128" s="1">
        <v>41394</v>
      </c>
      <c r="C128" t="s">
        <v>433</v>
      </c>
      <c r="D128">
        <v>1</v>
      </c>
      <c r="E128" t="s">
        <v>2519</v>
      </c>
      <c r="F128" s="21" t="s">
        <v>827</v>
      </c>
      <c r="G128" s="22" t="s">
        <v>828</v>
      </c>
      <c r="H128" s="3">
        <f t="shared" si="6"/>
        <v>10436.75</v>
      </c>
      <c r="I128" s="3">
        <v>1669.88</v>
      </c>
    </row>
    <row r="129" spans="1:12">
      <c r="A129" t="s">
        <v>1712</v>
      </c>
      <c r="B129" s="1">
        <v>41365</v>
      </c>
      <c r="C129" t="s">
        <v>2510</v>
      </c>
      <c r="D129">
        <v>1</v>
      </c>
      <c r="E129" t="s">
        <v>5</v>
      </c>
      <c r="F129" s="18" t="s">
        <v>816</v>
      </c>
      <c r="G129" s="19" t="s">
        <v>5</v>
      </c>
      <c r="H129" s="3">
        <f t="shared" si="6"/>
        <v>107142.875</v>
      </c>
      <c r="I129" s="3">
        <v>17142.86</v>
      </c>
    </row>
    <row r="130" spans="1:12">
      <c r="A130" t="s">
        <v>2407</v>
      </c>
      <c r="B130" s="1">
        <v>41380</v>
      </c>
      <c r="C130" t="s">
        <v>2408</v>
      </c>
      <c r="D130">
        <v>1</v>
      </c>
      <c r="E130" t="s">
        <v>2409</v>
      </c>
      <c r="F130" s="67" t="s">
        <v>829</v>
      </c>
      <c r="G130" s="68" t="s">
        <v>6</v>
      </c>
      <c r="H130" s="3">
        <f t="shared" si="6"/>
        <v>9844.25</v>
      </c>
      <c r="I130" s="3">
        <v>1575.08</v>
      </c>
    </row>
    <row r="131" spans="1:12">
      <c r="A131" t="s">
        <v>2387</v>
      </c>
      <c r="B131" s="1">
        <v>41366</v>
      </c>
      <c r="C131" t="s">
        <v>2388</v>
      </c>
      <c r="D131">
        <v>1</v>
      </c>
      <c r="E131" t="s">
        <v>2389</v>
      </c>
      <c r="F131" s="67" t="s">
        <v>829</v>
      </c>
      <c r="G131" s="68" t="s">
        <v>6</v>
      </c>
      <c r="H131" s="3">
        <f t="shared" si="6"/>
        <v>1770.625</v>
      </c>
      <c r="I131" s="3">
        <v>283.3</v>
      </c>
    </row>
    <row r="132" spans="1:12">
      <c r="A132" t="s">
        <v>2338</v>
      </c>
      <c r="B132" s="1">
        <v>41365</v>
      </c>
      <c r="C132" t="s">
        <v>2511</v>
      </c>
      <c r="D132">
        <v>1</v>
      </c>
      <c r="E132" t="s">
        <v>2</v>
      </c>
      <c r="F132" s="18" t="s">
        <v>843</v>
      </c>
      <c r="G132" s="19" t="s">
        <v>844</v>
      </c>
      <c r="H132" s="3">
        <f t="shared" si="6"/>
        <v>107142.81249999999</v>
      </c>
      <c r="I132" s="3">
        <v>17142.849999999999</v>
      </c>
    </row>
    <row r="133" spans="1:12">
      <c r="A133" t="s">
        <v>2459</v>
      </c>
      <c r="B133" s="1">
        <v>41388</v>
      </c>
      <c r="C133" t="s">
        <v>2460</v>
      </c>
      <c r="D133">
        <v>2</v>
      </c>
      <c r="E133" t="s">
        <v>57</v>
      </c>
      <c r="F133" s="8" t="s">
        <v>921</v>
      </c>
      <c r="G133" s="9" t="s">
        <v>922</v>
      </c>
      <c r="H133" s="3">
        <f t="shared" si="6"/>
        <v>987.93749999999989</v>
      </c>
      <c r="I133" s="3">
        <v>158.07</v>
      </c>
    </row>
    <row r="134" spans="1:12">
      <c r="A134" t="s">
        <v>2465</v>
      </c>
      <c r="B134" s="1">
        <v>41393</v>
      </c>
      <c r="C134" t="s">
        <v>2466</v>
      </c>
      <c r="D134">
        <v>1</v>
      </c>
      <c r="E134" t="s">
        <v>57</v>
      </c>
      <c r="F134" s="8" t="s">
        <v>921</v>
      </c>
      <c r="G134" s="9" t="s">
        <v>922</v>
      </c>
      <c r="H134" s="3">
        <f t="shared" si="6"/>
        <v>14945.8125</v>
      </c>
      <c r="I134" s="3">
        <v>2391.33</v>
      </c>
    </row>
    <row r="135" spans="1:12">
      <c r="A135" t="s">
        <v>2467</v>
      </c>
      <c r="B135" s="1">
        <v>41393</v>
      </c>
      <c r="C135" t="s">
        <v>2468</v>
      </c>
      <c r="D135">
        <v>1</v>
      </c>
      <c r="E135" t="s">
        <v>57</v>
      </c>
      <c r="F135" s="8" t="s">
        <v>921</v>
      </c>
      <c r="G135" s="9" t="s">
        <v>922</v>
      </c>
      <c r="H135" s="3">
        <f t="shared" si="6"/>
        <v>3571.125</v>
      </c>
      <c r="I135" s="3">
        <v>571.38</v>
      </c>
    </row>
    <row r="136" spans="1:12">
      <c r="A136" t="s">
        <v>2469</v>
      </c>
      <c r="B136" s="1">
        <v>41393</v>
      </c>
      <c r="C136" t="s">
        <v>2470</v>
      </c>
      <c r="D136">
        <v>1</v>
      </c>
      <c r="E136" t="s">
        <v>57</v>
      </c>
      <c r="F136" s="8" t="s">
        <v>921</v>
      </c>
      <c r="G136" s="9" t="s">
        <v>922</v>
      </c>
      <c r="H136" s="3">
        <f t="shared" si="6"/>
        <v>1587.625</v>
      </c>
      <c r="I136" s="3">
        <v>254.02</v>
      </c>
    </row>
    <row r="137" spans="1:12">
      <c r="A137" t="s">
        <v>2694</v>
      </c>
      <c r="B137" s="1">
        <v>41394</v>
      </c>
      <c r="C137" t="s">
        <v>2695</v>
      </c>
      <c r="D137">
        <v>1</v>
      </c>
      <c r="E137" t="s">
        <v>57</v>
      </c>
      <c r="F137" t="s">
        <v>921</v>
      </c>
      <c r="G137" t="s">
        <v>922</v>
      </c>
      <c r="H137" s="3">
        <f t="shared" si="6"/>
        <v>19730.5625</v>
      </c>
      <c r="I137" s="3">
        <v>3156.89</v>
      </c>
    </row>
    <row r="138" spans="1:12">
      <c r="A138" t="s">
        <v>2696</v>
      </c>
      <c r="B138" s="1">
        <v>41394</v>
      </c>
      <c r="C138" t="s">
        <v>2697</v>
      </c>
      <c r="D138">
        <v>1</v>
      </c>
      <c r="E138" t="s">
        <v>57</v>
      </c>
      <c r="F138" t="s">
        <v>921</v>
      </c>
      <c r="G138" t="s">
        <v>922</v>
      </c>
      <c r="H138" s="3">
        <f t="shared" si="6"/>
        <v>894.0625</v>
      </c>
      <c r="I138" s="3">
        <v>143.05000000000001</v>
      </c>
    </row>
    <row r="139" spans="1:12">
      <c r="A139" t="s">
        <v>1041</v>
      </c>
      <c r="B139" s="1">
        <v>41370</v>
      </c>
      <c r="C139" t="s">
        <v>2719</v>
      </c>
      <c r="D139">
        <v>1</v>
      </c>
      <c r="E139" t="s">
        <v>83</v>
      </c>
      <c r="F139" s="70" t="s">
        <v>877</v>
      </c>
      <c r="G139" s="28" t="s">
        <v>223</v>
      </c>
      <c r="H139" s="3">
        <f t="shared" si="6"/>
        <v>14659.312499999998</v>
      </c>
      <c r="I139" s="3">
        <v>2345.4899999999998</v>
      </c>
    </row>
    <row r="140" spans="1:12">
      <c r="A140" t="s">
        <v>1140</v>
      </c>
      <c r="B140" s="1">
        <v>41377</v>
      </c>
      <c r="C140" t="s">
        <v>2753</v>
      </c>
      <c r="D140">
        <v>1</v>
      </c>
      <c r="E140" t="s">
        <v>83</v>
      </c>
      <c r="F140" s="28" t="s">
        <v>877</v>
      </c>
      <c r="G140" s="28" t="s">
        <v>223</v>
      </c>
      <c r="H140" s="3">
        <f t="shared" si="6"/>
        <v>28064.999999999996</v>
      </c>
      <c r="I140" s="3">
        <v>4490.3999999999996</v>
      </c>
    </row>
    <row r="141" spans="1:12">
      <c r="A141" t="s">
        <v>2196</v>
      </c>
      <c r="B141" s="1">
        <v>41382</v>
      </c>
      <c r="C141" t="s">
        <v>2786</v>
      </c>
      <c r="D141">
        <v>1</v>
      </c>
      <c r="E141" t="s">
        <v>83</v>
      </c>
      <c r="F141" s="28" t="s">
        <v>877</v>
      </c>
      <c r="G141" s="28" t="s">
        <v>223</v>
      </c>
      <c r="H141" s="3">
        <f t="shared" si="6"/>
        <v>13793.562499999998</v>
      </c>
      <c r="I141" s="3">
        <v>2206.9699999999998</v>
      </c>
      <c r="J141" s="14" t="e">
        <f>+H141-#REF!</f>
        <v>#REF!</v>
      </c>
      <c r="K141" s="14" t="e">
        <f>+I141-#REF!</f>
        <v>#REF!</v>
      </c>
      <c r="L141" t="s">
        <v>900</v>
      </c>
    </row>
    <row r="142" spans="1:12">
      <c r="A142" t="s">
        <v>1678</v>
      </c>
      <c r="B142" s="1">
        <v>41394</v>
      </c>
      <c r="C142" t="s">
        <v>2547</v>
      </c>
      <c r="D142">
        <v>1</v>
      </c>
      <c r="E142" t="s">
        <v>2548</v>
      </c>
      <c r="F142" t="s">
        <v>946</v>
      </c>
      <c r="G142" t="s">
        <v>1581</v>
      </c>
      <c r="H142" s="46">
        <f t="shared" ref="H142:H145" si="7">I142/0.16</f>
        <v>132.0625</v>
      </c>
      <c r="I142" s="46">
        <f>19.32+1.81</f>
        <v>21.13</v>
      </c>
      <c r="J142" s="3"/>
      <c r="K142" s="3"/>
    </row>
    <row r="143" spans="1:12">
      <c r="A143" t="s">
        <v>1678</v>
      </c>
      <c r="B143" s="1">
        <v>41394</v>
      </c>
      <c r="C143" t="s">
        <v>2547</v>
      </c>
      <c r="D143">
        <v>1</v>
      </c>
      <c r="E143" t="s">
        <v>2548</v>
      </c>
      <c r="F143" s="9" t="s">
        <v>1649</v>
      </c>
      <c r="G143" s="9" t="s">
        <v>1650</v>
      </c>
      <c r="H143" s="65">
        <f t="shared" si="7"/>
        <v>103.4375</v>
      </c>
      <c r="I143" s="65">
        <v>16.55</v>
      </c>
    </row>
    <row r="144" spans="1:12">
      <c r="A144" t="s">
        <v>1678</v>
      </c>
      <c r="B144" s="1">
        <v>41394</v>
      </c>
      <c r="C144" t="s">
        <v>2547</v>
      </c>
      <c r="D144">
        <v>1</v>
      </c>
      <c r="E144" t="s">
        <v>2548</v>
      </c>
      <c r="F144" s="28" t="s">
        <v>1647</v>
      </c>
      <c r="G144" s="28" t="s">
        <v>2869</v>
      </c>
      <c r="H144" s="47">
        <f t="shared" si="7"/>
        <v>41.6875</v>
      </c>
      <c r="I144" s="47">
        <v>6.67</v>
      </c>
    </row>
    <row r="145" spans="1:12">
      <c r="A145" t="s">
        <v>1678</v>
      </c>
      <c r="B145" s="1">
        <v>41394</v>
      </c>
      <c r="C145" t="s">
        <v>2547</v>
      </c>
      <c r="D145">
        <v>1</v>
      </c>
      <c r="E145" t="s">
        <v>2548</v>
      </c>
      <c r="F145" s="28" t="s">
        <v>1664</v>
      </c>
      <c r="G145" s="28" t="s">
        <v>1665</v>
      </c>
      <c r="H145" s="47">
        <f t="shared" si="7"/>
        <v>166.8125</v>
      </c>
      <c r="I145" s="47">
        <v>26.69</v>
      </c>
      <c r="J145" s="14">
        <f>444-H142-H143-H144-H145</f>
        <v>0</v>
      </c>
      <c r="K145" s="14">
        <f>71.04-I142-I143-I144-I145</f>
        <v>0</v>
      </c>
      <c r="L145" t="s">
        <v>900</v>
      </c>
    </row>
    <row r="146" spans="1:12">
      <c r="A146" t="s">
        <v>1255</v>
      </c>
      <c r="B146" s="1">
        <v>41386</v>
      </c>
      <c r="C146" t="s">
        <v>2796</v>
      </c>
      <c r="D146">
        <v>1</v>
      </c>
      <c r="E146" t="s">
        <v>115</v>
      </c>
      <c r="F146" s="20" t="s">
        <v>952</v>
      </c>
      <c r="G146" s="9" t="s">
        <v>115</v>
      </c>
      <c r="H146" s="3">
        <f t="shared" si="6"/>
        <v>599</v>
      </c>
      <c r="I146" s="3">
        <v>95.84</v>
      </c>
    </row>
    <row r="147" spans="1:12">
      <c r="A147" t="s">
        <v>1660</v>
      </c>
      <c r="B147" s="1">
        <v>41394</v>
      </c>
      <c r="C147" t="s">
        <v>2533</v>
      </c>
      <c r="D147">
        <v>1</v>
      </c>
      <c r="E147" t="s">
        <v>1449</v>
      </c>
      <c r="F147" s="9" t="s">
        <v>1615</v>
      </c>
      <c r="G147" s="9" t="s">
        <v>1449</v>
      </c>
      <c r="H147" s="3">
        <f t="shared" si="6"/>
        <v>133.125</v>
      </c>
      <c r="I147" s="3">
        <v>21.3</v>
      </c>
    </row>
    <row r="148" spans="1:12">
      <c r="A148" t="s">
        <v>2565</v>
      </c>
      <c r="B148" s="1">
        <v>41394</v>
      </c>
      <c r="C148" t="s">
        <v>2566</v>
      </c>
      <c r="D148">
        <v>1</v>
      </c>
      <c r="E148" t="s">
        <v>1449</v>
      </c>
      <c r="F148" s="9" t="s">
        <v>1615</v>
      </c>
      <c r="G148" s="9" t="s">
        <v>1449</v>
      </c>
      <c r="H148" s="3">
        <f t="shared" si="6"/>
        <v>86.4375</v>
      </c>
      <c r="I148" s="3">
        <v>13.83</v>
      </c>
    </row>
    <row r="149" spans="1:12">
      <c r="A149" t="s">
        <v>482</v>
      </c>
      <c r="B149" s="1">
        <v>41394</v>
      </c>
      <c r="C149" t="s">
        <v>2636</v>
      </c>
      <c r="D149">
        <v>1</v>
      </c>
      <c r="E149" t="s">
        <v>2637</v>
      </c>
      <c r="F149" s="9" t="s">
        <v>2857</v>
      </c>
      <c r="G149" s="9" t="s">
        <v>2637</v>
      </c>
      <c r="H149" s="3">
        <f t="shared" si="6"/>
        <v>1500</v>
      </c>
      <c r="I149" s="3">
        <v>240</v>
      </c>
    </row>
    <row r="150" spans="1:12">
      <c r="A150" t="s">
        <v>2264</v>
      </c>
      <c r="B150" s="1">
        <v>41394</v>
      </c>
      <c r="C150" t="s">
        <v>2829</v>
      </c>
      <c r="D150">
        <v>1</v>
      </c>
      <c r="E150" t="s">
        <v>2830</v>
      </c>
      <c r="F150" s="9" t="s">
        <v>2858</v>
      </c>
      <c r="G150" s="9" t="s">
        <v>2830</v>
      </c>
      <c r="H150" s="3">
        <f t="shared" si="6"/>
        <v>7279.8125</v>
      </c>
      <c r="I150" s="3">
        <v>1164.77</v>
      </c>
    </row>
    <row r="151" spans="1:12">
      <c r="A151" t="s">
        <v>2538</v>
      </c>
      <c r="B151" s="1">
        <v>41394</v>
      </c>
      <c r="C151" t="s">
        <v>2539</v>
      </c>
      <c r="D151">
        <v>1</v>
      </c>
      <c r="E151" t="s">
        <v>584</v>
      </c>
      <c r="F151" s="9" t="s">
        <v>818</v>
      </c>
      <c r="G151" s="9" t="s">
        <v>584</v>
      </c>
      <c r="H151" s="3">
        <f t="shared" si="6"/>
        <v>130</v>
      </c>
      <c r="I151" s="3">
        <v>20.8</v>
      </c>
    </row>
    <row r="152" spans="1:12">
      <c r="A152" t="s">
        <v>2630</v>
      </c>
      <c r="B152" s="1">
        <v>41394</v>
      </c>
      <c r="C152" t="s">
        <v>2631</v>
      </c>
      <c r="D152">
        <v>1</v>
      </c>
      <c r="E152" t="s">
        <v>584</v>
      </c>
      <c r="F152" s="9" t="s">
        <v>818</v>
      </c>
      <c r="G152" s="9" t="s">
        <v>584</v>
      </c>
      <c r="H152" s="3">
        <f t="shared" si="6"/>
        <v>240</v>
      </c>
      <c r="I152" s="3">
        <v>38.4</v>
      </c>
    </row>
    <row r="153" spans="1:12">
      <c r="A153" t="s">
        <v>2632</v>
      </c>
      <c r="B153" s="1">
        <v>41394</v>
      </c>
      <c r="C153" t="s">
        <v>2633</v>
      </c>
      <c r="D153">
        <v>1</v>
      </c>
      <c r="E153" t="s">
        <v>584</v>
      </c>
      <c r="F153" s="9" t="s">
        <v>818</v>
      </c>
      <c r="G153" s="9" t="s">
        <v>584</v>
      </c>
      <c r="H153" s="3">
        <f t="shared" si="6"/>
        <v>75</v>
      </c>
      <c r="I153" s="3">
        <v>12</v>
      </c>
    </row>
    <row r="154" spans="1:12">
      <c r="A154" t="s">
        <v>476</v>
      </c>
      <c r="B154" s="1">
        <v>41394</v>
      </c>
      <c r="C154" t="s">
        <v>2635</v>
      </c>
      <c r="D154">
        <v>1</v>
      </c>
      <c r="E154" t="s">
        <v>584</v>
      </c>
      <c r="F154" s="9" t="s">
        <v>818</v>
      </c>
      <c r="G154" s="9" t="s">
        <v>584</v>
      </c>
      <c r="H154" s="3">
        <f t="shared" si="6"/>
        <v>240</v>
      </c>
      <c r="I154" s="3">
        <v>38.4</v>
      </c>
    </row>
    <row r="155" spans="1:12">
      <c r="A155" t="s">
        <v>1031</v>
      </c>
      <c r="B155" s="1">
        <v>41370</v>
      </c>
      <c r="C155" t="s">
        <v>2707</v>
      </c>
      <c r="D155">
        <v>1</v>
      </c>
      <c r="E155" t="s">
        <v>97</v>
      </c>
      <c r="F155" s="64" t="s">
        <v>820</v>
      </c>
      <c r="G155" s="9" t="s">
        <v>97</v>
      </c>
      <c r="H155" s="3">
        <f t="shared" si="6"/>
        <v>3274.375</v>
      </c>
      <c r="I155" s="3">
        <v>523.9</v>
      </c>
    </row>
    <row r="156" spans="1:12">
      <c r="A156" t="s">
        <v>279</v>
      </c>
      <c r="B156" s="1">
        <v>41382</v>
      </c>
      <c r="C156" t="s">
        <v>2778</v>
      </c>
      <c r="D156">
        <v>1</v>
      </c>
      <c r="E156" t="s">
        <v>97</v>
      </c>
      <c r="F156" s="36" t="s">
        <v>820</v>
      </c>
      <c r="G156" s="9" t="s">
        <v>97</v>
      </c>
      <c r="H156" s="3">
        <f t="shared" si="6"/>
        <v>3302.4375</v>
      </c>
      <c r="I156" s="3">
        <v>528.39</v>
      </c>
    </row>
    <row r="157" spans="1:12">
      <c r="A157" t="s">
        <v>2611</v>
      </c>
      <c r="B157" s="1">
        <v>41394</v>
      </c>
      <c r="C157" t="s">
        <v>2606</v>
      </c>
      <c r="D157">
        <v>1</v>
      </c>
      <c r="E157" t="s">
        <v>2612</v>
      </c>
      <c r="F157" s="9" t="s">
        <v>836</v>
      </c>
      <c r="G157" s="9" t="s">
        <v>2612</v>
      </c>
      <c r="H157" s="3">
        <f t="shared" si="6"/>
        <v>43.5</v>
      </c>
      <c r="I157" s="3">
        <v>6.96</v>
      </c>
    </row>
    <row r="158" spans="1:12">
      <c r="A158" t="s">
        <v>2586</v>
      </c>
      <c r="B158" s="1">
        <v>41394</v>
      </c>
      <c r="C158" t="s">
        <v>2583</v>
      </c>
      <c r="D158">
        <v>1</v>
      </c>
      <c r="E158" t="s">
        <v>2587</v>
      </c>
      <c r="F158" s="9" t="s">
        <v>2859</v>
      </c>
      <c r="G158" s="9" t="s">
        <v>2587</v>
      </c>
      <c r="H158" s="3">
        <f t="shared" si="6"/>
        <v>160.375</v>
      </c>
      <c r="I158" s="3">
        <v>25.66</v>
      </c>
    </row>
    <row r="159" spans="1:12">
      <c r="A159" t="s">
        <v>576</v>
      </c>
      <c r="B159" s="1">
        <v>41394</v>
      </c>
      <c r="C159" t="s">
        <v>2690</v>
      </c>
      <c r="D159">
        <v>1</v>
      </c>
      <c r="E159" t="s">
        <v>1487</v>
      </c>
      <c r="F159" s="9" t="s">
        <v>1618</v>
      </c>
      <c r="G159" s="9" t="s">
        <v>1487</v>
      </c>
      <c r="H159" s="3">
        <f t="shared" si="6"/>
        <v>300</v>
      </c>
      <c r="I159" s="3">
        <v>48</v>
      </c>
    </row>
    <row r="160" spans="1:12">
      <c r="A160" t="s">
        <v>579</v>
      </c>
      <c r="B160" s="1">
        <v>41394</v>
      </c>
      <c r="C160" t="s">
        <v>2691</v>
      </c>
      <c r="D160">
        <v>1</v>
      </c>
      <c r="E160" t="s">
        <v>2692</v>
      </c>
      <c r="F160" s="9" t="s">
        <v>2860</v>
      </c>
      <c r="G160" s="9" t="s">
        <v>2692</v>
      </c>
      <c r="H160" s="3">
        <f t="shared" si="6"/>
        <v>650</v>
      </c>
      <c r="I160" s="3">
        <v>104</v>
      </c>
    </row>
    <row r="161" spans="1:9">
      <c r="A161" t="s">
        <v>2779</v>
      </c>
      <c r="B161" s="1">
        <v>41382</v>
      </c>
      <c r="C161" t="s">
        <v>2780</v>
      </c>
      <c r="D161">
        <v>1</v>
      </c>
      <c r="E161" t="s">
        <v>2157</v>
      </c>
      <c r="F161" s="36" t="s">
        <v>2305</v>
      </c>
      <c r="G161" s="9" t="s">
        <v>2157</v>
      </c>
      <c r="H161" s="3">
        <f t="shared" si="6"/>
        <v>1720</v>
      </c>
      <c r="I161" s="3">
        <v>275.2</v>
      </c>
    </row>
    <row r="162" spans="1:9">
      <c r="A162" t="s">
        <v>2772</v>
      </c>
      <c r="B162" s="1">
        <v>41382</v>
      </c>
      <c r="C162" t="s">
        <v>2773</v>
      </c>
      <c r="D162">
        <v>1</v>
      </c>
      <c r="E162" t="s">
        <v>1013</v>
      </c>
      <c r="F162" s="12" t="s">
        <v>1619</v>
      </c>
      <c r="G162" s="9" t="s">
        <v>1013</v>
      </c>
      <c r="H162" s="3">
        <f t="shared" si="6"/>
        <v>3500</v>
      </c>
      <c r="I162" s="3">
        <v>560</v>
      </c>
    </row>
    <row r="163" spans="1:9">
      <c r="A163" t="s">
        <v>600</v>
      </c>
      <c r="B163" s="1">
        <v>41394</v>
      </c>
      <c r="C163">
        <v>67745</v>
      </c>
      <c r="D163">
        <v>1</v>
      </c>
      <c r="E163" t="s">
        <v>2698</v>
      </c>
      <c r="F163" t="s">
        <v>946</v>
      </c>
      <c r="G163" t="s">
        <v>948</v>
      </c>
      <c r="H163" s="3">
        <f t="shared" si="6"/>
        <v>4787.5</v>
      </c>
      <c r="I163" s="3">
        <v>766</v>
      </c>
    </row>
    <row r="164" spans="1:9">
      <c r="A164" t="s">
        <v>1335</v>
      </c>
      <c r="B164" s="1">
        <v>41394</v>
      </c>
      <c r="C164" t="s">
        <v>2806</v>
      </c>
      <c r="D164">
        <v>1</v>
      </c>
      <c r="E164" t="s">
        <v>311</v>
      </c>
      <c r="F164" s="9" t="s">
        <v>845</v>
      </c>
      <c r="G164" s="9" t="s">
        <v>311</v>
      </c>
      <c r="H164" s="3">
        <f t="shared" si="6"/>
        <v>7014.0625</v>
      </c>
      <c r="I164" s="3">
        <v>1122.25</v>
      </c>
    </row>
    <row r="165" spans="1:9">
      <c r="A165" t="s">
        <v>2624</v>
      </c>
      <c r="B165" s="1">
        <v>41394</v>
      </c>
      <c r="C165" t="s">
        <v>2625</v>
      </c>
      <c r="D165">
        <v>1</v>
      </c>
      <c r="E165" t="s">
        <v>2626</v>
      </c>
      <c r="F165" s="9" t="s">
        <v>847</v>
      </c>
      <c r="G165" s="9" t="s">
        <v>2626</v>
      </c>
      <c r="H165" s="3">
        <f t="shared" si="6"/>
        <v>287.9375</v>
      </c>
      <c r="I165" s="3">
        <v>46.07</v>
      </c>
    </row>
    <row r="166" spans="1:9">
      <c r="A166" t="s">
        <v>2603</v>
      </c>
      <c r="B166" s="1">
        <v>41394</v>
      </c>
      <c r="C166" t="s">
        <v>2604</v>
      </c>
      <c r="D166">
        <v>1</v>
      </c>
      <c r="E166" t="s">
        <v>541</v>
      </c>
      <c r="F166" s="9" t="s">
        <v>847</v>
      </c>
      <c r="G166" s="9" t="s">
        <v>541</v>
      </c>
      <c r="H166" s="3">
        <f t="shared" si="6"/>
        <v>91</v>
      </c>
      <c r="I166" s="3">
        <v>14.56</v>
      </c>
    </row>
    <row r="167" spans="1:9">
      <c r="A167" t="s">
        <v>2619</v>
      </c>
      <c r="B167" s="1">
        <v>41394</v>
      </c>
      <c r="C167" t="s">
        <v>2620</v>
      </c>
      <c r="D167">
        <v>1</v>
      </c>
      <c r="E167" t="s">
        <v>541</v>
      </c>
      <c r="F167" s="9" t="s">
        <v>847</v>
      </c>
      <c r="G167" s="9" t="s">
        <v>541</v>
      </c>
      <c r="H167" s="3">
        <f t="shared" si="6"/>
        <v>158.625</v>
      </c>
      <c r="I167" s="3">
        <v>25.38</v>
      </c>
    </row>
    <row r="168" spans="1:9">
      <c r="A168" t="s">
        <v>2577</v>
      </c>
      <c r="B168" s="1">
        <v>41394</v>
      </c>
      <c r="C168" t="s">
        <v>2578</v>
      </c>
      <c r="D168">
        <v>1</v>
      </c>
      <c r="E168" t="s">
        <v>2579</v>
      </c>
      <c r="F168" s="9" t="s">
        <v>847</v>
      </c>
      <c r="G168" s="9" t="s">
        <v>2579</v>
      </c>
      <c r="H168" s="3">
        <f t="shared" si="6"/>
        <v>147.4375</v>
      </c>
      <c r="I168" s="3">
        <v>23.59</v>
      </c>
    </row>
    <row r="169" spans="1:9">
      <c r="A169" t="s">
        <v>2742</v>
      </c>
      <c r="B169" s="1">
        <v>41375</v>
      </c>
      <c r="C169" t="s">
        <v>2743</v>
      </c>
      <c r="D169">
        <v>2</v>
      </c>
      <c r="E169" t="s">
        <v>127</v>
      </c>
      <c r="F169" s="9" t="s">
        <v>849</v>
      </c>
      <c r="G169" s="9" t="s">
        <v>127</v>
      </c>
      <c r="H169" s="3">
        <f t="shared" si="6"/>
        <v>3300</v>
      </c>
      <c r="I169" s="3">
        <v>528</v>
      </c>
    </row>
    <row r="170" spans="1:9">
      <c r="A170" t="s">
        <v>2207</v>
      </c>
      <c r="B170" s="1">
        <v>41386</v>
      </c>
      <c r="C170" t="s">
        <v>2793</v>
      </c>
      <c r="D170">
        <v>2</v>
      </c>
      <c r="E170" t="s">
        <v>127</v>
      </c>
      <c r="F170" s="12" t="s">
        <v>849</v>
      </c>
      <c r="G170" s="9" t="s">
        <v>127</v>
      </c>
      <c r="H170" s="3">
        <f t="shared" si="6"/>
        <v>4600</v>
      </c>
      <c r="I170" s="3">
        <v>736</v>
      </c>
    </row>
    <row r="171" spans="1:9">
      <c r="A171" t="s">
        <v>1038</v>
      </c>
      <c r="B171" s="1">
        <v>41370</v>
      </c>
      <c r="C171" t="s">
        <v>2715</v>
      </c>
      <c r="D171">
        <v>2</v>
      </c>
      <c r="E171" t="s">
        <v>89</v>
      </c>
      <c r="F171" s="64" t="s">
        <v>850</v>
      </c>
      <c r="G171" s="9" t="s">
        <v>89</v>
      </c>
      <c r="H171" s="3">
        <f t="shared" si="6"/>
        <v>6650</v>
      </c>
      <c r="I171" s="3">
        <v>1064</v>
      </c>
    </row>
    <row r="172" spans="1:9">
      <c r="A172" t="s">
        <v>2151</v>
      </c>
      <c r="B172" s="1">
        <v>41370</v>
      </c>
      <c r="C172" t="s">
        <v>2716</v>
      </c>
      <c r="D172">
        <v>1</v>
      </c>
      <c r="E172" t="s">
        <v>89</v>
      </c>
      <c r="F172" s="64" t="s">
        <v>850</v>
      </c>
      <c r="G172" s="9" t="s">
        <v>89</v>
      </c>
      <c r="H172" s="3">
        <f t="shared" si="6"/>
        <v>1000</v>
      </c>
      <c r="I172" s="3">
        <v>160</v>
      </c>
    </row>
    <row r="173" spans="1:9">
      <c r="A173" t="s">
        <v>1138</v>
      </c>
      <c r="B173" s="1">
        <v>41377</v>
      </c>
      <c r="C173" t="s">
        <v>2752</v>
      </c>
      <c r="D173">
        <v>1</v>
      </c>
      <c r="E173" t="s">
        <v>89</v>
      </c>
      <c r="F173" s="9" t="s">
        <v>850</v>
      </c>
      <c r="G173" s="9" t="s">
        <v>89</v>
      </c>
      <c r="H173" s="3">
        <f t="shared" si="6"/>
        <v>1000</v>
      </c>
      <c r="I173" s="3">
        <v>160</v>
      </c>
    </row>
    <row r="174" spans="1:9">
      <c r="A174" t="s">
        <v>1237</v>
      </c>
      <c r="B174" s="1">
        <v>41382</v>
      </c>
      <c r="C174" t="s">
        <v>2784</v>
      </c>
      <c r="D174">
        <v>1</v>
      </c>
      <c r="E174" t="s">
        <v>89</v>
      </c>
      <c r="F174" s="9" t="s">
        <v>850</v>
      </c>
      <c r="G174" s="9" t="s">
        <v>89</v>
      </c>
      <c r="H174" s="3">
        <f t="shared" si="6"/>
        <v>6000</v>
      </c>
      <c r="I174" s="3">
        <v>960</v>
      </c>
    </row>
    <row r="175" spans="1:9">
      <c r="A175" t="s">
        <v>1240</v>
      </c>
      <c r="B175" s="1">
        <v>41382</v>
      </c>
      <c r="C175" t="s">
        <v>2785</v>
      </c>
      <c r="D175">
        <v>2</v>
      </c>
      <c r="E175" t="s">
        <v>89</v>
      </c>
      <c r="F175" s="9" t="s">
        <v>850</v>
      </c>
      <c r="G175" s="9" t="s">
        <v>89</v>
      </c>
      <c r="H175" s="3">
        <f t="shared" si="6"/>
        <v>2565</v>
      </c>
      <c r="I175" s="3">
        <v>410.4</v>
      </c>
    </row>
    <row r="176" spans="1:9">
      <c r="A176" t="s">
        <v>368</v>
      </c>
      <c r="B176" s="1">
        <v>41394</v>
      </c>
      <c r="C176" t="s">
        <v>2813</v>
      </c>
      <c r="D176">
        <v>2</v>
      </c>
      <c r="E176" t="s">
        <v>89</v>
      </c>
      <c r="F176" s="9" t="s">
        <v>850</v>
      </c>
      <c r="G176" s="9" t="s">
        <v>89</v>
      </c>
      <c r="H176" s="3">
        <f t="shared" si="6"/>
        <v>1500</v>
      </c>
      <c r="I176" s="3">
        <v>240</v>
      </c>
    </row>
    <row r="177" spans="1:12">
      <c r="A177" t="s">
        <v>2835</v>
      </c>
      <c r="B177" s="1">
        <v>41394</v>
      </c>
      <c r="C177" t="s">
        <v>2836</v>
      </c>
      <c r="D177">
        <v>1</v>
      </c>
      <c r="E177" t="s">
        <v>89</v>
      </c>
      <c r="F177" s="9" t="s">
        <v>850</v>
      </c>
      <c r="G177" s="9" t="s">
        <v>89</v>
      </c>
      <c r="H177" s="3">
        <f t="shared" ref="H177:H240" si="8">+I177/0.16</f>
        <v>5400</v>
      </c>
      <c r="I177" s="3">
        <v>864</v>
      </c>
    </row>
    <row r="178" spans="1:12">
      <c r="A178" t="s">
        <v>271</v>
      </c>
      <c r="B178" s="1">
        <v>41394</v>
      </c>
      <c r="C178" t="s">
        <v>2844</v>
      </c>
      <c r="D178">
        <v>2</v>
      </c>
      <c r="E178" t="s">
        <v>89</v>
      </c>
      <c r="F178" s="9" t="s">
        <v>850</v>
      </c>
      <c r="G178" s="9" t="s">
        <v>89</v>
      </c>
      <c r="H178" s="3">
        <f t="shared" si="8"/>
        <v>11500</v>
      </c>
      <c r="I178" s="3">
        <v>1840</v>
      </c>
    </row>
    <row r="179" spans="1:12">
      <c r="A179" t="s">
        <v>45</v>
      </c>
      <c r="B179" s="1">
        <v>41370</v>
      </c>
      <c r="C179" t="s">
        <v>2714</v>
      </c>
      <c r="D179">
        <v>1</v>
      </c>
      <c r="E179" t="s">
        <v>86</v>
      </c>
      <c r="F179" s="64" t="s">
        <v>851</v>
      </c>
      <c r="G179" s="9" t="s">
        <v>86</v>
      </c>
      <c r="H179" s="3">
        <f t="shared" si="8"/>
        <v>2444.1875</v>
      </c>
      <c r="I179" s="3">
        <v>391.07</v>
      </c>
    </row>
    <row r="180" spans="1:12">
      <c r="A180" t="s">
        <v>2754</v>
      </c>
      <c r="B180" s="1">
        <v>41377</v>
      </c>
      <c r="C180" t="s">
        <v>2755</v>
      </c>
      <c r="D180">
        <v>1</v>
      </c>
      <c r="E180" t="s">
        <v>86</v>
      </c>
      <c r="F180" s="9" t="s">
        <v>851</v>
      </c>
      <c r="G180" s="9" t="s">
        <v>86</v>
      </c>
      <c r="H180" s="3">
        <f t="shared" si="8"/>
        <v>1630.1874999999998</v>
      </c>
      <c r="I180" s="3">
        <v>260.83</v>
      </c>
    </row>
    <row r="181" spans="1:12">
      <c r="A181" t="s">
        <v>2787</v>
      </c>
      <c r="B181" s="1">
        <v>41382</v>
      </c>
      <c r="C181" t="s">
        <v>2788</v>
      </c>
      <c r="D181">
        <v>1</v>
      </c>
      <c r="E181" t="s">
        <v>86</v>
      </c>
      <c r="F181" s="9" t="s">
        <v>851</v>
      </c>
      <c r="G181" s="9" t="s">
        <v>86</v>
      </c>
      <c r="H181" s="3">
        <f t="shared" si="8"/>
        <v>520.375</v>
      </c>
      <c r="I181" s="3">
        <v>83.26</v>
      </c>
    </row>
    <row r="182" spans="1:12">
      <c r="A182" t="s">
        <v>395</v>
      </c>
      <c r="B182" s="1">
        <v>41394</v>
      </c>
      <c r="C182" t="s">
        <v>2818</v>
      </c>
      <c r="D182">
        <v>1</v>
      </c>
      <c r="E182" t="s">
        <v>86</v>
      </c>
      <c r="F182" s="9" t="s">
        <v>851</v>
      </c>
      <c r="G182" s="9" t="s">
        <v>86</v>
      </c>
      <c r="H182" s="3">
        <f t="shared" si="8"/>
        <v>1202.5625</v>
      </c>
      <c r="I182" s="3">
        <v>192.41</v>
      </c>
    </row>
    <row r="183" spans="1:12">
      <c r="A183" t="s">
        <v>268</v>
      </c>
      <c r="B183" s="1">
        <v>41394</v>
      </c>
      <c r="C183" t="s">
        <v>2839</v>
      </c>
      <c r="D183">
        <v>1</v>
      </c>
      <c r="E183" t="s">
        <v>86</v>
      </c>
      <c r="F183" s="9" t="s">
        <v>851</v>
      </c>
      <c r="G183" s="9" t="s">
        <v>86</v>
      </c>
      <c r="H183" s="3">
        <f t="shared" si="8"/>
        <v>1021.875</v>
      </c>
      <c r="I183" s="3">
        <v>163.5</v>
      </c>
    </row>
    <row r="184" spans="1:12">
      <c r="A184" t="s">
        <v>414</v>
      </c>
      <c r="B184" s="1">
        <v>41394</v>
      </c>
      <c r="C184" t="s">
        <v>2512</v>
      </c>
      <c r="D184">
        <v>1</v>
      </c>
      <c r="E184" t="s">
        <v>2513</v>
      </c>
      <c r="F184" s="67" t="s">
        <v>829</v>
      </c>
      <c r="G184" s="68" t="s">
        <v>6</v>
      </c>
      <c r="H184" s="3">
        <f t="shared" si="8"/>
        <v>380691.5</v>
      </c>
      <c r="I184" s="3">
        <v>60910.64</v>
      </c>
    </row>
    <row r="185" spans="1:12">
      <c r="A185" t="s">
        <v>1095</v>
      </c>
      <c r="B185" s="1">
        <v>41374</v>
      </c>
      <c r="C185" t="s">
        <v>2734</v>
      </c>
      <c r="D185">
        <v>1</v>
      </c>
      <c r="E185" t="s">
        <v>121</v>
      </c>
      <c r="F185" s="9" t="s">
        <v>858</v>
      </c>
      <c r="G185" s="9" t="s">
        <v>121</v>
      </c>
      <c r="H185" s="3">
        <f t="shared" si="8"/>
        <v>2973</v>
      </c>
      <c r="I185" s="3">
        <v>475.68</v>
      </c>
    </row>
    <row r="186" spans="1:12">
      <c r="A186" t="s">
        <v>2211</v>
      </c>
      <c r="B186" s="1">
        <v>41386</v>
      </c>
      <c r="C186" t="s">
        <v>2795</v>
      </c>
      <c r="D186">
        <v>2</v>
      </c>
      <c r="E186" t="s">
        <v>121</v>
      </c>
      <c r="F186" s="12" t="s">
        <v>858</v>
      </c>
      <c r="G186" s="9" t="s">
        <v>121</v>
      </c>
      <c r="H186" s="3">
        <f t="shared" si="8"/>
        <v>1050</v>
      </c>
      <c r="I186" s="3">
        <v>168</v>
      </c>
    </row>
    <row r="187" spans="1:12">
      <c r="A187" t="s">
        <v>1134</v>
      </c>
      <c r="B187" s="1">
        <v>41377</v>
      </c>
      <c r="C187" t="s">
        <v>2749</v>
      </c>
      <c r="D187">
        <v>1</v>
      </c>
      <c r="E187" t="s">
        <v>2750</v>
      </c>
      <c r="F187" s="9" t="s">
        <v>2861</v>
      </c>
      <c r="G187" s="9" t="s">
        <v>2750</v>
      </c>
      <c r="H187" s="3">
        <f t="shared" si="8"/>
        <v>8750</v>
      </c>
      <c r="I187" s="3">
        <v>1400</v>
      </c>
    </row>
    <row r="188" spans="1:12">
      <c r="A188" t="s">
        <v>2598</v>
      </c>
      <c r="B188" s="1">
        <v>41394</v>
      </c>
      <c r="C188" t="s">
        <v>2599</v>
      </c>
      <c r="D188">
        <v>1</v>
      </c>
      <c r="E188" t="s">
        <v>2600</v>
      </c>
      <c r="F188" s="9" t="s">
        <v>2862</v>
      </c>
      <c r="G188" s="9" t="s">
        <v>2600</v>
      </c>
      <c r="H188" s="3">
        <f t="shared" si="8"/>
        <v>100.875</v>
      </c>
      <c r="I188" s="3">
        <v>16.14</v>
      </c>
    </row>
    <row r="189" spans="1:12">
      <c r="A189" t="s">
        <v>2613</v>
      </c>
      <c r="B189" s="1">
        <v>41394</v>
      </c>
      <c r="C189" t="s">
        <v>2614</v>
      </c>
      <c r="D189">
        <v>1</v>
      </c>
      <c r="E189" t="s">
        <v>2600</v>
      </c>
      <c r="F189" s="9" t="s">
        <v>2862</v>
      </c>
      <c r="G189" s="9" t="s">
        <v>2600</v>
      </c>
      <c r="H189" s="3">
        <f t="shared" si="8"/>
        <v>53.4375</v>
      </c>
      <c r="I189" s="3">
        <v>8.5500000000000007</v>
      </c>
    </row>
    <row r="190" spans="1:12">
      <c r="A190" t="s">
        <v>2831</v>
      </c>
      <c r="B190" s="1">
        <v>41394</v>
      </c>
      <c r="C190" t="s">
        <v>2832</v>
      </c>
      <c r="D190">
        <v>1</v>
      </c>
      <c r="E190" t="s">
        <v>174</v>
      </c>
      <c r="F190" s="9" t="s">
        <v>859</v>
      </c>
      <c r="G190" s="9" t="s">
        <v>174</v>
      </c>
      <c r="H190" s="3">
        <f t="shared" si="8"/>
        <v>1621.2499999999998</v>
      </c>
      <c r="I190" s="3">
        <v>259.39999999999998</v>
      </c>
    </row>
    <row r="191" spans="1:12">
      <c r="A191" t="s">
        <v>1646</v>
      </c>
      <c r="B191" s="1">
        <v>41394</v>
      </c>
      <c r="C191" t="s">
        <v>2540</v>
      </c>
      <c r="D191">
        <v>1</v>
      </c>
      <c r="E191" t="s">
        <v>2093</v>
      </c>
      <c r="F191" s="9" t="s">
        <v>2311</v>
      </c>
      <c r="G191" s="9" t="s">
        <v>2093</v>
      </c>
      <c r="H191" s="3">
        <f t="shared" si="8"/>
        <v>637.9375</v>
      </c>
      <c r="I191" s="3">
        <v>102.07</v>
      </c>
      <c r="J191" s="14" t="e">
        <f>+H191-#REF!</f>
        <v>#REF!</v>
      </c>
      <c r="K191" s="14" t="e">
        <f>+I191-#REF!</f>
        <v>#REF!</v>
      </c>
      <c r="L191" t="s">
        <v>900</v>
      </c>
    </row>
    <row r="192" spans="1:12">
      <c r="A192" t="s">
        <v>2397</v>
      </c>
      <c r="B192" s="1">
        <v>41376</v>
      </c>
      <c r="C192" t="s">
        <v>2398</v>
      </c>
      <c r="D192">
        <v>1</v>
      </c>
      <c r="E192" t="s">
        <v>2399</v>
      </c>
      <c r="F192" s="17" t="s">
        <v>862</v>
      </c>
      <c r="G192" s="9" t="s">
        <v>402</v>
      </c>
      <c r="H192" s="3">
        <f t="shared" si="8"/>
        <v>233357.93749999997</v>
      </c>
      <c r="I192" s="3">
        <v>37337.269999999997</v>
      </c>
    </row>
    <row r="193" spans="1:12">
      <c r="A193" t="s">
        <v>2392</v>
      </c>
      <c r="B193" s="1">
        <v>41373</v>
      </c>
      <c r="C193" t="s">
        <v>2393</v>
      </c>
      <c r="D193">
        <v>1</v>
      </c>
      <c r="E193" t="s">
        <v>2394</v>
      </c>
      <c r="F193" s="17" t="s">
        <v>862</v>
      </c>
      <c r="G193" s="9" t="s">
        <v>402</v>
      </c>
      <c r="H193" s="3">
        <f t="shared" si="8"/>
        <v>233357.93749999997</v>
      </c>
      <c r="I193" s="3">
        <v>37337.269999999997</v>
      </c>
    </row>
    <row r="194" spans="1:12">
      <c r="A194" t="s">
        <v>2685</v>
      </c>
      <c r="B194" s="1">
        <v>41394</v>
      </c>
      <c r="C194" t="s">
        <v>2686</v>
      </c>
      <c r="D194">
        <v>1</v>
      </c>
      <c r="E194" t="s">
        <v>2687</v>
      </c>
      <c r="F194" s="9" t="s">
        <v>2312</v>
      </c>
      <c r="G194" s="9" t="s">
        <v>2687</v>
      </c>
      <c r="H194" s="3">
        <f t="shared" si="8"/>
        <v>746.5625</v>
      </c>
      <c r="I194" s="3">
        <v>119.45</v>
      </c>
    </row>
    <row r="195" spans="1:12">
      <c r="A195" t="s">
        <v>462</v>
      </c>
      <c r="B195" s="1">
        <v>41394</v>
      </c>
      <c r="C195" t="s">
        <v>2558</v>
      </c>
      <c r="D195">
        <v>1</v>
      </c>
      <c r="E195" t="s">
        <v>1455</v>
      </c>
      <c r="F195" s="9" t="s">
        <v>869</v>
      </c>
      <c r="G195" s="9" t="s">
        <v>1455</v>
      </c>
      <c r="H195" s="3">
        <f t="shared" si="8"/>
        <v>301.4375</v>
      </c>
      <c r="I195" s="3">
        <v>48.23</v>
      </c>
    </row>
    <row r="196" spans="1:12">
      <c r="A196" t="s">
        <v>234</v>
      </c>
      <c r="B196" s="1">
        <v>41381</v>
      </c>
      <c r="C196" t="s">
        <v>2762</v>
      </c>
      <c r="D196">
        <v>1</v>
      </c>
      <c r="E196" t="s">
        <v>2142</v>
      </c>
      <c r="F196" s="12" t="s">
        <v>869</v>
      </c>
      <c r="G196" s="9" t="s">
        <v>2142</v>
      </c>
      <c r="H196" s="3">
        <f t="shared" si="8"/>
        <v>3932.3124999999995</v>
      </c>
      <c r="I196" s="3">
        <v>629.16999999999996</v>
      </c>
    </row>
    <row r="197" spans="1:12">
      <c r="A197" t="s">
        <v>75</v>
      </c>
      <c r="B197" s="1">
        <v>41370</v>
      </c>
      <c r="C197" t="s">
        <v>2722</v>
      </c>
      <c r="D197">
        <v>2</v>
      </c>
      <c r="E197" t="s">
        <v>94</v>
      </c>
      <c r="F197" s="64" t="s">
        <v>868</v>
      </c>
      <c r="G197" s="9" t="s">
        <v>94</v>
      </c>
      <c r="H197" s="3">
        <f t="shared" si="8"/>
        <v>16500</v>
      </c>
      <c r="I197" s="3">
        <v>2640</v>
      </c>
    </row>
    <row r="198" spans="1:12">
      <c r="A198" t="s">
        <v>1217</v>
      </c>
      <c r="B198" s="1">
        <v>41382</v>
      </c>
      <c r="C198" t="s">
        <v>2776</v>
      </c>
      <c r="D198">
        <v>2</v>
      </c>
      <c r="E198" t="s">
        <v>94</v>
      </c>
      <c r="F198" s="36" t="s">
        <v>868</v>
      </c>
      <c r="G198" s="9" t="s">
        <v>94</v>
      </c>
      <c r="H198" s="3">
        <f t="shared" si="8"/>
        <v>7517.25</v>
      </c>
      <c r="I198" s="3">
        <v>1202.76</v>
      </c>
    </row>
    <row r="199" spans="1:12">
      <c r="A199" t="s">
        <v>2192</v>
      </c>
      <c r="B199" s="1">
        <v>41382</v>
      </c>
      <c r="C199" t="s">
        <v>2777</v>
      </c>
      <c r="D199">
        <v>1</v>
      </c>
      <c r="E199" t="s">
        <v>94</v>
      </c>
      <c r="F199" s="36" t="s">
        <v>868</v>
      </c>
      <c r="G199" s="9" t="s">
        <v>94</v>
      </c>
      <c r="H199" s="3">
        <f t="shared" si="8"/>
        <v>1500</v>
      </c>
      <c r="I199" s="3">
        <v>240</v>
      </c>
    </row>
    <row r="200" spans="1:12">
      <c r="A200" t="s">
        <v>2242</v>
      </c>
      <c r="B200" s="1">
        <v>41394</v>
      </c>
      <c r="C200" t="s">
        <v>2814</v>
      </c>
      <c r="D200">
        <v>2</v>
      </c>
      <c r="E200" t="s">
        <v>94</v>
      </c>
      <c r="F200" s="9" t="s">
        <v>868</v>
      </c>
      <c r="G200" s="9" t="s">
        <v>94</v>
      </c>
      <c r="H200" s="3">
        <f t="shared" si="8"/>
        <v>3100</v>
      </c>
      <c r="I200" s="3">
        <v>496</v>
      </c>
    </row>
    <row r="201" spans="1:12">
      <c r="A201" t="s">
        <v>236</v>
      </c>
      <c r="B201" s="1">
        <v>41394</v>
      </c>
      <c r="C201" t="s">
        <v>2838</v>
      </c>
      <c r="D201">
        <v>2</v>
      </c>
      <c r="E201" t="s">
        <v>94</v>
      </c>
      <c r="F201" s="9" t="s">
        <v>868</v>
      </c>
      <c r="G201" s="9" t="s">
        <v>94</v>
      </c>
      <c r="H201" s="3">
        <f t="shared" si="8"/>
        <v>5500</v>
      </c>
      <c r="I201" s="3">
        <v>880</v>
      </c>
    </row>
    <row r="202" spans="1:12">
      <c r="A202" t="s">
        <v>2608</v>
      </c>
      <c r="B202" s="1">
        <v>41394</v>
      </c>
      <c r="C202" t="s">
        <v>2609</v>
      </c>
      <c r="D202">
        <v>1</v>
      </c>
      <c r="E202" t="s">
        <v>2610</v>
      </c>
      <c r="F202" s="22" t="s">
        <v>2863</v>
      </c>
      <c r="G202" s="9" t="s">
        <v>2610</v>
      </c>
      <c r="H202" s="3">
        <f t="shared" si="8"/>
        <v>200</v>
      </c>
      <c r="I202" s="3">
        <v>32</v>
      </c>
    </row>
    <row r="203" spans="1:12">
      <c r="A203" t="s">
        <v>317</v>
      </c>
      <c r="B203" s="1">
        <v>41388</v>
      </c>
      <c r="C203" t="s">
        <v>2800</v>
      </c>
      <c r="D203">
        <v>1</v>
      </c>
      <c r="E203" t="s">
        <v>2801</v>
      </c>
      <c r="F203" s="64" t="s">
        <v>2864</v>
      </c>
      <c r="G203" s="9" t="s">
        <v>2801</v>
      </c>
      <c r="H203" s="3">
        <f t="shared" si="8"/>
        <v>2974.125</v>
      </c>
      <c r="I203" s="3">
        <v>475.86</v>
      </c>
    </row>
    <row r="204" spans="1:12">
      <c r="A204" t="s">
        <v>1936</v>
      </c>
      <c r="B204" s="1">
        <v>41394</v>
      </c>
      <c r="C204" t="s">
        <v>2501</v>
      </c>
      <c r="D204">
        <v>1</v>
      </c>
      <c r="E204" t="s">
        <v>874</v>
      </c>
      <c r="F204" s="25" t="s">
        <v>873</v>
      </c>
      <c r="G204" s="26" t="s">
        <v>874</v>
      </c>
      <c r="H204" s="3">
        <f t="shared" si="8"/>
        <v>357115.5625</v>
      </c>
      <c r="I204" s="3">
        <v>57138.49</v>
      </c>
    </row>
    <row r="205" spans="1:12">
      <c r="A205" t="s">
        <v>1108</v>
      </c>
      <c r="B205" s="1">
        <v>41375</v>
      </c>
      <c r="C205" t="s">
        <v>2744</v>
      </c>
      <c r="D205">
        <v>1</v>
      </c>
      <c r="E205" t="s">
        <v>2745</v>
      </c>
      <c r="F205" s="9" t="s">
        <v>1628</v>
      </c>
      <c r="G205" s="9" t="s">
        <v>2745</v>
      </c>
      <c r="H205" s="3">
        <f t="shared" si="8"/>
        <v>1582</v>
      </c>
      <c r="I205" s="3">
        <v>253.12</v>
      </c>
    </row>
    <row r="206" spans="1:12">
      <c r="A206" t="s">
        <v>2708</v>
      </c>
      <c r="B206" s="1">
        <v>41370</v>
      </c>
      <c r="C206" t="s">
        <v>2709</v>
      </c>
      <c r="D206">
        <v>1</v>
      </c>
      <c r="E206" t="s">
        <v>71</v>
      </c>
      <c r="F206" s="70" t="s">
        <v>943</v>
      </c>
      <c r="G206" s="28" t="s">
        <v>71</v>
      </c>
      <c r="H206" s="3">
        <f t="shared" si="8"/>
        <v>41.1875</v>
      </c>
      <c r="I206" s="3">
        <v>6.59</v>
      </c>
    </row>
    <row r="207" spans="1:12">
      <c r="A207" t="s">
        <v>391</v>
      </c>
      <c r="B207" s="1">
        <v>41394</v>
      </c>
      <c r="C207" t="s">
        <v>2816</v>
      </c>
      <c r="D207">
        <v>1</v>
      </c>
      <c r="E207" t="s">
        <v>71</v>
      </c>
      <c r="F207" s="28" t="s">
        <v>943</v>
      </c>
      <c r="G207" s="28" t="s">
        <v>71</v>
      </c>
      <c r="H207" s="3">
        <f t="shared" si="8"/>
        <v>300</v>
      </c>
      <c r="I207" s="3">
        <v>48</v>
      </c>
      <c r="J207" s="14" t="e">
        <f>+H207-#REF!</f>
        <v>#REF!</v>
      </c>
      <c r="K207" s="14" t="e">
        <f>+I207-#REF!</f>
        <v>#REF!</v>
      </c>
      <c r="L207" t="s">
        <v>900</v>
      </c>
    </row>
    <row r="208" spans="1:12">
      <c r="A208" t="s">
        <v>2797</v>
      </c>
      <c r="B208" s="1">
        <v>41386</v>
      </c>
      <c r="C208" t="s">
        <v>2798</v>
      </c>
      <c r="D208">
        <v>1</v>
      </c>
      <c r="E208" t="s">
        <v>306</v>
      </c>
      <c r="F208" s="43" t="s">
        <v>876</v>
      </c>
      <c r="G208" t="s">
        <v>306</v>
      </c>
      <c r="H208" s="3">
        <f t="shared" si="8"/>
        <v>32004.312499999996</v>
      </c>
      <c r="I208" s="3">
        <v>5120.6899999999996</v>
      </c>
    </row>
    <row r="209" spans="1:12">
      <c r="A209" t="s">
        <v>1168</v>
      </c>
      <c r="B209" s="1">
        <v>41394</v>
      </c>
      <c r="C209" t="s">
        <v>2820</v>
      </c>
      <c r="D209">
        <v>1</v>
      </c>
      <c r="E209" t="s">
        <v>223</v>
      </c>
      <c r="F209" s="28" t="s">
        <v>877</v>
      </c>
      <c r="G209" s="28" t="s">
        <v>223</v>
      </c>
      <c r="H209" s="3">
        <f t="shared" si="8"/>
        <v>17953.1875</v>
      </c>
      <c r="I209" s="3">
        <v>2872.51</v>
      </c>
      <c r="J209" s="14" t="e">
        <f>+H209-#REF!</f>
        <v>#REF!</v>
      </c>
      <c r="K209" s="14" t="e">
        <f>+I209-#REF!</f>
        <v>#REF!</v>
      </c>
      <c r="L209" t="s">
        <v>900</v>
      </c>
    </row>
    <row r="210" spans="1:12">
      <c r="A210" t="s">
        <v>2588</v>
      </c>
      <c r="B210" s="1">
        <v>41394</v>
      </c>
      <c r="C210" t="s">
        <v>2589</v>
      </c>
      <c r="D210">
        <v>1</v>
      </c>
      <c r="E210" t="s">
        <v>2590</v>
      </c>
      <c r="F210" s="28" t="s">
        <v>877</v>
      </c>
      <c r="G210" s="28" t="s">
        <v>2590</v>
      </c>
      <c r="H210" s="3">
        <f t="shared" si="8"/>
        <v>344.8125</v>
      </c>
      <c r="I210" s="3">
        <v>55.17</v>
      </c>
      <c r="J210" s="14" t="e">
        <f>+H210-#REF!</f>
        <v>#REF!</v>
      </c>
      <c r="K210" s="14" t="e">
        <f>+I210-#REF!</f>
        <v>#REF!</v>
      </c>
      <c r="L210" t="s">
        <v>900</v>
      </c>
    </row>
    <row r="211" spans="1:12">
      <c r="A211" t="s">
        <v>1136</v>
      </c>
      <c r="B211" s="1">
        <v>41377</v>
      </c>
      <c r="C211" t="s">
        <v>2751</v>
      </c>
      <c r="D211">
        <v>1</v>
      </c>
      <c r="E211" t="s">
        <v>319</v>
      </c>
      <c r="F211" s="9" t="s">
        <v>878</v>
      </c>
      <c r="G211" s="9" t="s">
        <v>319</v>
      </c>
      <c r="H211" s="3">
        <f t="shared" si="8"/>
        <v>42100.5</v>
      </c>
      <c r="I211" s="3">
        <v>6736.08</v>
      </c>
    </row>
    <row r="212" spans="1:12">
      <c r="A212" t="s">
        <v>329</v>
      </c>
      <c r="B212" s="1">
        <v>41389</v>
      </c>
      <c r="C212" t="s">
        <v>2802</v>
      </c>
      <c r="D212">
        <v>1</v>
      </c>
      <c r="E212" t="s">
        <v>968</v>
      </c>
      <c r="F212" s="64" t="s">
        <v>1632</v>
      </c>
      <c r="G212" s="9" t="s">
        <v>968</v>
      </c>
      <c r="H212" s="3">
        <f t="shared" si="8"/>
        <v>13743.437499999998</v>
      </c>
      <c r="I212" s="3">
        <v>2198.9499999999998</v>
      </c>
    </row>
    <row r="213" spans="1:12">
      <c r="A213" t="s">
        <v>331</v>
      </c>
      <c r="B213" s="1">
        <v>41389</v>
      </c>
      <c r="C213" t="s">
        <v>2803</v>
      </c>
      <c r="D213">
        <v>1</v>
      </c>
      <c r="E213" t="s">
        <v>968</v>
      </c>
      <c r="F213" s="64" t="s">
        <v>1632</v>
      </c>
      <c r="G213" s="9" t="s">
        <v>968</v>
      </c>
      <c r="H213" s="3">
        <f t="shared" si="8"/>
        <v>6445</v>
      </c>
      <c r="I213" s="3">
        <v>1031.2</v>
      </c>
    </row>
    <row r="214" spans="1:12">
      <c r="A214" t="s">
        <v>1535</v>
      </c>
      <c r="B214" s="1">
        <v>41394</v>
      </c>
      <c r="C214" t="s">
        <v>2534</v>
      </c>
      <c r="D214">
        <v>1</v>
      </c>
      <c r="E214" t="s">
        <v>535</v>
      </c>
      <c r="F214" s="9" t="s">
        <v>884</v>
      </c>
      <c r="G214" s="9" t="s">
        <v>535</v>
      </c>
      <c r="H214" s="3">
        <f t="shared" si="8"/>
        <v>344.8125</v>
      </c>
      <c r="I214" s="3">
        <v>55.17</v>
      </c>
    </row>
    <row r="215" spans="1:12">
      <c r="A215" t="s">
        <v>1547</v>
      </c>
      <c r="B215" s="1">
        <v>41394</v>
      </c>
      <c r="C215" t="s">
        <v>2541</v>
      </c>
      <c r="D215">
        <v>1</v>
      </c>
      <c r="E215" t="s">
        <v>535</v>
      </c>
      <c r="F215" s="9" t="s">
        <v>884</v>
      </c>
      <c r="G215" s="9" t="s">
        <v>535</v>
      </c>
      <c r="H215" s="3">
        <f t="shared" si="8"/>
        <v>344.8125</v>
      </c>
      <c r="I215" s="3">
        <v>55.17</v>
      </c>
    </row>
    <row r="216" spans="1:12">
      <c r="A216" t="s">
        <v>2582</v>
      </c>
      <c r="B216" s="1">
        <v>41394</v>
      </c>
      <c r="C216" t="s">
        <v>2583</v>
      </c>
      <c r="D216">
        <v>1</v>
      </c>
      <c r="E216" t="s">
        <v>535</v>
      </c>
      <c r="F216" s="9" t="s">
        <v>884</v>
      </c>
      <c r="G216" s="9" t="s">
        <v>535</v>
      </c>
      <c r="H216" s="3">
        <f t="shared" si="8"/>
        <v>689.6875</v>
      </c>
      <c r="I216" s="3">
        <v>110.35</v>
      </c>
    </row>
    <row r="217" spans="1:12">
      <c r="A217" t="s">
        <v>2416</v>
      </c>
      <c r="B217" s="1">
        <v>41380</v>
      </c>
      <c r="C217" t="s">
        <v>2417</v>
      </c>
      <c r="D217">
        <v>1</v>
      </c>
      <c r="E217" t="s">
        <v>2418</v>
      </c>
      <c r="F217" s="13" t="s">
        <v>1637</v>
      </c>
      <c r="G217" s="71" t="s">
        <v>1638</v>
      </c>
      <c r="H217" s="3">
        <f t="shared" si="8"/>
        <v>233358.9375</v>
      </c>
      <c r="I217" s="3">
        <v>37337.43</v>
      </c>
    </row>
    <row r="218" spans="1:12">
      <c r="A218" t="s">
        <v>2362</v>
      </c>
      <c r="B218" s="1">
        <v>41365</v>
      </c>
      <c r="C218" t="s">
        <v>1942</v>
      </c>
      <c r="D218">
        <v>1</v>
      </c>
      <c r="E218" t="s">
        <v>6</v>
      </c>
      <c r="F218" s="30" t="s">
        <v>886</v>
      </c>
      <c r="G218" s="31" t="s">
        <v>887</v>
      </c>
      <c r="H218" s="3">
        <f t="shared" si="8"/>
        <v>352770.8125</v>
      </c>
      <c r="I218" s="3">
        <v>56443.33</v>
      </c>
      <c r="J218" s="3"/>
      <c r="K218" s="3"/>
    </row>
    <row r="219" spans="1:12">
      <c r="A219" t="s">
        <v>2363</v>
      </c>
      <c r="B219" s="1">
        <v>41365</v>
      </c>
      <c r="C219" t="s">
        <v>2364</v>
      </c>
      <c r="D219">
        <v>1</v>
      </c>
      <c r="E219" t="s">
        <v>6</v>
      </c>
      <c r="F219" s="30" t="s">
        <v>886</v>
      </c>
      <c r="G219" s="31" t="s">
        <v>887</v>
      </c>
      <c r="H219" s="3">
        <f t="shared" si="8"/>
        <v>199492.125</v>
      </c>
      <c r="I219" s="3">
        <v>31918.74</v>
      </c>
      <c r="J219" s="3"/>
      <c r="K219" s="3"/>
    </row>
    <row r="220" spans="1:12">
      <c r="A220" t="s">
        <v>2365</v>
      </c>
      <c r="B220" s="1">
        <v>41365</v>
      </c>
      <c r="C220" t="s">
        <v>2366</v>
      </c>
      <c r="D220">
        <v>1</v>
      </c>
      <c r="E220" t="s">
        <v>6</v>
      </c>
      <c r="F220" s="30" t="s">
        <v>886</v>
      </c>
      <c r="G220" s="31" t="s">
        <v>887</v>
      </c>
      <c r="H220" s="3">
        <f t="shared" si="8"/>
        <v>199492.125</v>
      </c>
      <c r="I220" s="3">
        <v>31918.74</v>
      </c>
      <c r="J220" s="3"/>
      <c r="K220" s="3"/>
    </row>
    <row r="221" spans="1:12">
      <c r="A221" t="s">
        <v>2367</v>
      </c>
      <c r="B221" s="1">
        <v>41365</v>
      </c>
      <c r="C221" t="s">
        <v>2368</v>
      </c>
      <c r="D221">
        <v>1</v>
      </c>
      <c r="E221" t="s">
        <v>6</v>
      </c>
      <c r="F221" s="30" t="s">
        <v>886</v>
      </c>
      <c r="G221" s="31" t="s">
        <v>887</v>
      </c>
      <c r="H221" s="3">
        <f t="shared" si="8"/>
        <v>186850.6875</v>
      </c>
      <c r="I221" s="3">
        <v>29896.11</v>
      </c>
      <c r="J221" s="3"/>
      <c r="K221" s="3"/>
    </row>
    <row r="222" spans="1:12">
      <c r="A222" t="s">
        <v>2369</v>
      </c>
      <c r="B222" s="1">
        <v>41365</v>
      </c>
      <c r="C222" t="s">
        <v>2370</v>
      </c>
      <c r="D222">
        <v>1</v>
      </c>
      <c r="E222" t="s">
        <v>6</v>
      </c>
      <c r="F222" s="30" t="s">
        <v>886</v>
      </c>
      <c r="G222" s="31" t="s">
        <v>887</v>
      </c>
      <c r="H222" s="3">
        <f t="shared" si="8"/>
        <v>312408.625</v>
      </c>
      <c r="I222" s="3">
        <v>49985.38</v>
      </c>
      <c r="J222" s="3"/>
      <c r="K222" s="3"/>
    </row>
    <row r="223" spans="1:12">
      <c r="A223" t="s">
        <v>2371</v>
      </c>
      <c r="B223" s="1">
        <v>41365</v>
      </c>
      <c r="C223" t="s">
        <v>2372</v>
      </c>
      <c r="D223">
        <v>1</v>
      </c>
      <c r="E223" t="s">
        <v>6</v>
      </c>
      <c r="F223" s="30" t="s">
        <v>886</v>
      </c>
      <c r="G223" s="31" t="s">
        <v>887</v>
      </c>
      <c r="H223" s="3">
        <f t="shared" si="8"/>
        <v>190157.5625</v>
      </c>
      <c r="I223" s="3">
        <v>30425.21</v>
      </c>
      <c r="J223" s="3"/>
      <c r="K223" s="3"/>
    </row>
    <row r="224" spans="1:12">
      <c r="A224" t="s">
        <v>2373</v>
      </c>
      <c r="B224" s="1">
        <v>41365</v>
      </c>
      <c r="C224" t="s">
        <v>2374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si="8"/>
        <v>220622.625</v>
      </c>
      <c r="I224" s="3">
        <v>35299.620000000003</v>
      </c>
      <c r="J224" s="3"/>
      <c r="K224" s="3"/>
    </row>
    <row r="225" spans="1:11">
      <c r="A225" t="s">
        <v>2375</v>
      </c>
      <c r="B225" s="1">
        <v>41365</v>
      </c>
      <c r="C225" t="s">
        <v>2376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8"/>
        <v>190157.5625</v>
      </c>
      <c r="I225" s="3">
        <v>30425.21</v>
      </c>
      <c r="J225" s="3"/>
      <c r="K225" s="3"/>
    </row>
    <row r="226" spans="1:11">
      <c r="A226" t="s">
        <v>2377</v>
      </c>
      <c r="B226" s="1">
        <v>41365</v>
      </c>
      <c r="C226" t="s">
        <v>2378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8"/>
        <v>220622.625</v>
      </c>
      <c r="I226" s="3">
        <v>35299.620000000003</v>
      </c>
      <c r="J226" s="3"/>
      <c r="K226" s="3"/>
    </row>
    <row r="227" spans="1:11">
      <c r="A227" t="s">
        <v>2379</v>
      </c>
      <c r="B227" s="1">
        <v>41365</v>
      </c>
      <c r="C227" t="s">
        <v>2380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8"/>
        <v>220622.625</v>
      </c>
      <c r="I227" s="3">
        <v>35299.620000000003</v>
      </c>
      <c r="J227" s="3"/>
      <c r="K227" s="3"/>
    </row>
    <row r="228" spans="1:11">
      <c r="A228" t="s">
        <v>2381</v>
      </c>
      <c r="B228" s="1">
        <v>41365</v>
      </c>
      <c r="C228" t="s">
        <v>2382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8"/>
        <v>-251593.43749999997</v>
      </c>
      <c r="I228" s="3">
        <v>-40254.949999999997</v>
      </c>
      <c r="J228" s="3"/>
      <c r="K228" s="72"/>
    </row>
    <row r="229" spans="1:11">
      <c r="A229" t="s">
        <v>2383</v>
      </c>
      <c r="B229" s="1">
        <v>41365</v>
      </c>
      <c r="C229" t="s">
        <v>2384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8"/>
        <v>-283989.8125</v>
      </c>
      <c r="I229" s="3">
        <v>-45438.37</v>
      </c>
      <c r="J229" s="3"/>
      <c r="K229" s="72"/>
    </row>
    <row r="230" spans="1:11">
      <c r="A230" t="s">
        <v>2385</v>
      </c>
      <c r="B230" s="1">
        <v>41365</v>
      </c>
      <c r="C230" t="s">
        <v>2386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8"/>
        <v>283989.8125</v>
      </c>
      <c r="I230" s="3">
        <v>45438.37</v>
      </c>
      <c r="J230" s="3"/>
      <c r="K230" s="3"/>
    </row>
    <row r="231" spans="1:11">
      <c r="A231" t="s">
        <v>2400</v>
      </c>
      <c r="B231" s="1">
        <v>41377</v>
      </c>
      <c r="C231" t="s">
        <v>2401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8"/>
        <v>352771.3125</v>
      </c>
      <c r="I231" s="3">
        <v>56443.41</v>
      </c>
      <c r="J231" s="3"/>
      <c r="K231" s="3"/>
    </row>
    <row r="232" spans="1:11">
      <c r="A232" t="s">
        <v>2410</v>
      </c>
      <c r="B232" s="1">
        <v>41380</v>
      </c>
      <c r="C232" t="s">
        <v>2411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8"/>
        <v>352771.3125</v>
      </c>
      <c r="I232" s="3">
        <v>56443.41</v>
      </c>
      <c r="J232" s="3"/>
      <c r="K232" s="3"/>
    </row>
    <row r="233" spans="1:11">
      <c r="A233" t="s">
        <v>2412</v>
      </c>
      <c r="B233" s="1">
        <v>41380</v>
      </c>
      <c r="C233" t="s">
        <v>2413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8"/>
        <v>299262.375</v>
      </c>
      <c r="I233" s="3">
        <v>47881.98</v>
      </c>
      <c r="J233" s="3"/>
      <c r="K233" s="3"/>
    </row>
    <row r="234" spans="1:11">
      <c r="A234" t="s">
        <v>2414</v>
      </c>
      <c r="B234" s="1">
        <v>41380</v>
      </c>
      <c r="C234" t="s">
        <v>2415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8"/>
        <v>277751.8125</v>
      </c>
      <c r="I234" s="3">
        <v>44440.29</v>
      </c>
      <c r="J234" s="3"/>
      <c r="K234" s="3"/>
    </row>
    <row r="235" spans="1:11">
      <c r="A235" t="s">
        <v>2419</v>
      </c>
      <c r="B235" s="1">
        <v>41380</v>
      </c>
      <c r="C235" t="s">
        <v>2420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8"/>
        <v>286904.5625</v>
      </c>
      <c r="I235" s="3">
        <v>45904.73</v>
      </c>
      <c r="J235" s="3"/>
      <c r="K235" s="3"/>
    </row>
    <row r="236" spans="1:11">
      <c r="A236" t="s">
        <v>1173</v>
      </c>
      <c r="B236" s="1">
        <v>41381</v>
      </c>
      <c r="C236" t="s">
        <v>2421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8"/>
        <v>352771.3125</v>
      </c>
      <c r="I236" s="3">
        <v>56443.41</v>
      </c>
      <c r="J236" s="3"/>
      <c r="K236" s="3"/>
    </row>
    <row r="237" spans="1:11">
      <c r="A237" t="s">
        <v>2422</v>
      </c>
      <c r="B237" s="1">
        <v>41381</v>
      </c>
      <c r="C237" t="s">
        <v>2423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8"/>
        <v>309577.9375</v>
      </c>
      <c r="I237" s="3">
        <v>49532.47</v>
      </c>
      <c r="J237" s="3"/>
      <c r="K237" s="3"/>
    </row>
    <row r="238" spans="1:11">
      <c r="A238" t="s">
        <v>2424</v>
      </c>
      <c r="B238" s="1">
        <v>41382</v>
      </c>
      <c r="C238" t="s">
        <v>2425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8"/>
        <v>183533.1875</v>
      </c>
      <c r="I238" s="3">
        <v>29365.31</v>
      </c>
      <c r="J238" s="3"/>
      <c r="K238" s="3"/>
    </row>
    <row r="239" spans="1:11">
      <c r="A239" t="s">
        <v>1180</v>
      </c>
      <c r="B239" s="1">
        <v>41382</v>
      </c>
      <c r="C239" t="s">
        <v>2426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8"/>
        <v>167896.875</v>
      </c>
      <c r="I239" s="3">
        <v>26863.5</v>
      </c>
      <c r="J239" s="3"/>
      <c r="K239" s="3"/>
    </row>
    <row r="240" spans="1:11">
      <c r="A240" t="s">
        <v>2427</v>
      </c>
      <c r="B240" s="1">
        <v>41382</v>
      </c>
      <c r="C240" t="s">
        <v>2428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8"/>
        <v>167896.875</v>
      </c>
      <c r="I240" s="3">
        <v>26863.5</v>
      </c>
      <c r="J240" s="3"/>
      <c r="K240" s="3"/>
    </row>
    <row r="241" spans="1:11">
      <c r="A241" t="s">
        <v>2429</v>
      </c>
      <c r="B241" s="1">
        <v>41382</v>
      </c>
      <c r="C241" t="s">
        <v>2430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ref="H241:H363" si="9">+I241/0.16</f>
        <v>307931.25</v>
      </c>
      <c r="I241" s="3">
        <v>49269</v>
      </c>
      <c r="J241" s="3"/>
      <c r="K241" s="3"/>
    </row>
    <row r="242" spans="1:11">
      <c r="A242" t="s">
        <v>2431</v>
      </c>
      <c r="B242" s="1">
        <v>41382</v>
      </c>
      <c r="C242" t="s">
        <v>2432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9"/>
        <v>307931.25</v>
      </c>
      <c r="I242" s="3">
        <v>49269</v>
      </c>
      <c r="J242" s="3"/>
      <c r="K242" s="3"/>
    </row>
    <row r="243" spans="1:11">
      <c r="A243" t="s">
        <v>2433</v>
      </c>
      <c r="B243" s="1">
        <v>41382</v>
      </c>
      <c r="C243" t="s">
        <v>2434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9"/>
        <v>179912.0625</v>
      </c>
      <c r="I243" s="3">
        <v>28785.93</v>
      </c>
      <c r="J243" s="3"/>
      <c r="K243" s="3"/>
    </row>
    <row r="244" spans="1:11">
      <c r="A244" t="s">
        <v>2435</v>
      </c>
      <c r="B244" s="1">
        <v>41382</v>
      </c>
      <c r="C244" t="s">
        <v>2436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9"/>
        <v>220622.625</v>
      </c>
      <c r="I244" s="3">
        <v>35299.620000000003</v>
      </c>
      <c r="J244" s="3"/>
      <c r="K244" s="3"/>
    </row>
    <row r="245" spans="1:11">
      <c r="A245" t="s">
        <v>2437</v>
      </c>
      <c r="B245" s="1">
        <v>41382</v>
      </c>
      <c r="C245" t="s">
        <v>2438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9"/>
        <v>220622.625</v>
      </c>
      <c r="I245" s="3">
        <v>35299.620000000003</v>
      </c>
      <c r="J245" s="3"/>
      <c r="K245" s="3"/>
    </row>
    <row r="246" spans="1:11">
      <c r="A246" t="s">
        <v>2439</v>
      </c>
      <c r="B246" s="1">
        <v>41382</v>
      </c>
      <c r="C246" t="s">
        <v>2440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9"/>
        <v>211715.1875</v>
      </c>
      <c r="I246" s="3">
        <v>33874.43</v>
      </c>
      <c r="J246" s="3"/>
      <c r="K246" s="3"/>
    </row>
    <row r="247" spans="1:11">
      <c r="A247" t="s">
        <v>2441</v>
      </c>
      <c r="B247" s="1">
        <v>41382</v>
      </c>
      <c r="C247" t="s">
        <v>2442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9"/>
        <v>211715.1875</v>
      </c>
      <c r="I247" s="3">
        <v>33874.43</v>
      </c>
      <c r="J247" s="3"/>
      <c r="K247" s="3"/>
    </row>
    <row r="248" spans="1:11">
      <c r="A248" t="s">
        <v>2443</v>
      </c>
      <c r="B248" s="1">
        <v>41382</v>
      </c>
      <c r="C248" t="s">
        <v>1171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9"/>
        <v>-160448.625</v>
      </c>
      <c r="I248" s="3">
        <v>-25671.78</v>
      </c>
      <c r="J248" s="3"/>
      <c r="K248" s="72"/>
    </row>
    <row r="249" spans="1:11">
      <c r="A249" t="s">
        <v>2447</v>
      </c>
      <c r="B249" s="1">
        <v>41386</v>
      </c>
      <c r="C249" t="s">
        <v>2448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9"/>
        <v>286904.5625</v>
      </c>
      <c r="I249" s="3">
        <v>45904.73</v>
      </c>
      <c r="J249" s="3"/>
      <c r="K249" s="3"/>
    </row>
    <row r="250" spans="1:11">
      <c r="A250" t="s">
        <v>2452</v>
      </c>
      <c r="B250" s="1">
        <v>41386</v>
      </c>
      <c r="C250" t="s">
        <v>2453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9"/>
        <v>277751.8125</v>
      </c>
      <c r="I250" s="3">
        <v>44440.29</v>
      </c>
      <c r="J250" s="3"/>
      <c r="K250" s="3"/>
    </row>
    <row r="251" spans="1:11">
      <c r="A251" t="s">
        <v>2454</v>
      </c>
      <c r="B251" s="1">
        <v>41386</v>
      </c>
      <c r="C251" t="s">
        <v>1165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9"/>
        <v>-253943.3125</v>
      </c>
      <c r="I251" s="3">
        <v>-40630.93</v>
      </c>
      <c r="J251" s="3"/>
      <c r="K251" s="72"/>
    </row>
    <row r="252" spans="1:11">
      <c r="A252" t="s">
        <v>1845</v>
      </c>
      <c r="B252" s="1">
        <v>41386</v>
      </c>
      <c r="C252" t="s">
        <v>2455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9"/>
        <v>167896.875</v>
      </c>
      <c r="I252" s="3">
        <v>26863.5</v>
      </c>
      <c r="J252" s="3"/>
      <c r="K252" s="3"/>
    </row>
    <row r="253" spans="1:11">
      <c r="A253" t="s">
        <v>1887</v>
      </c>
      <c r="B253" s="1">
        <v>41391</v>
      </c>
      <c r="C253" t="s">
        <v>2461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9"/>
        <v>277751.8125</v>
      </c>
      <c r="I253" s="3">
        <v>44440.29</v>
      </c>
      <c r="J253" s="3"/>
      <c r="K253" s="3"/>
    </row>
    <row r="254" spans="1:11">
      <c r="A254" t="s">
        <v>2471</v>
      </c>
      <c r="B254" s="1">
        <v>41393</v>
      </c>
      <c r="C254" t="s">
        <v>2472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si="9"/>
        <v>182560.6875</v>
      </c>
      <c r="I254" s="3">
        <v>29209.71</v>
      </c>
      <c r="J254" s="3"/>
      <c r="K254" s="3"/>
    </row>
    <row r="255" spans="1:11">
      <c r="A255" t="s">
        <v>2473</v>
      </c>
      <c r="B255" s="1">
        <v>41393</v>
      </c>
      <c r="C255" t="s">
        <v>2474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9"/>
        <v>211715.1875</v>
      </c>
      <c r="I255" s="3">
        <v>33874.43</v>
      </c>
      <c r="J255" s="3"/>
      <c r="K255" s="3"/>
    </row>
    <row r="256" spans="1:11">
      <c r="A256" t="s">
        <v>2475</v>
      </c>
      <c r="B256" s="1">
        <v>41393</v>
      </c>
      <c r="C256" t="s">
        <v>2476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9"/>
        <v>277751.8125</v>
      </c>
      <c r="I256" s="3">
        <v>44440.29</v>
      </c>
      <c r="J256" s="3"/>
      <c r="K256" s="3"/>
    </row>
    <row r="257" spans="1:12">
      <c r="A257" t="s">
        <v>2477</v>
      </c>
      <c r="B257" s="1">
        <v>41393</v>
      </c>
      <c r="C257" t="s">
        <v>2478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9"/>
        <v>211715.1875</v>
      </c>
      <c r="I257" s="3">
        <v>33874.43</v>
      </c>
      <c r="J257" s="3"/>
      <c r="K257" s="3"/>
    </row>
    <row r="258" spans="1:12">
      <c r="A258" t="s">
        <v>2479</v>
      </c>
      <c r="B258" s="1">
        <v>41393</v>
      </c>
      <c r="C258" t="s">
        <v>2480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9"/>
        <v>211715.1875</v>
      </c>
      <c r="I258" s="3">
        <v>33874.43</v>
      </c>
      <c r="J258" s="3"/>
      <c r="K258" s="3"/>
    </row>
    <row r="259" spans="1:12">
      <c r="A259" t="s">
        <v>2481</v>
      </c>
      <c r="B259" s="1">
        <v>41393</v>
      </c>
      <c r="C259" t="s">
        <v>2482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9"/>
        <v>211715.1875</v>
      </c>
      <c r="I259" s="3">
        <v>33874.43</v>
      </c>
      <c r="J259" s="3"/>
      <c r="K259" s="3"/>
    </row>
    <row r="260" spans="1:12">
      <c r="A260" t="s">
        <v>2483</v>
      </c>
      <c r="B260" s="1">
        <v>41393</v>
      </c>
      <c r="C260" t="s">
        <v>2484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9"/>
        <v>211715.1875</v>
      </c>
      <c r="I260" s="3">
        <v>33874.43</v>
      </c>
      <c r="J260" s="3"/>
      <c r="K260" s="3"/>
    </row>
    <row r="261" spans="1:12">
      <c r="A261" t="s">
        <v>2485</v>
      </c>
      <c r="B261" s="1">
        <v>41393</v>
      </c>
      <c r="C261" t="s">
        <v>2486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9"/>
        <v>309577.9375</v>
      </c>
      <c r="I261" s="3">
        <v>49532.47</v>
      </c>
      <c r="J261" s="3"/>
      <c r="K261" s="3"/>
    </row>
    <row r="262" spans="1:12">
      <c r="A262" t="s">
        <v>2487</v>
      </c>
      <c r="B262" s="1">
        <v>41393</v>
      </c>
      <c r="C262" t="s">
        <v>2488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9"/>
        <v>352771.3125</v>
      </c>
      <c r="I262" s="3">
        <v>56443.41</v>
      </c>
      <c r="J262" s="3"/>
      <c r="K262" s="3"/>
    </row>
    <row r="263" spans="1:12">
      <c r="A263" t="s">
        <v>2489</v>
      </c>
      <c r="B263" s="1">
        <v>41393</v>
      </c>
      <c r="C263" t="s">
        <v>2490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9"/>
        <v>286904.5625</v>
      </c>
      <c r="I263" s="3">
        <v>45904.73</v>
      </c>
      <c r="J263" s="3"/>
      <c r="K263" s="3"/>
    </row>
    <row r="264" spans="1:12">
      <c r="A264" t="s">
        <v>1941</v>
      </c>
      <c r="B264" s="1">
        <v>41394</v>
      </c>
      <c r="C264" t="s">
        <v>2502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9"/>
        <v>253943.3125</v>
      </c>
      <c r="I264" s="3">
        <v>40630.93</v>
      </c>
      <c r="J264" s="48"/>
      <c r="K264" s="73"/>
    </row>
    <row r="265" spans="1:12">
      <c r="A265" t="s">
        <v>2027</v>
      </c>
      <c r="B265" s="1">
        <v>41394</v>
      </c>
      <c r="C265" t="s">
        <v>2505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9"/>
        <v>167896.875</v>
      </c>
      <c r="I265" s="3">
        <v>26863.5</v>
      </c>
      <c r="J265" s="3"/>
      <c r="K265" s="3"/>
    </row>
    <row r="266" spans="1:12">
      <c r="A266" t="s">
        <v>2506</v>
      </c>
      <c r="B266" s="1">
        <v>41394</v>
      </c>
      <c r="C266" t="s">
        <v>2507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9"/>
        <v>167896.875</v>
      </c>
      <c r="I266" s="3">
        <v>26863.5</v>
      </c>
      <c r="J266" s="3"/>
      <c r="K266" s="3"/>
    </row>
    <row r="267" spans="1:12">
      <c r="A267" t="s">
        <v>2508</v>
      </c>
      <c r="B267" s="1">
        <v>41394</v>
      </c>
      <c r="C267" t="s">
        <v>2509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9"/>
        <v>167896.875</v>
      </c>
      <c r="I267" s="3">
        <v>26863.5</v>
      </c>
      <c r="J267" s="3"/>
      <c r="K267" s="3"/>
    </row>
    <row r="268" spans="1:12">
      <c r="A268" t="s">
        <v>113</v>
      </c>
      <c r="B268" s="1">
        <v>41373</v>
      </c>
      <c r="C268" t="s">
        <v>2732</v>
      </c>
      <c r="D268">
        <v>1</v>
      </c>
      <c r="E268" t="s">
        <v>6</v>
      </c>
      <c r="F268" s="67" t="s">
        <v>829</v>
      </c>
      <c r="G268" s="68" t="s">
        <v>6</v>
      </c>
      <c r="H268" s="3">
        <f t="shared" si="9"/>
        <v>430462.6875</v>
      </c>
      <c r="I268" s="3">
        <v>68874.03</v>
      </c>
      <c r="J268" s="3"/>
      <c r="K268" s="3"/>
    </row>
    <row r="269" spans="1:12">
      <c r="A269" t="s">
        <v>2643</v>
      </c>
      <c r="B269" s="1">
        <v>41394</v>
      </c>
      <c r="C269" t="s">
        <v>2644</v>
      </c>
      <c r="D269">
        <v>1</v>
      </c>
      <c r="E269" t="s">
        <v>2645</v>
      </c>
      <c r="F269" s="28" t="s">
        <v>2343</v>
      </c>
      <c r="G269" s="28" t="s">
        <v>2344</v>
      </c>
      <c r="H269" s="47">
        <f t="shared" ref="H269:H274" si="10">I269/0.16</f>
        <v>250.375</v>
      </c>
      <c r="I269" s="47">
        <v>40.06</v>
      </c>
      <c r="J269" s="3"/>
      <c r="K269" s="3"/>
    </row>
    <row r="270" spans="1:12">
      <c r="A270" t="s">
        <v>2643</v>
      </c>
      <c r="B270" s="1">
        <v>41394</v>
      </c>
      <c r="C270" t="s">
        <v>2644</v>
      </c>
      <c r="D270">
        <v>1</v>
      </c>
      <c r="E270" t="s">
        <v>2645</v>
      </c>
      <c r="F270" t="s">
        <v>946</v>
      </c>
      <c r="G270" t="s">
        <v>947</v>
      </c>
      <c r="H270" s="46">
        <f t="shared" si="10"/>
        <v>206.625</v>
      </c>
      <c r="I270" s="46">
        <f>28.29+4.77</f>
        <v>33.06</v>
      </c>
    </row>
    <row r="271" spans="1:12">
      <c r="A271" t="s">
        <v>2643</v>
      </c>
      <c r="B271" s="1">
        <v>41394</v>
      </c>
      <c r="C271" t="s">
        <v>2644</v>
      </c>
      <c r="D271">
        <v>1</v>
      </c>
      <c r="E271" t="s">
        <v>2645</v>
      </c>
      <c r="F271" s="9" t="s">
        <v>847</v>
      </c>
      <c r="G271" s="9" t="s">
        <v>2870</v>
      </c>
      <c r="H271" s="65">
        <f t="shared" si="10"/>
        <v>36.1875</v>
      </c>
      <c r="I271" s="65">
        <v>5.79</v>
      </c>
      <c r="J271" s="14">
        <f>493.19-H269-H270-H271</f>
        <v>2.4999999999977263E-3</v>
      </c>
      <c r="K271" s="14">
        <f>78.91-I269-I270-I271</f>
        <v>-7.9936057773011271E-15</v>
      </c>
      <c r="L271" t="s">
        <v>900</v>
      </c>
    </row>
    <row r="272" spans="1:12">
      <c r="A272" t="s">
        <v>527</v>
      </c>
      <c r="B272" s="1">
        <v>41394</v>
      </c>
      <c r="C272" t="s">
        <v>2663</v>
      </c>
      <c r="D272">
        <v>1</v>
      </c>
      <c r="E272" t="s">
        <v>2664</v>
      </c>
      <c r="F272" t="s">
        <v>946</v>
      </c>
      <c r="G272" t="s">
        <v>1581</v>
      </c>
      <c r="H272" s="46">
        <f t="shared" si="10"/>
        <v>257.875</v>
      </c>
      <c r="I272" s="46">
        <f>41.29-0.03</f>
        <v>41.26</v>
      </c>
      <c r="J272" s="3"/>
      <c r="K272" s="3"/>
    </row>
    <row r="273" spans="1:12">
      <c r="A273" t="s">
        <v>527</v>
      </c>
      <c r="B273" s="1">
        <v>41394</v>
      </c>
      <c r="C273" t="s">
        <v>2663</v>
      </c>
      <c r="D273">
        <v>1</v>
      </c>
      <c r="E273" t="s">
        <v>2664</v>
      </c>
      <c r="F273" s="9" t="s">
        <v>2871</v>
      </c>
      <c r="G273" s="9" t="s">
        <v>2872</v>
      </c>
      <c r="H273" s="65">
        <f t="shared" si="10"/>
        <v>68</v>
      </c>
      <c r="I273" s="65">
        <v>10.88</v>
      </c>
      <c r="J273" s="14">
        <f>325.88-H272-H273</f>
        <v>4.9999999999954525E-3</v>
      </c>
      <c r="K273" s="14">
        <f>52.14-I272-I273</f>
        <v>0</v>
      </c>
      <c r="L273" t="s">
        <v>900</v>
      </c>
    </row>
    <row r="274" spans="1:12">
      <c r="A274" t="s">
        <v>512</v>
      </c>
      <c r="B274" s="1">
        <v>41394</v>
      </c>
      <c r="C274" t="s">
        <v>2657</v>
      </c>
      <c r="D274">
        <v>1</v>
      </c>
      <c r="E274" t="s">
        <v>2658</v>
      </c>
      <c r="F274" t="s">
        <v>946</v>
      </c>
      <c r="G274" t="s">
        <v>947</v>
      </c>
      <c r="H274" s="46">
        <f t="shared" si="10"/>
        <v>301.5625</v>
      </c>
      <c r="I274" s="46">
        <f>42.77+5.48</f>
        <v>48.25</v>
      </c>
      <c r="J274" s="3"/>
      <c r="K274" s="3"/>
    </row>
    <row r="275" spans="1:12">
      <c r="A275" t="s">
        <v>512</v>
      </c>
      <c r="B275" s="1">
        <v>41394</v>
      </c>
      <c r="C275" t="s">
        <v>2657</v>
      </c>
      <c r="D275">
        <v>1</v>
      </c>
      <c r="E275" t="s">
        <v>2658</v>
      </c>
      <c r="F275" s="28" t="s">
        <v>939</v>
      </c>
      <c r="G275" s="28" t="s">
        <v>940</v>
      </c>
      <c r="H275" s="47">
        <f>I275/0.16</f>
        <v>333.6875</v>
      </c>
      <c r="I275" s="47">
        <v>53.39</v>
      </c>
    </row>
    <row r="276" spans="1:12">
      <c r="A276" t="s">
        <v>512</v>
      </c>
      <c r="B276" s="1">
        <v>41394</v>
      </c>
      <c r="C276" t="s">
        <v>2657</v>
      </c>
      <c r="D276">
        <v>1</v>
      </c>
      <c r="E276" t="s">
        <v>2658</v>
      </c>
      <c r="F276" s="9" t="s">
        <v>1674</v>
      </c>
      <c r="G276" s="9" t="s">
        <v>1675</v>
      </c>
      <c r="H276" s="65">
        <f t="shared" ref="H276:H300" si="11">I276/0.16</f>
        <v>86.187499999999986</v>
      </c>
      <c r="I276" s="65">
        <v>13.79</v>
      </c>
    </row>
    <row r="277" spans="1:12">
      <c r="A277" t="s">
        <v>512</v>
      </c>
      <c r="B277" s="1">
        <v>41394</v>
      </c>
      <c r="C277" t="s">
        <v>2657</v>
      </c>
      <c r="D277">
        <v>1</v>
      </c>
      <c r="E277" t="s">
        <v>2658</v>
      </c>
      <c r="F277" s="28" t="s">
        <v>913</v>
      </c>
      <c r="G277" s="28" t="s">
        <v>914</v>
      </c>
      <c r="H277" s="47">
        <f t="shared" si="11"/>
        <v>697</v>
      </c>
      <c r="I277" s="47">
        <v>111.52</v>
      </c>
    </row>
    <row r="278" spans="1:12">
      <c r="A278" t="s">
        <v>512</v>
      </c>
      <c r="B278" s="1">
        <v>41394</v>
      </c>
      <c r="C278" t="s">
        <v>2657</v>
      </c>
      <c r="D278">
        <v>1</v>
      </c>
      <c r="E278" t="s">
        <v>2658</v>
      </c>
      <c r="F278" t="s">
        <v>946</v>
      </c>
      <c r="G278" s="33" t="s">
        <v>1581</v>
      </c>
      <c r="H278" s="46">
        <f t="shared" si="11"/>
        <v>392.3125</v>
      </c>
      <c r="I278" s="46">
        <v>62.77</v>
      </c>
      <c r="J278" s="14">
        <f>1810.75-H274-H275-H276-H277-H278</f>
        <v>0</v>
      </c>
      <c r="K278" s="14">
        <f>289.72-I274-I275-I276-I277-I278</f>
        <v>0</v>
      </c>
      <c r="L278" t="s">
        <v>900</v>
      </c>
    </row>
    <row r="279" spans="1:12">
      <c r="A279" t="s">
        <v>539</v>
      </c>
      <c r="B279" s="1">
        <v>41394</v>
      </c>
      <c r="C279" t="s">
        <v>2667</v>
      </c>
      <c r="D279">
        <v>1</v>
      </c>
      <c r="E279" t="s">
        <v>2668</v>
      </c>
      <c r="F279" s="28" t="s">
        <v>913</v>
      </c>
      <c r="G279" s="28" t="s">
        <v>914</v>
      </c>
      <c r="H279" s="47">
        <f t="shared" si="11"/>
        <v>697</v>
      </c>
      <c r="I279" s="47">
        <v>111.52</v>
      </c>
      <c r="J279" s="3"/>
      <c r="K279" s="3"/>
    </row>
    <row r="280" spans="1:12">
      <c r="A280" t="s">
        <v>539</v>
      </c>
      <c r="B280" s="1">
        <v>41394</v>
      </c>
      <c r="C280" t="s">
        <v>2667</v>
      </c>
      <c r="D280">
        <v>1</v>
      </c>
      <c r="E280" t="s">
        <v>2668</v>
      </c>
      <c r="F280" t="s">
        <v>946</v>
      </c>
      <c r="G280" t="s">
        <v>947</v>
      </c>
      <c r="H280" s="46">
        <f t="shared" si="11"/>
        <v>693.875</v>
      </c>
      <c r="I280" s="46">
        <f>105.54+5.48</f>
        <v>111.02000000000001</v>
      </c>
    </row>
    <row r="281" spans="1:12">
      <c r="A281" t="s">
        <v>539</v>
      </c>
      <c r="B281" s="1">
        <v>41394</v>
      </c>
      <c r="C281" t="s">
        <v>2667</v>
      </c>
      <c r="D281">
        <v>1</v>
      </c>
      <c r="E281" t="s">
        <v>2668</v>
      </c>
      <c r="F281" s="28" t="s">
        <v>939</v>
      </c>
      <c r="G281" s="28" t="s">
        <v>940</v>
      </c>
      <c r="H281" s="47">
        <f t="shared" si="11"/>
        <v>333.6875</v>
      </c>
      <c r="I281" s="47">
        <v>53.39</v>
      </c>
    </row>
    <row r="282" spans="1:12">
      <c r="A282" t="s">
        <v>539</v>
      </c>
      <c r="B282" s="1">
        <v>41394</v>
      </c>
      <c r="C282" t="s">
        <v>2667</v>
      </c>
      <c r="D282">
        <v>1</v>
      </c>
      <c r="E282" t="s">
        <v>2668</v>
      </c>
      <c r="F282" s="9" t="s">
        <v>1674</v>
      </c>
      <c r="G282" s="9" t="s">
        <v>1675</v>
      </c>
      <c r="H282" s="65">
        <f t="shared" si="11"/>
        <v>86.187499999999986</v>
      </c>
      <c r="I282" s="65">
        <v>13.79</v>
      </c>
      <c r="J282" s="14">
        <f>1810.75-H279-H280-H281-H282</f>
        <v>0</v>
      </c>
      <c r="K282" s="14">
        <f>289.72-I279-I280-I281-I282</f>
        <v>3.5527136788005009E-14</v>
      </c>
      <c r="L282" t="s">
        <v>900</v>
      </c>
    </row>
    <row r="283" spans="1:12">
      <c r="A283" t="s">
        <v>2654</v>
      </c>
      <c r="B283" s="1">
        <v>41394</v>
      </c>
      <c r="C283" t="s">
        <v>2655</v>
      </c>
      <c r="D283">
        <v>1</v>
      </c>
      <c r="E283" t="s">
        <v>2656</v>
      </c>
      <c r="F283" s="9" t="s">
        <v>2873</v>
      </c>
      <c r="G283" s="9" t="s">
        <v>2874</v>
      </c>
      <c r="H283" s="65">
        <f t="shared" si="11"/>
        <v>83.4375</v>
      </c>
      <c r="I283" s="65">
        <v>13.35</v>
      </c>
      <c r="J283" s="3"/>
      <c r="K283" s="3"/>
    </row>
    <row r="284" spans="1:12">
      <c r="A284" t="s">
        <v>2654</v>
      </c>
      <c r="B284" s="1">
        <v>41394</v>
      </c>
      <c r="C284" t="s">
        <v>2655</v>
      </c>
      <c r="D284">
        <v>1</v>
      </c>
      <c r="E284" t="s">
        <v>2656</v>
      </c>
      <c r="F284" t="s">
        <v>1684</v>
      </c>
      <c r="G284" t="s">
        <v>1685</v>
      </c>
      <c r="H284" s="46">
        <f t="shared" si="11"/>
        <v>333.6875</v>
      </c>
      <c r="I284" s="46">
        <v>53.39</v>
      </c>
    </row>
    <row r="285" spans="1:12">
      <c r="A285" t="s">
        <v>2654</v>
      </c>
      <c r="B285" s="1">
        <v>41394</v>
      </c>
      <c r="C285" t="s">
        <v>2655</v>
      </c>
      <c r="D285">
        <v>1</v>
      </c>
      <c r="E285" t="s">
        <v>2656</v>
      </c>
      <c r="F285" t="s">
        <v>946</v>
      </c>
      <c r="G285" t="s">
        <v>1581</v>
      </c>
      <c r="H285" s="46">
        <f t="shared" si="11"/>
        <v>350.12499999999994</v>
      </c>
      <c r="I285" s="46">
        <f>53.8+2.22</f>
        <v>56.019999999999996</v>
      </c>
      <c r="J285" s="14">
        <f>767.25-H283-H284-H285</f>
        <v>0</v>
      </c>
      <c r="K285" s="14">
        <f>122.76-I283-I284-I285</f>
        <v>0</v>
      </c>
      <c r="L285" t="s">
        <v>900</v>
      </c>
    </row>
    <row r="286" spans="1:12">
      <c r="A286" t="s">
        <v>2671</v>
      </c>
      <c r="B286" s="1">
        <v>41394</v>
      </c>
      <c r="C286" t="s">
        <v>2672</v>
      </c>
      <c r="D286">
        <v>1</v>
      </c>
      <c r="E286" t="s">
        <v>2673</v>
      </c>
      <c r="F286" t="s">
        <v>946</v>
      </c>
      <c r="G286" t="s">
        <v>947</v>
      </c>
      <c r="H286" s="3">
        <f t="shared" si="11"/>
        <v>141.5625</v>
      </c>
      <c r="I286" s="46">
        <f>21.1+1.55</f>
        <v>22.650000000000002</v>
      </c>
      <c r="J286" s="3"/>
      <c r="K286" s="3"/>
    </row>
    <row r="287" spans="1:12">
      <c r="A287" t="s">
        <v>2671</v>
      </c>
      <c r="B287" s="1">
        <v>41394</v>
      </c>
      <c r="C287" t="s">
        <v>2672</v>
      </c>
      <c r="D287">
        <v>1</v>
      </c>
      <c r="E287" t="s">
        <v>2673</v>
      </c>
      <c r="F287" s="9" t="s">
        <v>847</v>
      </c>
      <c r="G287" s="9" t="s">
        <v>2875</v>
      </c>
      <c r="H287" s="65">
        <f t="shared" si="11"/>
        <v>65.9375</v>
      </c>
      <c r="I287" s="65">
        <v>10.55</v>
      </c>
    </row>
    <row r="288" spans="1:12">
      <c r="A288" t="s">
        <v>2671</v>
      </c>
      <c r="B288" s="1">
        <v>41394</v>
      </c>
      <c r="C288" t="s">
        <v>2672</v>
      </c>
      <c r="D288">
        <v>1</v>
      </c>
      <c r="E288" t="s">
        <v>2673</v>
      </c>
      <c r="F288" s="9" t="s">
        <v>2876</v>
      </c>
      <c r="G288" s="9" t="s">
        <v>2877</v>
      </c>
      <c r="H288" s="65">
        <f t="shared" si="11"/>
        <v>292.0625</v>
      </c>
      <c r="I288" s="65">
        <v>46.73</v>
      </c>
      <c r="J288" s="14">
        <f>499.56-H286-H287-H288</f>
        <v>-2.4999999999977263E-3</v>
      </c>
      <c r="K288" s="14">
        <f>79.93-I286-I287-I288</f>
        <v>0</v>
      </c>
      <c r="L288" t="s">
        <v>900</v>
      </c>
    </row>
    <row r="289" spans="1:12">
      <c r="A289" t="s">
        <v>1052</v>
      </c>
      <c r="B289" s="1">
        <v>41394</v>
      </c>
      <c r="C289" t="s">
        <v>2549</v>
      </c>
      <c r="D289">
        <v>1</v>
      </c>
      <c r="E289" t="s">
        <v>2550</v>
      </c>
      <c r="F289" t="s">
        <v>946</v>
      </c>
      <c r="G289" s="33" t="s">
        <v>947</v>
      </c>
      <c r="H289" s="3">
        <f t="shared" si="11"/>
        <v>253.74999999999997</v>
      </c>
      <c r="I289" s="46">
        <f>39.05+1.55</f>
        <v>40.599999999999994</v>
      </c>
      <c r="J289" s="3"/>
      <c r="K289" s="3"/>
    </row>
    <row r="290" spans="1:12">
      <c r="A290" t="s">
        <v>1052</v>
      </c>
      <c r="B290" s="1">
        <v>41394</v>
      </c>
      <c r="C290" t="s">
        <v>2549</v>
      </c>
      <c r="D290">
        <v>1</v>
      </c>
      <c r="E290" t="s">
        <v>2550</v>
      </c>
      <c r="F290" s="28" t="s">
        <v>2343</v>
      </c>
      <c r="G290" s="28" t="s">
        <v>2344</v>
      </c>
      <c r="H290" s="47">
        <f t="shared" si="11"/>
        <v>289.375</v>
      </c>
      <c r="I290" s="47">
        <v>46.3</v>
      </c>
      <c r="J290" s="14">
        <f>543.13-H289-H290</f>
        <v>4.9999999999954525E-3</v>
      </c>
      <c r="K290" s="14">
        <f>86.9-I289-I290</f>
        <v>0</v>
      </c>
      <c r="L290" t="s">
        <v>900</v>
      </c>
    </row>
    <row r="291" spans="1:12">
      <c r="A291" t="s">
        <v>547</v>
      </c>
      <c r="B291" s="1">
        <v>41394</v>
      </c>
      <c r="C291" t="s">
        <v>2674</v>
      </c>
      <c r="D291">
        <v>1</v>
      </c>
      <c r="E291" t="s">
        <v>2039</v>
      </c>
      <c r="F291" t="s">
        <v>946</v>
      </c>
      <c r="G291" t="s">
        <v>947</v>
      </c>
      <c r="H291" s="46">
        <f t="shared" si="11"/>
        <v>112.9375</v>
      </c>
      <c r="I291" s="46">
        <v>18.07</v>
      </c>
      <c r="J291" s="3"/>
      <c r="K291" s="3"/>
    </row>
    <row r="292" spans="1:12">
      <c r="A292" t="s">
        <v>547</v>
      </c>
      <c r="B292" s="1">
        <v>41394</v>
      </c>
      <c r="C292" t="s">
        <v>2674</v>
      </c>
      <c r="D292">
        <v>1</v>
      </c>
      <c r="E292" t="s">
        <v>2039</v>
      </c>
      <c r="F292" s="28" t="s">
        <v>954</v>
      </c>
      <c r="G292" s="28" t="s">
        <v>2276</v>
      </c>
      <c r="H292" s="47">
        <f t="shared" si="11"/>
        <v>59.499999999999993</v>
      </c>
      <c r="I292" s="47">
        <v>9.52</v>
      </c>
      <c r="J292" s="14">
        <f>172.44-H291-H292</f>
        <v>2.5000000000048317E-3</v>
      </c>
      <c r="K292" s="14">
        <f>27.59-I291-I292</f>
        <v>0</v>
      </c>
    </row>
    <row r="293" spans="1:12">
      <c r="A293" t="s">
        <v>1721</v>
      </c>
      <c r="B293" s="1">
        <v>41394</v>
      </c>
      <c r="C293" t="s">
        <v>2556</v>
      </c>
      <c r="D293">
        <v>1</v>
      </c>
      <c r="E293" t="s">
        <v>2557</v>
      </c>
      <c r="F293" s="9" t="s">
        <v>2878</v>
      </c>
      <c r="G293" s="9" t="s">
        <v>2879</v>
      </c>
      <c r="H293" s="65">
        <f t="shared" si="11"/>
        <v>85.3125</v>
      </c>
      <c r="I293" s="65">
        <v>13.65</v>
      </c>
      <c r="J293" s="3"/>
      <c r="K293" s="3"/>
    </row>
    <row r="294" spans="1:12">
      <c r="A294" t="s">
        <v>1721</v>
      </c>
      <c r="B294" s="1">
        <v>41394</v>
      </c>
      <c r="C294" t="s">
        <v>2556</v>
      </c>
      <c r="D294">
        <v>1</v>
      </c>
      <c r="E294" t="s">
        <v>2557</v>
      </c>
      <c r="F294" s="28" t="s">
        <v>2880</v>
      </c>
      <c r="G294" s="28" t="s">
        <v>2881</v>
      </c>
      <c r="H294" s="47">
        <f t="shared" si="11"/>
        <v>517.1875</v>
      </c>
      <c r="I294" s="47">
        <v>82.75</v>
      </c>
    </row>
    <row r="295" spans="1:12">
      <c r="A295" t="s">
        <v>1721</v>
      </c>
      <c r="B295" s="1">
        <v>41394</v>
      </c>
      <c r="C295" t="s">
        <v>2556</v>
      </c>
      <c r="D295">
        <v>1</v>
      </c>
      <c r="E295" t="s">
        <v>2557</v>
      </c>
      <c r="F295" t="s">
        <v>946</v>
      </c>
      <c r="G295" s="33" t="s">
        <v>1581</v>
      </c>
      <c r="H295" s="46">
        <f t="shared" si="11"/>
        <v>575.125</v>
      </c>
      <c r="I295" s="46">
        <f>88.15+3.87</f>
        <v>92.02000000000001</v>
      </c>
    </row>
    <row r="296" spans="1:12">
      <c r="A296" t="s">
        <v>1721</v>
      </c>
      <c r="B296" s="1">
        <v>41394</v>
      </c>
      <c r="C296" t="s">
        <v>2556</v>
      </c>
      <c r="D296">
        <v>1</v>
      </c>
      <c r="E296" t="s">
        <v>2557</v>
      </c>
      <c r="F296" s="9" t="s">
        <v>937</v>
      </c>
      <c r="G296" s="9" t="s">
        <v>938</v>
      </c>
      <c r="H296" s="65">
        <f t="shared" si="11"/>
        <v>208.56249999999997</v>
      </c>
      <c r="I296" s="65">
        <v>33.369999999999997</v>
      </c>
      <c r="J296" s="14">
        <f>1386.19-H293-H294-H295-H296</f>
        <v>2.5000000000829914E-3</v>
      </c>
      <c r="K296" s="14">
        <f>221.79-I293-I294-I295-I296</f>
        <v>0</v>
      </c>
      <c r="L296" t="s">
        <v>900</v>
      </c>
    </row>
    <row r="297" spans="1:12">
      <c r="A297" t="s">
        <v>1558</v>
      </c>
      <c r="B297" s="1">
        <v>41394</v>
      </c>
      <c r="C297" t="s">
        <v>2554</v>
      </c>
      <c r="D297">
        <v>1</v>
      </c>
      <c r="E297" t="s">
        <v>2555</v>
      </c>
      <c r="F297" s="28" t="s">
        <v>2882</v>
      </c>
      <c r="G297" s="28" t="s">
        <v>2883</v>
      </c>
      <c r="H297" s="47">
        <f t="shared" si="11"/>
        <v>464.625</v>
      </c>
      <c r="I297" s="47">
        <v>74.34</v>
      </c>
      <c r="J297" s="3"/>
      <c r="K297" s="3"/>
    </row>
    <row r="298" spans="1:12">
      <c r="A298" t="s">
        <v>1558</v>
      </c>
      <c r="B298" s="1">
        <v>41394</v>
      </c>
      <c r="C298" t="s">
        <v>2554</v>
      </c>
      <c r="D298">
        <v>1</v>
      </c>
      <c r="E298" t="s">
        <v>2555</v>
      </c>
      <c r="F298" s="28" t="s">
        <v>2884</v>
      </c>
      <c r="G298" s="28" t="s">
        <v>2885</v>
      </c>
      <c r="H298" s="47">
        <f t="shared" si="11"/>
        <v>630</v>
      </c>
      <c r="I298" s="47">
        <v>100.8</v>
      </c>
    </row>
    <row r="299" spans="1:12">
      <c r="A299" t="s">
        <v>1558</v>
      </c>
      <c r="B299" s="1">
        <v>41394</v>
      </c>
      <c r="C299" t="s">
        <v>2554</v>
      </c>
      <c r="D299">
        <v>1</v>
      </c>
      <c r="E299" t="s">
        <v>2555</v>
      </c>
      <c r="F299" s="28" t="s">
        <v>2886</v>
      </c>
      <c r="G299" s="28" t="s">
        <v>2887</v>
      </c>
      <c r="H299" s="47">
        <f t="shared" si="11"/>
        <v>706.25</v>
      </c>
      <c r="I299" s="47">
        <v>113</v>
      </c>
    </row>
    <row r="300" spans="1:12">
      <c r="A300" t="s">
        <v>1558</v>
      </c>
      <c r="B300" s="1">
        <v>41394</v>
      </c>
      <c r="C300" t="s">
        <v>2554</v>
      </c>
      <c r="D300">
        <v>1</v>
      </c>
      <c r="E300" t="s">
        <v>2555</v>
      </c>
      <c r="F300" t="s">
        <v>946</v>
      </c>
      <c r="G300" t="s">
        <v>947</v>
      </c>
      <c r="H300" s="46">
        <f t="shared" si="11"/>
        <v>1032.5625</v>
      </c>
      <c r="I300" s="46">
        <f>155.62+9.59</f>
        <v>165.21</v>
      </c>
    </row>
    <row r="301" spans="1:12">
      <c r="A301" t="s">
        <v>1558</v>
      </c>
      <c r="B301" s="1">
        <v>41394</v>
      </c>
      <c r="C301" t="s">
        <v>2554</v>
      </c>
      <c r="D301">
        <v>1</v>
      </c>
      <c r="E301" t="s">
        <v>2555</v>
      </c>
      <c r="F301" s="9" t="s">
        <v>2888</v>
      </c>
      <c r="G301" s="9" t="s">
        <v>2889</v>
      </c>
      <c r="H301" s="65">
        <f>I301/0.16</f>
        <v>107.8125</v>
      </c>
      <c r="I301" s="65">
        <v>17.25</v>
      </c>
    </row>
    <row r="302" spans="1:12">
      <c r="A302" t="s">
        <v>1558</v>
      </c>
      <c r="B302" s="1">
        <v>41394</v>
      </c>
      <c r="C302" t="s">
        <v>2554</v>
      </c>
      <c r="D302">
        <v>1</v>
      </c>
      <c r="E302" t="s">
        <v>2555</v>
      </c>
      <c r="F302" s="9" t="s">
        <v>2878</v>
      </c>
      <c r="G302" s="9" t="s">
        <v>2879</v>
      </c>
      <c r="H302" s="65">
        <f t="shared" ref="H302:H331" si="12">I302/0.16</f>
        <v>72.375</v>
      </c>
      <c r="I302" s="65">
        <v>11.58</v>
      </c>
      <c r="J302" s="14">
        <f>3013.63-H297-H298-H299-H300-H301-H302</f>
        <v>5.0000000001091394E-3</v>
      </c>
      <c r="K302" s="14">
        <f>482.18-I297-I298-I299-I300-I301-I302</f>
        <v>0</v>
      </c>
      <c r="L302" t="s">
        <v>900</v>
      </c>
    </row>
    <row r="303" spans="1:12">
      <c r="A303" t="s">
        <v>1553</v>
      </c>
      <c r="B303" s="1">
        <v>41394</v>
      </c>
      <c r="C303" t="s">
        <v>2543</v>
      </c>
      <c r="D303">
        <v>1</v>
      </c>
      <c r="E303" t="s">
        <v>2544</v>
      </c>
      <c r="F303" s="28" t="s">
        <v>2277</v>
      </c>
      <c r="G303" s="28" t="s">
        <v>2278</v>
      </c>
      <c r="H303" s="47">
        <f t="shared" si="12"/>
        <v>69.8125</v>
      </c>
      <c r="I303" s="47">
        <v>11.17</v>
      </c>
      <c r="J303" s="3"/>
      <c r="K303" s="3"/>
    </row>
    <row r="304" spans="1:12">
      <c r="A304" t="s">
        <v>1553</v>
      </c>
      <c r="B304" s="1">
        <v>41394</v>
      </c>
      <c r="C304" t="s">
        <v>2543</v>
      </c>
      <c r="D304">
        <v>1</v>
      </c>
      <c r="E304" t="s">
        <v>2544</v>
      </c>
      <c r="F304" t="s">
        <v>2890</v>
      </c>
      <c r="G304" t="s">
        <v>2891</v>
      </c>
      <c r="H304" s="46">
        <f t="shared" si="12"/>
        <v>442.43750000000006</v>
      </c>
      <c r="I304" s="46">
        <v>70.790000000000006</v>
      </c>
    </row>
    <row r="305" spans="1:12">
      <c r="A305" t="s">
        <v>1553</v>
      </c>
      <c r="B305" s="1">
        <v>41394</v>
      </c>
      <c r="C305" t="s">
        <v>2543</v>
      </c>
      <c r="D305">
        <v>1</v>
      </c>
      <c r="E305" t="s">
        <v>2544</v>
      </c>
      <c r="F305" s="28" t="s">
        <v>2343</v>
      </c>
      <c r="G305" s="28" t="s">
        <v>2344</v>
      </c>
      <c r="H305" s="47">
        <f t="shared" si="12"/>
        <v>308.9375</v>
      </c>
      <c r="I305" s="47">
        <v>49.43</v>
      </c>
    </row>
    <row r="306" spans="1:12">
      <c r="A306" t="s">
        <v>1553</v>
      </c>
      <c r="B306" s="1">
        <v>41394</v>
      </c>
      <c r="C306" t="s">
        <v>2543</v>
      </c>
      <c r="D306">
        <v>1</v>
      </c>
      <c r="E306" t="s">
        <v>2544</v>
      </c>
      <c r="F306" t="s">
        <v>946</v>
      </c>
      <c r="G306" s="33" t="s">
        <v>1581</v>
      </c>
      <c r="H306" s="46">
        <f t="shared" si="12"/>
        <v>141.24999999999997</v>
      </c>
      <c r="I306" s="46">
        <f>18.63+3.97</f>
        <v>22.599999999999998</v>
      </c>
    </row>
    <row r="307" spans="1:12">
      <c r="A307" t="s">
        <v>1553</v>
      </c>
      <c r="B307" s="1">
        <v>41394</v>
      </c>
      <c r="C307" t="s">
        <v>2543</v>
      </c>
      <c r="D307">
        <v>1</v>
      </c>
      <c r="E307" t="s">
        <v>2544</v>
      </c>
      <c r="F307" t="s">
        <v>946</v>
      </c>
      <c r="G307" t="s">
        <v>947</v>
      </c>
      <c r="H307" s="46">
        <f t="shared" si="12"/>
        <v>566.375</v>
      </c>
      <c r="I307" s="46">
        <v>90.62</v>
      </c>
      <c r="J307" s="14">
        <f>1528.81-H303-H304-H305-H306-H307</f>
        <v>-2.5000000000545697E-3</v>
      </c>
      <c r="K307" s="14">
        <f>244.61-I303-I304-I305-I306-I307</f>
        <v>0</v>
      </c>
      <c r="L307" t="s">
        <v>900</v>
      </c>
    </row>
    <row r="308" spans="1:12">
      <c r="A308" t="s">
        <v>2559</v>
      </c>
      <c r="B308" s="1">
        <v>41394</v>
      </c>
      <c r="C308" t="s">
        <v>2560</v>
      </c>
      <c r="D308">
        <v>1</v>
      </c>
      <c r="E308" t="s">
        <v>2561</v>
      </c>
      <c r="F308" t="s">
        <v>894</v>
      </c>
      <c r="G308" t="s">
        <v>2892</v>
      </c>
      <c r="H308" s="46">
        <f t="shared" si="12"/>
        <v>300.4375</v>
      </c>
      <c r="I308" s="46">
        <v>48.07</v>
      </c>
      <c r="J308" s="3"/>
      <c r="K308" s="3"/>
    </row>
    <row r="309" spans="1:12">
      <c r="A309" t="s">
        <v>2559</v>
      </c>
      <c r="B309" s="1">
        <v>41394</v>
      </c>
      <c r="C309" t="s">
        <v>2560</v>
      </c>
      <c r="D309">
        <v>1</v>
      </c>
      <c r="E309" t="s">
        <v>2561</v>
      </c>
      <c r="F309" t="s">
        <v>946</v>
      </c>
      <c r="G309" t="s">
        <v>1581</v>
      </c>
      <c r="H309" s="46">
        <f t="shared" si="12"/>
        <v>65.9375</v>
      </c>
      <c r="I309" s="46">
        <f>8.97+1.58</f>
        <v>10.55</v>
      </c>
      <c r="J309" s="14">
        <f>366.38-H308-H309</f>
        <v>4.9999999999954525E-3</v>
      </c>
      <c r="K309" s="14">
        <f>58.62-I308-I309</f>
        <v>0</v>
      </c>
      <c r="L309" t="s">
        <v>900</v>
      </c>
    </row>
    <row r="310" spans="1:12">
      <c r="A310" t="s">
        <v>2562</v>
      </c>
      <c r="B310" s="1">
        <v>41394</v>
      </c>
      <c r="C310" t="s">
        <v>2563</v>
      </c>
      <c r="D310">
        <v>1</v>
      </c>
      <c r="E310" t="s">
        <v>2564</v>
      </c>
      <c r="F310" t="s">
        <v>946</v>
      </c>
      <c r="G310" t="s">
        <v>1581</v>
      </c>
      <c r="H310" s="46">
        <f t="shared" si="12"/>
        <v>681.9375</v>
      </c>
      <c r="I310" s="46">
        <f>105.82+3.29</f>
        <v>109.11</v>
      </c>
      <c r="J310" s="3"/>
      <c r="K310" s="3"/>
    </row>
    <row r="311" spans="1:12">
      <c r="A311" t="s">
        <v>2562</v>
      </c>
      <c r="B311" s="1">
        <v>41394</v>
      </c>
      <c r="C311" t="s">
        <v>2563</v>
      </c>
      <c r="D311">
        <v>1</v>
      </c>
      <c r="E311" t="s">
        <v>2564</v>
      </c>
      <c r="F311" s="28" t="s">
        <v>939</v>
      </c>
      <c r="G311" s="28" t="s">
        <v>940</v>
      </c>
      <c r="H311" s="47">
        <f t="shared" si="12"/>
        <v>250.375</v>
      </c>
      <c r="I311" s="47">
        <v>40.06</v>
      </c>
    </row>
    <row r="312" spans="1:12">
      <c r="A312" t="s">
        <v>2562</v>
      </c>
      <c r="B312" s="1">
        <v>41394</v>
      </c>
      <c r="C312" t="s">
        <v>2563</v>
      </c>
      <c r="D312">
        <v>1</v>
      </c>
      <c r="E312" t="s">
        <v>2564</v>
      </c>
      <c r="F312" s="9" t="s">
        <v>1674</v>
      </c>
      <c r="G312" s="9" t="s">
        <v>1675</v>
      </c>
      <c r="H312" s="65">
        <f t="shared" si="12"/>
        <v>86.187499999999986</v>
      </c>
      <c r="I312" s="65">
        <v>13.79</v>
      </c>
    </row>
    <row r="313" spans="1:12">
      <c r="A313" t="s">
        <v>2562</v>
      </c>
      <c r="B313" s="1">
        <v>41394</v>
      </c>
      <c r="C313" t="s">
        <v>2563</v>
      </c>
      <c r="D313">
        <v>1</v>
      </c>
      <c r="E313" t="s">
        <v>2564</v>
      </c>
      <c r="F313" s="28" t="s">
        <v>913</v>
      </c>
      <c r="G313" s="28" t="s">
        <v>2893</v>
      </c>
      <c r="H313" s="47">
        <f t="shared" si="12"/>
        <v>375.5</v>
      </c>
      <c r="I313" s="47">
        <v>60.08</v>
      </c>
      <c r="J313" s="14">
        <f>1394-H310-H311-H312-H313</f>
        <v>0</v>
      </c>
      <c r="K313" s="14">
        <f>223.04-I310-I311-I312-I313</f>
        <v>0</v>
      </c>
      <c r="L313" t="s">
        <v>900</v>
      </c>
    </row>
    <row r="314" spans="1:12">
      <c r="A314" t="s">
        <v>2678</v>
      </c>
      <c r="B314" s="1">
        <v>41394</v>
      </c>
      <c r="C314" t="s">
        <v>2679</v>
      </c>
      <c r="D314">
        <v>1</v>
      </c>
      <c r="E314" t="s">
        <v>2680</v>
      </c>
      <c r="F314" t="s">
        <v>946</v>
      </c>
      <c r="G314" s="33" t="s">
        <v>1581</v>
      </c>
      <c r="H314" s="46">
        <f t="shared" si="12"/>
        <v>226.68749999999997</v>
      </c>
      <c r="I314" s="46">
        <f>36.29-0.02</f>
        <v>36.269999999999996</v>
      </c>
      <c r="J314" s="3"/>
      <c r="K314" s="3"/>
    </row>
    <row r="315" spans="1:12">
      <c r="A315" t="s">
        <v>2678</v>
      </c>
      <c r="B315" s="1">
        <v>41394</v>
      </c>
      <c r="C315" t="s">
        <v>2679</v>
      </c>
      <c r="D315">
        <v>1</v>
      </c>
      <c r="E315" t="s">
        <v>2680</v>
      </c>
      <c r="F315" s="9" t="s">
        <v>941</v>
      </c>
      <c r="G315" s="9" t="s">
        <v>1641</v>
      </c>
      <c r="H315" s="65">
        <f t="shared" si="12"/>
        <v>66.4375</v>
      </c>
      <c r="I315" s="65">
        <v>10.63</v>
      </c>
      <c r="J315" s="14">
        <f>293.13-H314-H315</f>
        <v>5.0000000000238742E-3</v>
      </c>
      <c r="K315" s="14">
        <f>46.9-I314-I315</f>
        <v>0</v>
      </c>
      <c r="L315" t="s">
        <v>900</v>
      </c>
    </row>
    <row r="316" spans="1:12">
      <c r="A316" t="s">
        <v>503</v>
      </c>
      <c r="B316" s="1">
        <v>41394</v>
      </c>
      <c r="C316" t="s">
        <v>2649</v>
      </c>
      <c r="D316">
        <v>1</v>
      </c>
      <c r="E316" t="s">
        <v>2650</v>
      </c>
      <c r="F316" s="9" t="s">
        <v>925</v>
      </c>
      <c r="G316" s="9" t="s">
        <v>926</v>
      </c>
      <c r="H316" s="65">
        <f t="shared" si="12"/>
        <v>375.5</v>
      </c>
      <c r="I316" s="65">
        <v>60.08</v>
      </c>
      <c r="J316" s="3"/>
      <c r="K316" s="3"/>
    </row>
    <row r="317" spans="1:12">
      <c r="A317" t="s">
        <v>503</v>
      </c>
      <c r="B317" s="1">
        <v>41394</v>
      </c>
      <c r="C317" t="s">
        <v>2649</v>
      </c>
      <c r="D317">
        <v>1</v>
      </c>
      <c r="E317" t="s">
        <v>2650</v>
      </c>
      <c r="F317" t="s">
        <v>946</v>
      </c>
      <c r="G317" t="s">
        <v>1581</v>
      </c>
      <c r="H317" s="46">
        <f t="shared" si="12"/>
        <v>144.3125</v>
      </c>
      <c r="I317" s="46">
        <f>21.1+1.99</f>
        <v>23.09</v>
      </c>
      <c r="J317" s="14">
        <f>519.81-H316-H317</f>
        <v>-2.5000000000545697E-3</v>
      </c>
      <c r="K317" s="14">
        <f>83.17-I316-I317</f>
        <v>0</v>
      </c>
      <c r="L317" t="s">
        <v>900</v>
      </c>
    </row>
    <row r="318" spans="1:12">
      <c r="A318" t="s">
        <v>559</v>
      </c>
      <c r="B318" s="1">
        <v>41394</v>
      </c>
      <c r="C318" t="s">
        <v>2681</v>
      </c>
      <c r="D318">
        <v>1</v>
      </c>
      <c r="E318" t="s">
        <v>2682</v>
      </c>
      <c r="F318" t="s">
        <v>946</v>
      </c>
      <c r="G318" t="s">
        <v>1581</v>
      </c>
      <c r="H318" s="46">
        <f t="shared" si="12"/>
        <v>640.5625</v>
      </c>
      <c r="I318" s="46">
        <v>102.49</v>
      </c>
      <c r="J318" s="3"/>
      <c r="K318" s="3"/>
    </row>
    <row r="319" spans="1:12">
      <c r="A319" t="s">
        <v>559</v>
      </c>
      <c r="B319" s="1">
        <v>41394</v>
      </c>
      <c r="C319" t="s">
        <v>2681</v>
      </c>
      <c r="D319">
        <v>1</v>
      </c>
      <c r="E319" t="s">
        <v>2682</v>
      </c>
      <c r="F319" t="s">
        <v>946</v>
      </c>
      <c r="G319" t="s">
        <v>947</v>
      </c>
      <c r="H319" s="46">
        <f t="shared" si="12"/>
        <v>110.31249999999999</v>
      </c>
      <c r="I319" s="46">
        <f>26.91-9.26</f>
        <v>17.649999999999999</v>
      </c>
    </row>
    <row r="320" spans="1:12">
      <c r="A320" t="s">
        <v>559</v>
      </c>
      <c r="B320" s="1">
        <v>41394</v>
      </c>
      <c r="C320" t="s">
        <v>2681</v>
      </c>
      <c r="D320">
        <v>1</v>
      </c>
      <c r="E320" t="s">
        <v>2682</v>
      </c>
      <c r="F320" s="9" t="s">
        <v>2894</v>
      </c>
      <c r="G320" s="9" t="s">
        <v>2895</v>
      </c>
      <c r="H320" s="65">
        <f t="shared" si="12"/>
        <v>73.25</v>
      </c>
      <c r="I320" s="65">
        <v>11.72</v>
      </c>
    </row>
    <row r="321" spans="1:12">
      <c r="A321" t="s">
        <v>559</v>
      </c>
      <c r="B321" s="1">
        <v>41394</v>
      </c>
      <c r="C321" t="s">
        <v>2681</v>
      </c>
      <c r="D321">
        <v>1</v>
      </c>
      <c r="E321" t="s">
        <v>2682</v>
      </c>
      <c r="F321" s="9" t="s">
        <v>2896</v>
      </c>
      <c r="G321" s="9" t="s">
        <v>2897</v>
      </c>
      <c r="H321" s="65">
        <f t="shared" si="12"/>
        <v>552.8125</v>
      </c>
      <c r="I321" s="65">
        <v>88.45</v>
      </c>
    </row>
    <row r="322" spans="1:12">
      <c r="A322" t="s">
        <v>559</v>
      </c>
      <c r="B322" s="1">
        <v>41394</v>
      </c>
      <c r="C322" t="s">
        <v>2681</v>
      </c>
      <c r="D322">
        <v>1</v>
      </c>
      <c r="E322" t="s">
        <v>2682</v>
      </c>
      <c r="F322" s="28" t="s">
        <v>2898</v>
      </c>
      <c r="G322" s="28" t="s">
        <v>1697</v>
      </c>
      <c r="H322" s="47">
        <f t="shared" si="12"/>
        <v>292.0625</v>
      </c>
      <c r="I322" s="47">
        <v>46.73</v>
      </c>
    </row>
    <row r="323" spans="1:12">
      <c r="A323" t="s">
        <v>559</v>
      </c>
      <c r="B323" s="1">
        <v>41394</v>
      </c>
      <c r="C323" t="s">
        <v>2681</v>
      </c>
      <c r="D323">
        <v>1</v>
      </c>
      <c r="E323" t="s">
        <v>2682</v>
      </c>
      <c r="F323" t="s">
        <v>2899</v>
      </c>
      <c r="G323" t="s">
        <v>2900</v>
      </c>
      <c r="H323" s="46">
        <f t="shared" si="12"/>
        <v>516.375</v>
      </c>
      <c r="I323" s="46">
        <v>82.62</v>
      </c>
      <c r="J323" s="14">
        <f>2185.38-H318-H319-H320-H321-H322-H323</f>
        <v>5.0000000001091394E-3</v>
      </c>
      <c r="K323" s="14">
        <f>349.66-I318-I319-I320-I321-I322-I323</f>
        <v>0</v>
      </c>
      <c r="L323" t="s">
        <v>900</v>
      </c>
    </row>
    <row r="324" spans="1:12">
      <c r="A324" t="s">
        <v>2646</v>
      </c>
      <c r="B324" s="1">
        <v>41394</v>
      </c>
      <c r="C324" t="s">
        <v>2647</v>
      </c>
      <c r="D324">
        <v>1</v>
      </c>
      <c r="E324" t="s">
        <v>2648</v>
      </c>
      <c r="F324" t="s">
        <v>946</v>
      </c>
      <c r="G324" t="s">
        <v>947</v>
      </c>
      <c r="H324" s="46">
        <f t="shared" si="12"/>
        <v>233.75</v>
      </c>
      <c r="I324" s="46">
        <f>36.29+1.11</f>
        <v>37.4</v>
      </c>
      <c r="J324" s="3"/>
      <c r="K324" s="3"/>
    </row>
    <row r="325" spans="1:12">
      <c r="A325" t="s">
        <v>2646</v>
      </c>
      <c r="B325" s="1">
        <v>41394</v>
      </c>
      <c r="C325" t="s">
        <v>2647</v>
      </c>
      <c r="D325">
        <v>1</v>
      </c>
      <c r="E325" t="s">
        <v>2648</v>
      </c>
      <c r="F325" s="9" t="s">
        <v>2851</v>
      </c>
      <c r="G325" s="9" t="s">
        <v>2852</v>
      </c>
      <c r="H325" s="65">
        <f t="shared" si="12"/>
        <v>187.75</v>
      </c>
      <c r="I325" s="65">
        <v>30.04</v>
      </c>
    </row>
    <row r="326" spans="1:12">
      <c r="A326" t="s">
        <v>2646</v>
      </c>
      <c r="B326" s="1">
        <v>41394</v>
      </c>
      <c r="C326" t="s">
        <v>2647</v>
      </c>
      <c r="D326">
        <v>1</v>
      </c>
      <c r="E326" t="s">
        <v>2648</v>
      </c>
      <c r="F326" s="9" t="s">
        <v>941</v>
      </c>
      <c r="G326" s="9" t="s">
        <v>1641</v>
      </c>
      <c r="H326" s="65">
        <f t="shared" si="12"/>
        <v>66.4375</v>
      </c>
      <c r="I326" s="65">
        <v>10.63</v>
      </c>
      <c r="J326" s="14">
        <f>487.94-H324-H325-H326</f>
        <v>2.4999999999977263E-3</v>
      </c>
      <c r="K326" s="14">
        <f>78.07-I324-I325-I326</f>
        <v>0</v>
      </c>
      <c r="L326" t="s">
        <v>900</v>
      </c>
    </row>
    <row r="327" spans="1:12">
      <c r="A327" t="s">
        <v>2675</v>
      </c>
      <c r="B327" s="1">
        <v>41394</v>
      </c>
      <c r="C327" t="s">
        <v>2676</v>
      </c>
      <c r="D327">
        <v>1</v>
      </c>
      <c r="E327" t="s">
        <v>2677</v>
      </c>
      <c r="F327" s="28" t="s">
        <v>939</v>
      </c>
      <c r="G327" s="28" t="s">
        <v>940</v>
      </c>
      <c r="H327" s="47">
        <f t="shared" si="12"/>
        <v>292.0625</v>
      </c>
      <c r="I327" s="47">
        <v>46.73</v>
      </c>
      <c r="J327" s="3"/>
      <c r="K327" s="3"/>
    </row>
    <row r="328" spans="1:12">
      <c r="A328" t="s">
        <v>2675</v>
      </c>
      <c r="B328" s="1">
        <v>41394</v>
      </c>
      <c r="C328" t="s">
        <v>2676</v>
      </c>
      <c r="D328">
        <v>1</v>
      </c>
      <c r="E328" t="s">
        <v>2677</v>
      </c>
      <c r="F328" s="9" t="s">
        <v>2901</v>
      </c>
      <c r="G328" s="9" t="s">
        <v>2902</v>
      </c>
      <c r="H328" s="65">
        <f t="shared" si="12"/>
        <v>77.5625</v>
      </c>
      <c r="I328" s="65">
        <v>12.41</v>
      </c>
    </row>
    <row r="329" spans="1:12">
      <c r="A329" t="s">
        <v>2675</v>
      </c>
      <c r="B329" s="1">
        <v>41394</v>
      </c>
      <c r="C329" t="s">
        <v>2676</v>
      </c>
      <c r="D329">
        <v>1</v>
      </c>
      <c r="E329" t="s">
        <v>2677</v>
      </c>
      <c r="F329" s="28" t="s">
        <v>913</v>
      </c>
      <c r="G329" s="28" t="s">
        <v>914</v>
      </c>
      <c r="H329" s="47">
        <f t="shared" si="12"/>
        <v>422.4375</v>
      </c>
      <c r="I329" s="47">
        <v>67.59</v>
      </c>
    </row>
    <row r="330" spans="1:12">
      <c r="A330" t="s">
        <v>2675</v>
      </c>
      <c r="B330" s="1">
        <v>41394</v>
      </c>
      <c r="C330" t="s">
        <v>2676</v>
      </c>
      <c r="D330">
        <v>1</v>
      </c>
      <c r="E330" t="s">
        <v>2677</v>
      </c>
      <c r="F330" t="s">
        <v>946</v>
      </c>
      <c r="G330" s="33" t="s">
        <v>1581</v>
      </c>
      <c r="H330" s="46">
        <f t="shared" si="12"/>
        <v>290.8125</v>
      </c>
      <c r="I330" s="46">
        <f>42.77+3.76</f>
        <v>46.53</v>
      </c>
    </row>
    <row r="331" spans="1:12">
      <c r="A331" t="s">
        <v>2675</v>
      </c>
      <c r="B331" s="1">
        <v>41394</v>
      </c>
      <c r="C331" t="s">
        <v>2676</v>
      </c>
      <c r="D331">
        <v>1</v>
      </c>
      <c r="E331" t="s">
        <v>2677</v>
      </c>
      <c r="F331" t="s">
        <v>946</v>
      </c>
      <c r="G331" s="33" t="s">
        <v>1581</v>
      </c>
      <c r="H331" s="46">
        <f t="shared" si="12"/>
        <v>394.0625</v>
      </c>
      <c r="I331" s="46">
        <v>63.05</v>
      </c>
      <c r="J331" s="14">
        <f>1476.94-H327-H328-H329-H330-H331</f>
        <v>2.5000000000545697E-3</v>
      </c>
      <c r="K331" s="14">
        <f>236.31-I327-I328-I329-I330-I331</f>
        <v>0</v>
      </c>
      <c r="L331" t="s">
        <v>900</v>
      </c>
    </row>
    <row r="332" spans="1:12">
      <c r="A332" t="s">
        <v>458</v>
      </c>
      <c r="B332" s="1">
        <v>41394</v>
      </c>
      <c r="C332" t="s">
        <v>2545</v>
      </c>
      <c r="D332">
        <v>1</v>
      </c>
      <c r="E332" t="s">
        <v>2546</v>
      </c>
      <c r="F332" t="s">
        <v>946</v>
      </c>
      <c r="G332" s="33" t="s">
        <v>1581</v>
      </c>
      <c r="H332" s="3">
        <f t="shared" si="9"/>
        <v>56.0625</v>
      </c>
      <c r="I332" s="3">
        <v>8.9700000000000006</v>
      </c>
    </row>
    <row r="333" spans="1:12">
      <c r="A333" t="s">
        <v>2651</v>
      </c>
      <c r="B333" s="1">
        <v>41394</v>
      </c>
      <c r="C333" t="s">
        <v>2652</v>
      </c>
      <c r="D333">
        <v>1</v>
      </c>
      <c r="E333" t="s">
        <v>2653</v>
      </c>
      <c r="F333" t="s">
        <v>946</v>
      </c>
      <c r="G333" t="s">
        <v>947</v>
      </c>
      <c r="H333" s="46">
        <f t="shared" ref="H333:H343" si="13">I333/0.16</f>
        <v>282.3125</v>
      </c>
      <c r="I333" s="46">
        <f>43.46+1.71</f>
        <v>45.17</v>
      </c>
      <c r="J333" s="3"/>
      <c r="K333" s="3"/>
    </row>
    <row r="334" spans="1:12">
      <c r="A334" t="s">
        <v>2651</v>
      </c>
      <c r="B334" s="1">
        <v>41394</v>
      </c>
      <c r="C334" t="s">
        <v>2652</v>
      </c>
      <c r="D334">
        <v>1</v>
      </c>
      <c r="E334" t="s">
        <v>2653</v>
      </c>
      <c r="F334" s="9" t="s">
        <v>941</v>
      </c>
      <c r="G334" s="9" t="s">
        <v>1641</v>
      </c>
      <c r="H334" s="65">
        <f t="shared" si="13"/>
        <v>60.3125</v>
      </c>
      <c r="I334" s="65">
        <v>9.65</v>
      </c>
    </row>
    <row r="335" spans="1:12">
      <c r="A335" t="s">
        <v>2651</v>
      </c>
      <c r="B335" s="1">
        <v>41394</v>
      </c>
      <c r="C335" t="s">
        <v>2652</v>
      </c>
      <c r="D335">
        <v>1</v>
      </c>
      <c r="E335" t="s">
        <v>2653</v>
      </c>
      <c r="F335" s="28" t="s">
        <v>2343</v>
      </c>
      <c r="G335" s="28" t="s">
        <v>2344</v>
      </c>
      <c r="H335" s="47">
        <f t="shared" si="13"/>
        <v>325.5</v>
      </c>
      <c r="I335" s="47">
        <v>52.08</v>
      </c>
      <c r="J335" s="14">
        <f>668.13-H333-H334-H335</f>
        <v>4.9999999999954525E-3</v>
      </c>
      <c r="K335" s="14">
        <f>106.9-I333-I334-I335</f>
        <v>0</v>
      </c>
      <c r="L335" t="s">
        <v>900</v>
      </c>
    </row>
    <row r="336" spans="1:12">
      <c r="A336" t="s">
        <v>2551</v>
      </c>
      <c r="B336" s="1">
        <v>41394</v>
      </c>
      <c r="C336" t="s">
        <v>2552</v>
      </c>
      <c r="D336">
        <v>1</v>
      </c>
      <c r="E336" t="s">
        <v>2553</v>
      </c>
      <c r="F336" s="9" t="s">
        <v>2903</v>
      </c>
      <c r="G336" s="9" t="s">
        <v>2904</v>
      </c>
      <c r="H336" s="65">
        <f t="shared" si="13"/>
        <v>525.6875</v>
      </c>
      <c r="I336" s="65">
        <v>84.11</v>
      </c>
      <c r="J336" s="3"/>
      <c r="K336" s="3"/>
    </row>
    <row r="337" spans="1:12">
      <c r="A337" t="s">
        <v>2551</v>
      </c>
      <c r="B337" s="1">
        <v>41394</v>
      </c>
      <c r="C337" t="s">
        <v>2552</v>
      </c>
      <c r="D337">
        <v>1</v>
      </c>
      <c r="E337" t="s">
        <v>2553</v>
      </c>
      <c r="F337" s="28" t="s">
        <v>923</v>
      </c>
      <c r="G337" s="28" t="s">
        <v>1657</v>
      </c>
      <c r="H337" s="47">
        <f t="shared" si="13"/>
        <v>83.4375</v>
      </c>
      <c r="I337" s="47">
        <v>13.35</v>
      </c>
    </row>
    <row r="338" spans="1:12">
      <c r="A338" t="s">
        <v>2551</v>
      </c>
      <c r="B338" s="1">
        <v>41394</v>
      </c>
      <c r="C338" t="s">
        <v>2552</v>
      </c>
      <c r="D338">
        <v>1</v>
      </c>
      <c r="E338" t="s">
        <v>2553</v>
      </c>
      <c r="F338" t="s">
        <v>946</v>
      </c>
      <c r="G338" s="33" t="s">
        <v>1581</v>
      </c>
      <c r="H338" s="3">
        <f t="shared" si="13"/>
        <v>637.9375</v>
      </c>
      <c r="I338" s="46">
        <f>95.89+6.18</f>
        <v>102.07</v>
      </c>
    </row>
    <row r="339" spans="1:12">
      <c r="A339" t="s">
        <v>2551</v>
      </c>
      <c r="B339" s="1">
        <v>41394</v>
      </c>
      <c r="C339" t="s">
        <v>2552</v>
      </c>
      <c r="D339">
        <v>1</v>
      </c>
      <c r="E339" t="s">
        <v>2553</v>
      </c>
      <c r="F339" s="9" t="s">
        <v>2905</v>
      </c>
      <c r="G339" s="9" t="s">
        <v>2906</v>
      </c>
      <c r="H339" s="65">
        <f t="shared" si="13"/>
        <v>94.875</v>
      </c>
      <c r="I339" s="65">
        <v>15.18</v>
      </c>
    </row>
    <row r="340" spans="1:12">
      <c r="A340" t="s">
        <v>2551</v>
      </c>
      <c r="B340" s="1">
        <v>41394</v>
      </c>
      <c r="C340" t="s">
        <v>2552</v>
      </c>
      <c r="D340">
        <v>1</v>
      </c>
      <c r="E340" t="s">
        <v>2553</v>
      </c>
      <c r="F340" s="28" t="s">
        <v>1655</v>
      </c>
      <c r="G340" s="28" t="s">
        <v>2907</v>
      </c>
      <c r="H340" s="47">
        <f t="shared" si="13"/>
        <v>563.25</v>
      </c>
      <c r="I340" s="47">
        <v>90.12</v>
      </c>
      <c r="J340" s="14">
        <f>1905.19-H336-H337-H338-H339-H340</f>
        <v>2.5000000000545697E-3</v>
      </c>
      <c r="K340" s="14">
        <f>304.83-I336-I337-I338-I339-I340</f>
        <v>0</v>
      </c>
      <c r="L340" t="s">
        <v>900</v>
      </c>
    </row>
    <row r="341" spans="1:12">
      <c r="A341" t="s">
        <v>533</v>
      </c>
      <c r="B341" s="1">
        <v>41394</v>
      </c>
      <c r="C341" t="s">
        <v>2665</v>
      </c>
      <c r="D341">
        <v>1</v>
      </c>
      <c r="E341" t="s">
        <v>2666</v>
      </c>
      <c r="F341" s="28" t="s">
        <v>913</v>
      </c>
      <c r="G341" s="28" t="s">
        <v>914</v>
      </c>
      <c r="H341" s="47">
        <f t="shared" si="13"/>
        <v>697</v>
      </c>
      <c r="I341" s="47">
        <v>111.52</v>
      </c>
      <c r="J341" s="3"/>
      <c r="K341" s="3"/>
    </row>
    <row r="342" spans="1:12">
      <c r="A342" t="s">
        <v>533</v>
      </c>
      <c r="B342" s="1">
        <v>41394</v>
      </c>
      <c r="C342" t="s">
        <v>2665</v>
      </c>
      <c r="D342">
        <v>1</v>
      </c>
      <c r="E342" t="s">
        <v>2666</v>
      </c>
      <c r="F342" t="s">
        <v>946</v>
      </c>
      <c r="G342" t="s">
        <v>947</v>
      </c>
      <c r="H342" s="46">
        <f t="shared" si="13"/>
        <v>765.75</v>
      </c>
      <c r="I342" s="46">
        <f>105.54+16.98</f>
        <v>122.52000000000001</v>
      </c>
      <c r="J342" s="3"/>
      <c r="K342" s="3"/>
    </row>
    <row r="343" spans="1:12">
      <c r="A343" t="s">
        <v>533</v>
      </c>
      <c r="B343" s="1">
        <v>41394</v>
      </c>
      <c r="C343" t="s">
        <v>2665</v>
      </c>
      <c r="D343">
        <v>1</v>
      </c>
      <c r="E343" t="s">
        <v>2666</v>
      </c>
      <c r="F343" s="28" t="s">
        <v>939</v>
      </c>
      <c r="G343" s="28" t="s">
        <v>940</v>
      </c>
      <c r="H343" s="47">
        <f t="shared" si="13"/>
        <v>350.375</v>
      </c>
      <c r="I343" s="47">
        <v>56.06</v>
      </c>
      <c r="J343" s="14">
        <f>1813.13-H341-H342-H343</f>
        <v>5.0000000001091394E-3</v>
      </c>
      <c r="K343" s="14">
        <f>290.1-I341-I342-I343</f>
        <v>0</v>
      </c>
      <c r="L343" t="s">
        <v>900</v>
      </c>
    </row>
    <row r="344" spans="1:12">
      <c r="A344" t="s">
        <v>2495</v>
      </c>
      <c r="B344" s="1">
        <v>41394</v>
      </c>
      <c r="C344" t="s">
        <v>2496</v>
      </c>
      <c r="D344">
        <v>1</v>
      </c>
      <c r="E344" t="s">
        <v>2497</v>
      </c>
      <c r="F344" s="74" t="s">
        <v>892</v>
      </c>
      <c r="G344" t="s">
        <v>893</v>
      </c>
      <c r="H344" s="3">
        <f t="shared" si="9"/>
        <v>277751.8125</v>
      </c>
      <c r="I344" s="3">
        <v>44440.29</v>
      </c>
    </row>
    <row r="345" spans="1:12">
      <c r="A345" t="s">
        <v>2402</v>
      </c>
      <c r="B345" s="1">
        <v>41379</v>
      </c>
      <c r="C345" t="s">
        <v>436</v>
      </c>
      <c r="D345">
        <v>1</v>
      </c>
      <c r="E345" t="s">
        <v>2403</v>
      </c>
      <c r="F345" s="9" t="s">
        <v>2320</v>
      </c>
      <c r="G345" s="9" t="s">
        <v>2321</v>
      </c>
      <c r="H345" s="65">
        <f t="shared" ref="H345:H347" si="14">I345/0.16</f>
        <v>102.5625</v>
      </c>
      <c r="I345" s="65">
        <v>16.41</v>
      </c>
      <c r="J345" s="3"/>
      <c r="K345" s="3"/>
    </row>
    <row r="346" spans="1:12">
      <c r="A346" t="s">
        <v>2402</v>
      </c>
      <c r="B346" s="1">
        <v>41379</v>
      </c>
      <c r="C346" t="s">
        <v>436</v>
      </c>
      <c r="D346">
        <v>1</v>
      </c>
      <c r="E346" t="s">
        <v>2403</v>
      </c>
      <c r="F346" s="9" t="s">
        <v>2908</v>
      </c>
      <c r="G346" s="9" t="s">
        <v>2909</v>
      </c>
      <c r="H346" s="65">
        <f t="shared" si="14"/>
        <v>124.125</v>
      </c>
      <c r="I346" s="65">
        <v>19.86</v>
      </c>
    </row>
    <row r="347" spans="1:12">
      <c r="A347" t="s">
        <v>2402</v>
      </c>
      <c r="B347" s="1">
        <v>41379</v>
      </c>
      <c r="C347" t="s">
        <v>436</v>
      </c>
      <c r="D347">
        <v>1</v>
      </c>
      <c r="E347" t="s">
        <v>2403</v>
      </c>
      <c r="F347" s="9" t="s">
        <v>2910</v>
      </c>
      <c r="G347" s="9" t="s">
        <v>2911</v>
      </c>
      <c r="H347" s="65">
        <f t="shared" si="14"/>
        <v>99.125</v>
      </c>
      <c r="I347" s="65">
        <v>15.86</v>
      </c>
      <c r="J347" s="14">
        <f>325.81-H345-H346-H347</f>
        <v>-2.4999999999977263E-3</v>
      </c>
      <c r="K347" s="14">
        <f>52.13-I345-I346-I347</f>
        <v>0</v>
      </c>
    </row>
    <row r="348" spans="1:12">
      <c r="A348" t="s">
        <v>2527</v>
      </c>
      <c r="B348" s="1">
        <v>41394</v>
      </c>
      <c r="C348" t="s">
        <v>436</v>
      </c>
      <c r="D348">
        <v>1</v>
      </c>
      <c r="E348" t="s">
        <v>2528</v>
      </c>
      <c r="F348" s="9" t="s">
        <v>1713</v>
      </c>
      <c r="G348" s="9" t="s">
        <v>2914</v>
      </c>
      <c r="H348" s="3">
        <f t="shared" si="9"/>
        <v>87.9375</v>
      </c>
      <c r="I348" s="3">
        <v>14.07</v>
      </c>
    </row>
    <row r="349" spans="1:12">
      <c r="A349" t="s">
        <v>2527</v>
      </c>
      <c r="B349" s="1">
        <v>41394</v>
      </c>
      <c r="C349" t="s">
        <v>436</v>
      </c>
      <c r="D349">
        <v>1</v>
      </c>
      <c r="E349" t="s">
        <v>2528</v>
      </c>
      <c r="F349" s="9" t="s">
        <v>2912</v>
      </c>
      <c r="G349" s="9" t="s">
        <v>2913</v>
      </c>
      <c r="H349" s="3">
        <f t="shared" si="9"/>
        <v>125</v>
      </c>
      <c r="I349" s="3">
        <v>20</v>
      </c>
    </row>
    <row r="350" spans="1:12">
      <c r="A350" t="s">
        <v>2527</v>
      </c>
      <c r="B350" s="1">
        <v>41394</v>
      </c>
      <c r="C350" t="s">
        <v>436</v>
      </c>
      <c r="D350">
        <v>1</v>
      </c>
      <c r="E350" t="s">
        <v>2528</v>
      </c>
      <c r="F350" s="9" t="s">
        <v>1717</v>
      </c>
      <c r="G350" s="9" t="s">
        <v>2915</v>
      </c>
      <c r="H350" s="3">
        <f t="shared" si="9"/>
        <v>7687.375</v>
      </c>
      <c r="I350" s="3">
        <v>1229.98</v>
      </c>
    </row>
    <row r="351" spans="1:12">
      <c r="A351" t="s">
        <v>485</v>
      </c>
      <c r="B351" s="1">
        <v>41394</v>
      </c>
      <c r="C351" t="s">
        <v>2638</v>
      </c>
      <c r="D351">
        <v>1</v>
      </c>
      <c r="E351" t="s">
        <v>2639</v>
      </c>
      <c r="F351" s="9" t="s">
        <v>2916</v>
      </c>
      <c r="G351" s="9" t="s">
        <v>2917</v>
      </c>
      <c r="H351" s="65">
        <f t="shared" ref="H351:H356" si="15">I351/0.16</f>
        <v>68.9375</v>
      </c>
      <c r="I351" s="65">
        <v>11.03</v>
      </c>
      <c r="J351" s="3"/>
      <c r="K351" s="3"/>
    </row>
    <row r="352" spans="1:12">
      <c r="A352" t="s">
        <v>485</v>
      </c>
      <c r="B352" s="1">
        <v>41394</v>
      </c>
      <c r="C352" t="s">
        <v>2638</v>
      </c>
      <c r="D352">
        <v>1</v>
      </c>
      <c r="E352" t="s">
        <v>2639</v>
      </c>
      <c r="F352" s="28" t="s">
        <v>2277</v>
      </c>
      <c r="G352" s="28" t="s">
        <v>2278</v>
      </c>
      <c r="H352" s="47">
        <f t="shared" si="15"/>
        <v>166.875</v>
      </c>
      <c r="I352" s="47">
        <v>26.7</v>
      </c>
    </row>
    <row r="353" spans="1:12">
      <c r="A353" t="s">
        <v>485</v>
      </c>
      <c r="B353" s="1">
        <v>41394</v>
      </c>
      <c r="C353" t="s">
        <v>2638</v>
      </c>
      <c r="D353">
        <v>1</v>
      </c>
      <c r="E353" t="s">
        <v>2639</v>
      </c>
      <c r="F353" s="9" t="s">
        <v>1713</v>
      </c>
      <c r="G353" s="9" t="s">
        <v>2914</v>
      </c>
      <c r="H353" s="65">
        <f t="shared" si="15"/>
        <v>221.5625</v>
      </c>
      <c r="I353" s="65">
        <v>35.450000000000003</v>
      </c>
    </row>
    <row r="354" spans="1:12">
      <c r="A354" t="s">
        <v>485</v>
      </c>
      <c r="B354" s="1">
        <v>41394</v>
      </c>
      <c r="C354" t="s">
        <v>2638</v>
      </c>
      <c r="D354">
        <v>1</v>
      </c>
      <c r="E354" t="s">
        <v>2639</v>
      </c>
      <c r="F354" t="s">
        <v>946</v>
      </c>
      <c r="G354" t="s">
        <v>947</v>
      </c>
      <c r="H354" s="46">
        <f t="shared" si="15"/>
        <v>845.18749999999989</v>
      </c>
      <c r="I354" s="46">
        <f>104.86+30.37</f>
        <v>135.22999999999999</v>
      </c>
      <c r="J354" s="14">
        <f>1302.56-H351-H352-H353-H354</f>
        <v>-2.4999999999408828E-3</v>
      </c>
      <c r="K354" s="14">
        <f>208.41-I351-I352-I353-I354</f>
        <v>0</v>
      </c>
      <c r="L354" t="s">
        <v>900</v>
      </c>
    </row>
    <row r="355" spans="1:12">
      <c r="A355" t="s">
        <v>497</v>
      </c>
      <c r="B355" s="1">
        <v>41394</v>
      </c>
      <c r="C355" t="s">
        <v>2641</v>
      </c>
      <c r="D355">
        <v>1</v>
      </c>
      <c r="E355" t="s">
        <v>2642</v>
      </c>
      <c r="F355" s="9" t="s">
        <v>2918</v>
      </c>
      <c r="G355" s="9" t="s">
        <v>2919</v>
      </c>
      <c r="H355" s="65">
        <f t="shared" si="15"/>
        <v>658.625</v>
      </c>
      <c r="I355" s="65">
        <v>105.38</v>
      </c>
      <c r="J355" s="3"/>
      <c r="K355" s="3"/>
    </row>
    <row r="356" spans="1:12">
      <c r="A356" t="s">
        <v>497</v>
      </c>
      <c r="B356" s="1">
        <v>41394</v>
      </c>
      <c r="C356" t="s">
        <v>2641</v>
      </c>
      <c r="D356">
        <v>1</v>
      </c>
      <c r="E356" t="s">
        <v>2642</v>
      </c>
      <c r="F356" t="s">
        <v>946</v>
      </c>
      <c r="G356" t="s">
        <v>947</v>
      </c>
      <c r="H356" s="46">
        <f t="shared" si="15"/>
        <v>667.25</v>
      </c>
      <c r="I356" s="46">
        <f>68.98+37.78</f>
        <v>106.76</v>
      </c>
      <c r="J356" s="14">
        <f>1325.88-H355-H356</f>
        <v>5.0000000001091394E-3</v>
      </c>
      <c r="K356" s="14">
        <f>212.14-I355-I356</f>
        <v>0</v>
      </c>
      <c r="L356" t="s">
        <v>900</v>
      </c>
    </row>
    <row r="357" spans="1:12">
      <c r="A357" t="s">
        <v>582</v>
      </c>
      <c r="B357" s="1">
        <v>41394</v>
      </c>
      <c r="C357" t="s">
        <v>436</v>
      </c>
      <c r="D357">
        <v>1</v>
      </c>
      <c r="E357" t="s">
        <v>2693</v>
      </c>
      <c r="F357" s="9" t="s">
        <v>1717</v>
      </c>
      <c r="G357" s="9" t="s">
        <v>1718</v>
      </c>
      <c r="H357" s="3">
        <f>+I357/0.16</f>
        <v>1281.25</v>
      </c>
      <c r="I357" s="3">
        <v>205</v>
      </c>
    </row>
    <row r="358" spans="1:12">
      <c r="A358" t="s">
        <v>2529</v>
      </c>
      <c r="B358" s="1">
        <v>41394</v>
      </c>
      <c r="C358" t="s">
        <v>436</v>
      </c>
      <c r="D358">
        <v>1</v>
      </c>
      <c r="E358" t="s">
        <v>2530</v>
      </c>
      <c r="F358" s="9" t="s">
        <v>2912</v>
      </c>
      <c r="G358" s="9" t="s">
        <v>2913</v>
      </c>
      <c r="H358" s="3">
        <f t="shared" si="9"/>
        <v>153.4375</v>
      </c>
      <c r="I358" s="3">
        <v>24.55</v>
      </c>
    </row>
    <row r="359" spans="1:12">
      <c r="A359" t="s">
        <v>2529</v>
      </c>
      <c r="B359" s="1">
        <v>41394</v>
      </c>
      <c r="C359" t="s">
        <v>436</v>
      </c>
      <c r="D359">
        <v>1</v>
      </c>
      <c r="E359" t="s">
        <v>2530</v>
      </c>
      <c r="F359" s="28" t="s">
        <v>954</v>
      </c>
      <c r="G359" s="28" t="s">
        <v>2276</v>
      </c>
      <c r="H359" s="3">
        <f t="shared" si="9"/>
        <v>154.625</v>
      </c>
      <c r="I359" s="3">
        <v>24.74</v>
      </c>
    </row>
    <row r="360" spans="1:12">
      <c r="A360" t="s">
        <v>2529</v>
      </c>
      <c r="B360" s="1">
        <v>41394</v>
      </c>
      <c r="C360" t="s">
        <v>436</v>
      </c>
      <c r="D360">
        <v>1</v>
      </c>
      <c r="E360" t="s">
        <v>2530</v>
      </c>
      <c r="F360" s="9" t="s">
        <v>2311</v>
      </c>
      <c r="G360" s="9" t="s">
        <v>2093</v>
      </c>
      <c r="H360" s="3">
        <f t="shared" si="9"/>
        <v>277.5625</v>
      </c>
      <c r="I360" s="3">
        <v>44.41</v>
      </c>
    </row>
    <row r="361" spans="1:12">
      <c r="A361" t="s">
        <v>2529</v>
      </c>
      <c r="B361" s="1">
        <v>41394</v>
      </c>
      <c r="C361" t="s">
        <v>436</v>
      </c>
      <c r="D361">
        <v>1</v>
      </c>
      <c r="E361" t="s">
        <v>2530</v>
      </c>
      <c r="F361" t="s">
        <v>2927</v>
      </c>
      <c r="G361" t="s">
        <v>2928</v>
      </c>
      <c r="H361" s="3">
        <f t="shared" si="9"/>
        <v>310.375</v>
      </c>
      <c r="I361" s="3">
        <v>49.66</v>
      </c>
    </row>
    <row r="362" spans="1:12">
      <c r="A362" t="s">
        <v>2529</v>
      </c>
      <c r="B362" s="1">
        <v>41394</v>
      </c>
      <c r="C362" t="s">
        <v>436</v>
      </c>
      <c r="D362">
        <v>1</v>
      </c>
      <c r="E362" t="s">
        <v>2530</v>
      </c>
      <c r="F362" t="s">
        <v>946</v>
      </c>
      <c r="G362" t="s">
        <v>1581</v>
      </c>
      <c r="H362" s="3">
        <f t="shared" si="9"/>
        <v>486.56249999999994</v>
      </c>
      <c r="I362" s="3">
        <v>77.849999999999994</v>
      </c>
    </row>
    <row r="363" spans="1:12">
      <c r="A363" t="s">
        <v>2529</v>
      </c>
      <c r="B363" s="1">
        <v>41394</v>
      </c>
      <c r="C363" t="s">
        <v>436</v>
      </c>
      <c r="D363">
        <v>1</v>
      </c>
      <c r="E363" t="s">
        <v>2530</v>
      </c>
      <c r="F363" s="9" t="s">
        <v>1713</v>
      </c>
      <c r="G363" s="9" t="s">
        <v>2914</v>
      </c>
      <c r="H363" s="3">
        <f t="shared" si="9"/>
        <v>517.25</v>
      </c>
      <c r="I363" s="3">
        <v>82.76</v>
      </c>
    </row>
    <row r="364" spans="1:12">
      <c r="A364" t="s">
        <v>2529</v>
      </c>
      <c r="B364" s="1">
        <v>41394</v>
      </c>
      <c r="C364" t="s">
        <v>436</v>
      </c>
      <c r="D364">
        <v>1</v>
      </c>
      <c r="E364" t="s">
        <v>2530</v>
      </c>
      <c r="F364" s="9" t="s">
        <v>1717</v>
      </c>
      <c r="G364" s="9" t="s">
        <v>2915</v>
      </c>
      <c r="H364" s="3">
        <f t="shared" ref="H364:H374" si="16">+I364/0.16</f>
        <v>2662.4375</v>
      </c>
      <c r="I364" s="3">
        <v>425.99</v>
      </c>
    </row>
    <row r="365" spans="1:12">
      <c r="A365" t="s">
        <v>2525</v>
      </c>
      <c r="B365" s="1">
        <v>41394</v>
      </c>
      <c r="C365" t="s">
        <v>436</v>
      </c>
      <c r="D365">
        <v>1</v>
      </c>
      <c r="E365" t="s">
        <v>2526</v>
      </c>
      <c r="F365" s="13" t="s">
        <v>2924</v>
      </c>
      <c r="G365" s="13" t="s">
        <v>2925</v>
      </c>
      <c r="H365" s="3">
        <f t="shared" si="16"/>
        <v>107.74999999999999</v>
      </c>
      <c r="I365" s="3">
        <v>17.239999999999998</v>
      </c>
    </row>
    <row r="366" spans="1:12">
      <c r="A366" t="s">
        <v>2525</v>
      </c>
      <c r="B366" s="1">
        <v>41394</v>
      </c>
      <c r="C366" t="s">
        <v>436</v>
      </c>
      <c r="D366">
        <v>1</v>
      </c>
      <c r="E366" t="s">
        <v>2526</v>
      </c>
      <c r="F366" s="9" t="s">
        <v>2908</v>
      </c>
      <c r="G366" s="9" t="s">
        <v>2926</v>
      </c>
      <c r="H366" s="3">
        <f t="shared" si="16"/>
        <v>127.5625</v>
      </c>
      <c r="I366" s="3">
        <v>20.41</v>
      </c>
    </row>
    <row r="367" spans="1:12">
      <c r="A367" t="s">
        <v>2525</v>
      </c>
      <c r="B367" s="1">
        <v>41394</v>
      </c>
      <c r="C367" t="s">
        <v>436</v>
      </c>
      <c r="D367">
        <v>1</v>
      </c>
      <c r="E367" t="s">
        <v>2526</v>
      </c>
      <c r="F367" s="13" t="s">
        <v>2910</v>
      </c>
      <c r="G367" s="9" t="s">
        <v>2911</v>
      </c>
      <c r="H367" s="3">
        <f t="shared" si="16"/>
        <v>133.625</v>
      </c>
      <c r="I367" s="3">
        <v>21.38</v>
      </c>
    </row>
    <row r="368" spans="1:12">
      <c r="A368" t="s">
        <v>2525</v>
      </c>
      <c r="B368" s="1">
        <v>41394</v>
      </c>
      <c r="C368" t="s">
        <v>436</v>
      </c>
      <c r="D368">
        <v>1</v>
      </c>
      <c r="E368" t="s">
        <v>2526</v>
      </c>
      <c r="F368" s="9" t="s">
        <v>2920</v>
      </c>
      <c r="G368" s="9" t="s">
        <v>2921</v>
      </c>
      <c r="H368" s="3">
        <f t="shared" si="16"/>
        <v>250.375</v>
      </c>
      <c r="I368" s="3">
        <v>40.06</v>
      </c>
    </row>
    <row r="369" spans="1:11">
      <c r="A369" t="s">
        <v>2525</v>
      </c>
      <c r="B369" s="1">
        <v>41394</v>
      </c>
      <c r="C369" t="s">
        <v>436</v>
      </c>
      <c r="D369">
        <v>1</v>
      </c>
      <c r="E369" t="s">
        <v>2526</v>
      </c>
      <c r="F369" s="9" t="s">
        <v>2922</v>
      </c>
      <c r="G369" s="9" t="s">
        <v>2923</v>
      </c>
      <c r="H369" s="3">
        <f t="shared" si="16"/>
        <v>1663.8750000000002</v>
      </c>
      <c r="I369" s="3">
        <v>266.22000000000003</v>
      </c>
    </row>
    <row r="370" spans="1:11">
      <c r="A370" t="s">
        <v>2404</v>
      </c>
      <c r="B370" s="1">
        <v>41379</v>
      </c>
      <c r="C370" t="s">
        <v>436</v>
      </c>
      <c r="D370">
        <v>1</v>
      </c>
      <c r="E370" t="s">
        <v>2405</v>
      </c>
      <c r="F370" s="9" t="s">
        <v>2910</v>
      </c>
      <c r="G370" s="9" t="s">
        <v>2911</v>
      </c>
      <c r="H370" s="3">
        <f t="shared" si="16"/>
        <v>99.125</v>
      </c>
      <c r="I370" s="3">
        <v>15.86</v>
      </c>
    </row>
    <row r="371" spans="1:11">
      <c r="A371" t="s">
        <v>2404</v>
      </c>
      <c r="B371" s="1">
        <v>41379</v>
      </c>
      <c r="C371" t="s">
        <v>436</v>
      </c>
      <c r="D371">
        <v>1</v>
      </c>
      <c r="E371" t="s">
        <v>2405</v>
      </c>
      <c r="F371" s="9" t="s">
        <v>2320</v>
      </c>
      <c r="G371" s="9" t="s">
        <v>2321</v>
      </c>
      <c r="H371" s="3">
        <f t="shared" si="16"/>
        <v>102.5625</v>
      </c>
      <c r="I371" s="3">
        <v>16.41</v>
      </c>
    </row>
    <row r="372" spans="1:11">
      <c r="A372" t="s">
        <v>2404</v>
      </c>
      <c r="B372" s="1">
        <v>41379</v>
      </c>
      <c r="C372" t="s">
        <v>436</v>
      </c>
      <c r="D372">
        <v>1</v>
      </c>
      <c r="E372" t="s">
        <v>2405</v>
      </c>
      <c r="F372" s="9" t="s">
        <v>2908</v>
      </c>
      <c r="G372" s="9" t="s">
        <v>2909</v>
      </c>
      <c r="H372" s="3">
        <f t="shared" si="16"/>
        <v>118.99999999999999</v>
      </c>
      <c r="I372" s="3">
        <v>19.04</v>
      </c>
    </row>
    <row r="373" spans="1:11">
      <c r="A373" t="s">
        <v>2404</v>
      </c>
      <c r="B373" s="1">
        <v>41379</v>
      </c>
      <c r="C373" t="s">
        <v>436</v>
      </c>
      <c r="D373">
        <v>1</v>
      </c>
      <c r="E373" t="s">
        <v>2405</v>
      </c>
      <c r="F373" s="64" t="s">
        <v>1588</v>
      </c>
      <c r="G373" s="9" t="s">
        <v>1589</v>
      </c>
      <c r="H373" s="3">
        <f t="shared" si="16"/>
        <v>1606.5</v>
      </c>
      <c r="I373" s="3">
        <v>257.04000000000002</v>
      </c>
    </row>
    <row r="374" spans="1:11">
      <c r="A374" t="s">
        <v>2572</v>
      </c>
      <c r="B374" s="1">
        <v>41394</v>
      </c>
      <c r="C374" t="s">
        <v>2573</v>
      </c>
      <c r="D374">
        <v>1</v>
      </c>
      <c r="E374" t="s">
        <v>2574</v>
      </c>
      <c r="F374" t="s">
        <v>1729</v>
      </c>
      <c r="G374" t="s">
        <v>2574</v>
      </c>
      <c r="H374" s="3">
        <f t="shared" si="16"/>
        <v>604.8125</v>
      </c>
      <c r="I374" s="3">
        <v>96.77</v>
      </c>
    </row>
    <row r="375" spans="1:11">
      <c r="B375" s="1"/>
      <c r="H375" s="3"/>
    </row>
    <row r="376" spans="1:11">
      <c r="B376" s="1"/>
      <c r="H376" s="3"/>
    </row>
    <row r="377" spans="1:11">
      <c r="H377" s="14">
        <f>+SUM(H11:H374)</f>
        <v>16169436.3125</v>
      </c>
      <c r="I377" s="3">
        <f>SUM(I11:I374)</f>
        <v>2587109.810000001</v>
      </c>
    </row>
    <row r="378" spans="1:11">
      <c r="H378" s="14">
        <f>3244725.11-657615.22</f>
        <v>2587109.8899999997</v>
      </c>
      <c r="I378" s="3">
        <f>+I377-H378</f>
        <v>-7.9999998677521944E-2</v>
      </c>
      <c r="K378" s="150"/>
    </row>
    <row r="379" spans="1:11">
      <c r="J379" s="14"/>
    </row>
    <row r="382" spans="1:11">
      <c r="A382" s="151"/>
      <c r="B382" s="151"/>
      <c r="C382" s="151"/>
      <c r="D382" s="151"/>
      <c r="E382" s="151"/>
      <c r="F382" s="151" t="s">
        <v>724</v>
      </c>
      <c r="G382" s="151" t="s">
        <v>725</v>
      </c>
      <c r="H382" s="152" t="s">
        <v>732</v>
      </c>
      <c r="I382" s="151" t="s">
        <v>726</v>
      </c>
      <c r="J382" s="151" t="s">
        <v>7073</v>
      </c>
    </row>
    <row r="383" spans="1:11">
      <c r="A383" s="174" t="s">
        <v>7099</v>
      </c>
      <c r="B383">
        <v>85</v>
      </c>
      <c r="F383" s="64" t="s">
        <v>1571</v>
      </c>
      <c r="G383" s="9" t="s">
        <v>1285</v>
      </c>
      <c r="H383" s="3">
        <f>+I383/0.16</f>
        <v>21327.5625</v>
      </c>
      <c r="I383" s="3">
        <f>+SUMIF($F$11:$F$374,F383,$I$11:$I$374)</f>
        <v>3412.41</v>
      </c>
    </row>
    <row r="384" spans="1:11">
      <c r="A384" s="174" t="s">
        <v>7099</v>
      </c>
      <c r="B384">
        <v>85</v>
      </c>
      <c r="F384" s="12" t="s">
        <v>2846</v>
      </c>
      <c r="G384" s="9" t="s">
        <v>991</v>
      </c>
      <c r="H384" s="3">
        <f t="shared" ref="H384:H447" si="17">+I384/0.16</f>
        <v>205379.4375</v>
      </c>
      <c r="I384" s="3">
        <f t="shared" ref="I384:I447" si="18">+SUMIF($F$11:$F$374,F384,$I$11:$I$374)</f>
        <v>32860.71</v>
      </c>
    </row>
    <row r="385" spans="1:9">
      <c r="A385" s="174" t="s">
        <v>7099</v>
      </c>
      <c r="B385">
        <v>85</v>
      </c>
      <c r="F385" s="13" t="s">
        <v>1578</v>
      </c>
      <c r="G385" s="75" t="s">
        <v>1579</v>
      </c>
      <c r="H385" s="3">
        <f t="shared" si="17"/>
        <v>1650.9374999999998</v>
      </c>
      <c r="I385" s="3">
        <f t="shared" si="18"/>
        <v>264.14999999999998</v>
      </c>
    </row>
    <row r="386" spans="1:9">
      <c r="A386" s="174" t="s">
        <v>7099</v>
      </c>
      <c r="B386">
        <v>85</v>
      </c>
      <c r="F386" s="28" t="s">
        <v>939</v>
      </c>
      <c r="G386" s="28" t="s">
        <v>940</v>
      </c>
      <c r="H386" s="3">
        <f t="shared" si="17"/>
        <v>1560.1875</v>
      </c>
      <c r="I386" s="3">
        <f t="shared" si="18"/>
        <v>249.63</v>
      </c>
    </row>
    <row r="387" spans="1:9">
      <c r="A387" s="174" t="s">
        <v>7099</v>
      </c>
      <c r="B387">
        <v>85</v>
      </c>
      <c r="F387" s="9" t="s">
        <v>809</v>
      </c>
      <c r="G387" s="9" t="s">
        <v>2536</v>
      </c>
      <c r="H387" s="3">
        <f t="shared" si="17"/>
        <v>264.6875</v>
      </c>
      <c r="I387" s="3">
        <f t="shared" si="18"/>
        <v>42.35</v>
      </c>
    </row>
    <row r="388" spans="1:9">
      <c r="A388" s="174" t="s">
        <v>7099</v>
      </c>
      <c r="B388">
        <v>85</v>
      </c>
      <c r="F388" s="9" t="s">
        <v>1649</v>
      </c>
      <c r="G388" s="9" t="s">
        <v>1650</v>
      </c>
      <c r="H388" s="3">
        <f t="shared" si="17"/>
        <v>103.4375</v>
      </c>
      <c r="I388" s="3">
        <f t="shared" si="18"/>
        <v>16.55</v>
      </c>
    </row>
    <row r="389" spans="1:9">
      <c r="A389" s="174" t="s">
        <v>7099</v>
      </c>
      <c r="B389">
        <v>85</v>
      </c>
      <c r="F389" s="9" t="s">
        <v>2269</v>
      </c>
      <c r="G389" s="9" t="s">
        <v>2834</v>
      </c>
      <c r="H389" s="3">
        <f t="shared" si="17"/>
        <v>1710</v>
      </c>
      <c r="I389" s="3">
        <f t="shared" si="18"/>
        <v>273.60000000000002</v>
      </c>
    </row>
    <row r="390" spans="1:9">
      <c r="A390" s="174" t="s">
        <v>7099</v>
      </c>
      <c r="B390">
        <v>85</v>
      </c>
      <c r="F390" s="9" t="s">
        <v>748</v>
      </c>
      <c r="G390" s="9" t="s">
        <v>481</v>
      </c>
      <c r="H390" s="3">
        <f t="shared" si="17"/>
        <v>68.875</v>
      </c>
      <c r="I390" s="3">
        <f t="shared" si="18"/>
        <v>11.02</v>
      </c>
    </row>
    <row r="391" spans="1:9">
      <c r="A391" s="174" t="s">
        <v>7099</v>
      </c>
      <c r="B391">
        <v>85</v>
      </c>
      <c r="F391" s="9" t="s">
        <v>941</v>
      </c>
      <c r="G391" s="9" t="s">
        <v>1641</v>
      </c>
      <c r="H391" s="3">
        <f t="shared" si="17"/>
        <v>266.4375</v>
      </c>
      <c r="I391" s="3">
        <f t="shared" si="18"/>
        <v>42.63</v>
      </c>
    </row>
    <row r="392" spans="1:9">
      <c r="A392" s="174" t="s">
        <v>7099</v>
      </c>
      <c r="B392">
        <v>85</v>
      </c>
      <c r="F392" s="8" t="s">
        <v>736</v>
      </c>
      <c r="G392" s="9" t="s">
        <v>737</v>
      </c>
      <c r="H392" s="3">
        <f t="shared" si="17"/>
        <v>555503.625</v>
      </c>
      <c r="I392" s="3">
        <f t="shared" si="18"/>
        <v>88880.58</v>
      </c>
    </row>
    <row r="393" spans="1:9">
      <c r="A393" s="174" t="s">
        <v>7099</v>
      </c>
      <c r="B393">
        <v>85</v>
      </c>
      <c r="F393" s="12" t="s">
        <v>821</v>
      </c>
      <c r="G393" s="12" t="s">
        <v>2272</v>
      </c>
      <c r="H393" s="3">
        <f t="shared" si="17"/>
        <v>250</v>
      </c>
      <c r="I393" s="3">
        <f t="shared" si="18"/>
        <v>40</v>
      </c>
    </row>
    <row r="394" spans="1:9">
      <c r="A394" s="174" t="s">
        <v>7099</v>
      </c>
      <c r="B394">
        <v>85</v>
      </c>
      <c r="F394" s="21" t="s">
        <v>827</v>
      </c>
      <c r="G394" s="22" t="s">
        <v>828</v>
      </c>
      <c r="H394" s="3">
        <f t="shared" si="17"/>
        <v>10436.75</v>
      </c>
      <c r="I394" s="3">
        <f t="shared" si="18"/>
        <v>1669.88</v>
      </c>
    </row>
    <row r="395" spans="1:9">
      <c r="A395" s="174" t="s">
        <v>7099</v>
      </c>
      <c r="B395">
        <v>85</v>
      </c>
      <c r="F395" s="9" t="s">
        <v>2855</v>
      </c>
      <c r="G395" s="9" t="s">
        <v>2724</v>
      </c>
      <c r="H395" s="3">
        <f t="shared" si="17"/>
        <v>7000</v>
      </c>
      <c r="I395" s="3">
        <f t="shared" si="18"/>
        <v>1120</v>
      </c>
    </row>
    <row r="396" spans="1:9">
      <c r="A396" s="174" t="s">
        <v>7099</v>
      </c>
      <c r="B396">
        <v>85</v>
      </c>
      <c r="F396" s="12" t="s">
        <v>823</v>
      </c>
      <c r="G396" s="20" t="s">
        <v>824</v>
      </c>
      <c r="H396" s="3">
        <f t="shared" si="17"/>
        <v>198</v>
      </c>
      <c r="I396" s="3">
        <f t="shared" si="18"/>
        <v>31.68</v>
      </c>
    </row>
    <row r="397" spans="1:9">
      <c r="A397" s="174" t="s">
        <v>7099</v>
      </c>
      <c r="B397">
        <v>85</v>
      </c>
      <c r="F397" s="12" t="s">
        <v>950</v>
      </c>
      <c r="G397" s="20" t="s">
        <v>951</v>
      </c>
      <c r="H397" s="3">
        <f t="shared" si="17"/>
        <v>4536.5625</v>
      </c>
      <c r="I397" s="3">
        <f t="shared" si="18"/>
        <v>725.85</v>
      </c>
    </row>
    <row r="398" spans="1:9">
      <c r="A398" s="174" t="s">
        <v>7099</v>
      </c>
      <c r="B398">
        <v>85</v>
      </c>
      <c r="F398" s="12" t="s">
        <v>825</v>
      </c>
      <c r="G398" s="20" t="s">
        <v>826</v>
      </c>
      <c r="H398" s="3">
        <f t="shared" si="17"/>
        <v>339</v>
      </c>
      <c r="I398" s="3">
        <f t="shared" si="18"/>
        <v>54.24</v>
      </c>
    </row>
    <row r="399" spans="1:9">
      <c r="A399" s="174" t="s">
        <v>7099</v>
      </c>
      <c r="B399">
        <v>85</v>
      </c>
      <c r="F399" s="9" t="s">
        <v>772</v>
      </c>
      <c r="G399" s="9" t="s">
        <v>29</v>
      </c>
      <c r="H399" s="3">
        <f t="shared" si="17"/>
        <v>931080.62500000012</v>
      </c>
      <c r="I399" s="3">
        <f t="shared" si="18"/>
        <v>148972.90000000002</v>
      </c>
    </row>
    <row r="400" spans="1:9">
      <c r="A400" s="174" t="s">
        <v>7099</v>
      </c>
      <c r="B400">
        <v>85</v>
      </c>
      <c r="F400" s="12" t="s">
        <v>755</v>
      </c>
      <c r="G400" s="9" t="s">
        <v>756</v>
      </c>
      <c r="H400" s="3">
        <f t="shared" si="17"/>
        <v>370234.5</v>
      </c>
      <c r="I400" s="3">
        <f t="shared" si="18"/>
        <v>59237.520000000004</v>
      </c>
    </row>
    <row r="401" spans="1:9">
      <c r="A401" s="174" t="s">
        <v>7099</v>
      </c>
      <c r="B401">
        <v>85</v>
      </c>
      <c r="F401" s="9" t="s">
        <v>2878</v>
      </c>
      <c r="G401" s="9" t="s">
        <v>2879</v>
      </c>
      <c r="H401" s="3">
        <f t="shared" si="17"/>
        <v>157.6875</v>
      </c>
      <c r="I401" s="3">
        <f t="shared" si="18"/>
        <v>25.23</v>
      </c>
    </row>
    <row r="402" spans="1:9">
      <c r="A402" s="174" t="s">
        <v>7099</v>
      </c>
      <c r="B402">
        <v>85</v>
      </c>
      <c r="F402" s="9" t="s">
        <v>2847</v>
      </c>
      <c r="G402" s="9" t="s">
        <v>2848</v>
      </c>
      <c r="H402" s="3">
        <f t="shared" si="17"/>
        <v>73.25</v>
      </c>
      <c r="I402" s="3">
        <f t="shared" si="18"/>
        <v>11.72</v>
      </c>
    </row>
    <row r="403" spans="1:9">
      <c r="A403" s="174" t="s">
        <v>7099</v>
      </c>
      <c r="B403">
        <v>85</v>
      </c>
      <c r="F403" s="12" t="s">
        <v>763</v>
      </c>
      <c r="G403" s="9" t="s">
        <v>284</v>
      </c>
      <c r="H403" s="3">
        <f t="shared" si="17"/>
        <v>10171</v>
      </c>
      <c r="I403" s="3">
        <f t="shared" si="18"/>
        <v>1627.36</v>
      </c>
    </row>
    <row r="404" spans="1:9">
      <c r="A404" s="174" t="s">
        <v>7099</v>
      </c>
      <c r="B404">
        <v>85</v>
      </c>
      <c r="F404" s="64" t="s">
        <v>1577</v>
      </c>
      <c r="G404" s="9" t="s">
        <v>1062</v>
      </c>
      <c r="H404" s="3">
        <f t="shared" si="17"/>
        <v>1982.75</v>
      </c>
      <c r="I404" s="3">
        <f t="shared" si="18"/>
        <v>317.24</v>
      </c>
    </row>
    <row r="405" spans="1:9">
      <c r="A405" s="174" t="s">
        <v>7099</v>
      </c>
      <c r="B405">
        <v>85</v>
      </c>
      <c r="F405" s="143" t="s">
        <v>2865</v>
      </c>
      <c r="G405" s="143" t="s">
        <v>2866</v>
      </c>
      <c r="H405" s="3">
        <f t="shared" si="17"/>
        <v>137.5625</v>
      </c>
      <c r="I405" s="3">
        <f t="shared" si="18"/>
        <v>22.01</v>
      </c>
    </row>
    <row r="406" spans="1:9">
      <c r="A406" s="174" t="s">
        <v>7099</v>
      </c>
      <c r="B406">
        <v>85</v>
      </c>
      <c r="F406" s="9" t="s">
        <v>2920</v>
      </c>
      <c r="G406" s="9" t="s">
        <v>2921</v>
      </c>
      <c r="H406" s="3">
        <f t="shared" si="17"/>
        <v>250.375</v>
      </c>
      <c r="I406" s="3">
        <f t="shared" si="18"/>
        <v>40.06</v>
      </c>
    </row>
    <row r="407" spans="1:9">
      <c r="A407" s="174" t="s">
        <v>7099</v>
      </c>
      <c r="B407">
        <v>85</v>
      </c>
      <c r="F407" s="9" t="s">
        <v>764</v>
      </c>
      <c r="G407" s="9" t="s">
        <v>100</v>
      </c>
      <c r="H407" s="3">
        <f t="shared" si="17"/>
        <v>21268.5</v>
      </c>
      <c r="I407" s="3">
        <f t="shared" si="18"/>
        <v>3402.96</v>
      </c>
    </row>
    <row r="408" spans="1:9">
      <c r="A408" s="174" t="s">
        <v>7099</v>
      </c>
      <c r="B408">
        <v>85</v>
      </c>
      <c r="F408" s="64" t="s">
        <v>770</v>
      </c>
      <c r="G408" s="9" t="s">
        <v>1142</v>
      </c>
      <c r="H408" s="3">
        <f t="shared" si="17"/>
        <v>23075</v>
      </c>
      <c r="I408" s="3">
        <f t="shared" si="18"/>
        <v>3692</v>
      </c>
    </row>
    <row r="409" spans="1:9">
      <c r="A409" s="174" t="s">
        <v>7099</v>
      </c>
      <c r="B409">
        <v>85</v>
      </c>
      <c r="F409" s="8" t="s">
        <v>759</v>
      </c>
      <c r="G409" s="9" t="s">
        <v>760</v>
      </c>
      <c r="H409" s="3">
        <f t="shared" si="17"/>
        <v>220622.625</v>
      </c>
      <c r="I409" s="3">
        <f t="shared" si="18"/>
        <v>35299.620000000003</v>
      </c>
    </row>
    <row r="410" spans="1:9">
      <c r="A410" s="174" t="s">
        <v>7099</v>
      </c>
      <c r="B410">
        <v>85</v>
      </c>
      <c r="F410" s="9" t="s">
        <v>757</v>
      </c>
      <c r="G410" s="9" t="s">
        <v>599</v>
      </c>
      <c r="H410" s="3">
        <f t="shared" si="17"/>
        <v>37.9375</v>
      </c>
      <c r="I410" s="3">
        <f t="shared" si="18"/>
        <v>6.07</v>
      </c>
    </row>
    <row r="411" spans="1:9">
      <c r="A411" s="174" t="s">
        <v>7099</v>
      </c>
      <c r="B411">
        <v>85</v>
      </c>
      <c r="F411" s="9" t="s">
        <v>773</v>
      </c>
      <c r="G411" s="9" t="s">
        <v>514</v>
      </c>
      <c r="H411" s="3">
        <f t="shared" si="17"/>
        <v>181.81250000000003</v>
      </c>
      <c r="I411" s="3">
        <f>+SUMIF($F$11:$F$374,F411,$I$11:$I$374)</f>
        <v>29.090000000000003</v>
      </c>
    </row>
    <row r="412" spans="1:9">
      <c r="A412" s="174" t="s">
        <v>7099</v>
      </c>
      <c r="B412">
        <v>85</v>
      </c>
      <c r="F412" s="9" t="s">
        <v>767</v>
      </c>
      <c r="G412" s="9" t="s">
        <v>549</v>
      </c>
      <c r="H412" s="3">
        <f t="shared" si="17"/>
        <v>930.18750000000011</v>
      </c>
      <c r="I412" s="3">
        <f t="shared" si="18"/>
        <v>148.83000000000001</v>
      </c>
    </row>
    <row r="413" spans="1:9">
      <c r="A413" s="174" t="s">
        <v>7099</v>
      </c>
      <c r="B413">
        <v>85</v>
      </c>
      <c r="F413" s="64" t="s">
        <v>1587</v>
      </c>
      <c r="G413" s="9" t="s">
        <v>1239</v>
      </c>
      <c r="H413" s="3">
        <f t="shared" si="17"/>
        <v>204</v>
      </c>
      <c r="I413" s="3">
        <f t="shared" si="18"/>
        <v>32.64</v>
      </c>
    </row>
    <row r="414" spans="1:9">
      <c r="A414" s="174" t="s">
        <v>7099</v>
      </c>
      <c r="B414">
        <v>85</v>
      </c>
      <c r="F414" s="9" t="s">
        <v>937</v>
      </c>
      <c r="G414" s="9" t="s">
        <v>938</v>
      </c>
      <c r="H414" s="3">
        <f t="shared" si="17"/>
        <v>208.56249999999997</v>
      </c>
      <c r="I414" s="3">
        <f t="shared" si="18"/>
        <v>33.369999999999997</v>
      </c>
    </row>
    <row r="415" spans="1:9">
      <c r="A415" s="174" t="s">
        <v>7099</v>
      </c>
      <c r="B415">
        <v>85</v>
      </c>
      <c r="F415" s="9" t="s">
        <v>1576</v>
      </c>
      <c r="G415" s="9" t="s">
        <v>1059</v>
      </c>
      <c r="H415" s="3">
        <f t="shared" si="17"/>
        <v>1489.6875</v>
      </c>
      <c r="I415" s="3">
        <f t="shared" si="18"/>
        <v>238.35</v>
      </c>
    </row>
    <row r="416" spans="1:9">
      <c r="A416" s="174" t="s">
        <v>7099</v>
      </c>
      <c r="B416">
        <v>85</v>
      </c>
      <c r="F416" s="9" t="s">
        <v>2905</v>
      </c>
      <c r="G416" s="9" t="s">
        <v>2906</v>
      </c>
      <c r="H416" s="3">
        <f t="shared" si="17"/>
        <v>94.875</v>
      </c>
      <c r="I416" s="3">
        <f t="shared" si="18"/>
        <v>15.18</v>
      </c>
    </row>
    <row r="417" spans="1:9">
      <c r="A417" s="174" t="s">
        <v>7099</v>
      </c>
      <c r="B417">
        <v>85</v>
      </c>
      <c r="F417" s="9" t="s">
        <v>2320</v>
      </c>
      <c r="G417" s="9" t="s">
        <v>2321</v>
      </c>
      <c r="H417" s="3">
        <f t="shared" si="17"/>
        <v>205.125</v>
      </c>
      <c r="I417" s="3">
        <f t="shared" si="18"/>
        <v>32.82</v>
      </c>
    </row>
    <row r="418" spans="1:9">
      <c r="A418" s="174" t="s">
        <v>7099</v>
      </c>
      <c r="B418">
        <v>85</v>
      </c>
      <c r="F418" s="12" t="s">
        <v>775</v>
      </c>
      <c r="G418" s="9" t="s">
        <v>776</v>
      </c>
      <c r="H418" s="3">
        <f t="shared" si="17"/>
        <v>585391.1875</v>
      </c>
      <c r="I418" s="3">
        <f t="shared" si="18"/>
        <v>93662.59</v>
      </c>
    </row>
    <row r="419" spans="1:9">
      <c r="A419" s="174" t="s">
        <v>7099</v>
      </c>
      <c r="B419">
        <v>85</v>
      </c>
      <c r="F419" s="9" t="s">
        <v>1595</v>
      </c>
      <c r="G419" s="9" t="s">
        <v>1596</v>
      </c>
      <c r="H419" s="3">
        <f t="shared" si="17"/>
        <v>277751.8125</v>
      </c>
      <c r="I419" s="3">
        <f t="shared" si="18"/>
        <v>44440.29</v>
      </c>
    </row>
    <row r="420" spans="1:9">
      <c r="A420" s="174" t="s">
        <v>7099</v>
      </c>
      <c r="B420">
        <v>85</v>
      </c>
      <c r="F420" s="64" t="s">
        <v>2849</v>
      </c>
      <c r="G420" s="9" t="s">
        <v>983</v>
      </c>
      <c r="H420" s="3">
        <f t="shared" si="17"/>
        <v>11379.3125</v>
      </c>
      <c r="I420" s="3">
        <f t="shared" si="18"/>
        <v>1820.69</v>
      </c>
    </row>
    <row r="421" spans="1:9">
      <c r="A421" s="174" t="s">
        <v>7099</v>
      </c>
      <c r="B421">
        <v>85</v>
      </c>
      <c r="F421" s="12" t="s">
        <v>1594</v>
      </c>
      <c r="G421" s="9" t="s">
        <v>973</v>
      </c>
      <c r="H421" s="3">
        <f t="shared" si="17"/>
        <v>8182.25</v>
      </c>
      <c r="I421" s="3">
        <f t="shared" si="18"/>
        <v>1309.1600000000001</v>
      </c>
    </row>
    <row r="422" spans="1:9">
      <c r="A422" s="174" t="s">
        <v>7099</v>
      </c>
      <c r="B422">
        <v>85</v>
      </c>
      <c r="F422" s="9" t="s">
        <v>781</v>
      </c>
      <c r="G422" s="9" t="s">
        <v>80</v>
      </c>
      <c r="H422" s="3">
        <f t="shared" si="17"/>
        <v>9726.5</v>
      </c>
      <c r="I422" s="3">
        <f t="shared" si="18"/>
        <v>1556.24</v>
      </c>
    </row>
    <row r="423" spans="1:9">
      <c r="A423" s="174" t="s">
        <v>7099</v>
      </c>
      <c r="B423">
        <v>85</v>
      </c>
      <c r="F423" s="9" t="s">
        <v>1593</v>
      </c>
      <c r="G423" s="66" t="s">
        <v>1446</v>
      </c>
      <c r="H423" s="3">
        <f t="shared" si="17"/>
        <v>385.37499999999994</v>
      </c>
      <c r="I423" s="3">
        <f t="shared" si="18"/>
        <v>61.66</v>
      </c>
    </row>
    <row r="424" spans="1:9">
      <c r="A424" s="174" t="s">
        <v>7099</v>
      </c>
      <c r="B424">
        <v>85</v>
      </c>
      <c r="F424" s="9" t="s">
        <v>780</v>
      </c>
      <c r="G424" s="9" t="s">
        <v>373</v>
      </c>
      <c r="H424" s="3">
        <f t="shared" si="17"/>
        <v>44405.75</v>
      </c>
      <c r="I424" s="3">
        <f t="shared" si="18"/>
        <v>7104.92</v>
      </c>
    </row>
    <row r="425" spans="1:9">
      <c r="A425" s="174" t="s">
        <v>7099</v>
      </c>
      <c r="B425">
        <v>85</v>
      </c>
      <c r="F425" s="9" t="s">
        <v>784</v>
      </c>
      <c r="G425" s="9" t="s">
        <v>618</v>
      </c>
      <c r="H425" s="3">
        <f t="shared" si="17"/>
        <v>69</v>
      </c>
      <c r="I425" s="3">
        <f t="shared" si="18"/>
        <v>11.04</v>
      </c>
    </row>
    <row r="426" spans="1:9">
      <c r="A426" s="174" t="s">
        <v>7099</v>
      </c>
      <c r="B426">
        <v>85</v>
      </c>
      <c r="F426" s="9" t="s">
        <v>739</v>
      </c>
      <c r="G426" s="9" t="s">
        <v>469</v>
      </c>
      <c r="H426" s="3">
        <f t="shared" si="17"/>
        <v>1431.0625</v>
      </c>
      <c r="I426" s="3">
        <f t="shared" si="18"/>
        <v>228.97</v>
      </c>
    </row>
    <row r="427" spans="1:9">
      <c r="A427" s="174" t="s">
        <v>7099</v>
      </c>
      <c r="B427">
        <v>85</v>
      </c>
      <c r="F427" s="9" t="s">
        <v>2857</v>
      </c>
      <c r="G427" s="9" t="s">
        <v>2637</v>
      </c>
      <c r="H427" s="3">
        <f t="shared" si="17"/>
        <v>1500</v>
      </c>
      <c r="I427" s="3">
        <f t="shared" si="18"/>
        <v>240</v>
      </c>
    </row>
    <row r="428" spans="1:9">
      <c r="A428" s="174" t="s">
        <v>7099</v>
      </c>
      <c r="B428">
        <v>85</v>
      </c>
      <c r="F428" s="28" t="s">
        <v>954</v>
      </c>
      <c r="G428" s="28" t="s">
        <v>2276</v>
      </c>
      <c r="H428" s="3">
        <f t="shared" si="17"/>
        <v>214.12499999999997</v>
      </c>
      <c r="I428" s="3">
        <f t="shared" si="18"/>
        <v>34.26</v>
      </c>
    </row>
    <row r="429" spans="1:9">
      <c r="A429" s="174" t="s">
        <v>7099</v>
      </c>
      <c r="B429">
        <v>85</v>
      </c>
      <c r="F429" s="28" t="s">
        <v>1655</v>
      </c>
      <c r="G429" s="28" t="s">
        <v>2907</v>
      </c>
      <c r="H429" s="3">
        <f t="shared" si="17"/>
        <v>563.25</v>
      </c>
      <c r="I429" s="3">
        <f t="shared" si="18"/>
        <v>90.12</v>
      </c>
    </row>
    <row r="430" spans="1:9">
      <c r="A430" s="174" t="s">
        <v>7099</v>
      </c>
      <c r="B430">
        <v>85</v>
      </c>
      <c r="F430" s="9" t="s">
        <v>2912</v>
      </c>
      <c r="G430" s="9" t="s">
        <v>2913</v>
      </c>
      <c r="H430" s="3">
        <f t="shared" si="17"/>
        <v>278.4375</v>
      </c>
      <c r="I430" s="3">
        <f t="shared" si="18"/>
        <v>44.55</v>
      </c>
    </row>
    <row r="431" spans="1:9">
      <c r="A431" s="174" t="s">
        <v>7099</v>
      </c>
      <c r="B431">
        <v>85</v>
      </c>
      <c r="F431" s="9" t="s">
        <v>2894</v>
      </c>
      <c r="G431" s="9" t="s">
        <v>2895</v>
      </c>
      <c r="H431" s="3">
        <f t="shared" si="17"/>
        <v>73.25</v>
      </c>
      <c r="I431" s="3">
        <f t="shared" si="18"/>
        <v>11.72</v>
      </c>
    </row>
    <row r="432" spans="1:9">
      <c r="A432" s="174" t="s">
        <v>7099</v>
      </c>
      <c r="B432">
        <v>85</v>
      </c>
      <c r="F432" s="9" t="s">
        <v>2896</v>
      </c>
      <c r="G432" s="9" t="s">
        <v>2897</v>
      </c>
      <c r="H432" s="3">
        <f t="shared" si="17"/>
        <v>552.8125</v>
      </c>
      <c r="I432" s="3">
        <f t="shared" si="18"/>
        <v>88.45</v>
      </c>
    </row>
    <row r="433" spans="1:9">
      <c r="A433" s="174" t="s">
        <v>7099</v>
      </c>
      <c r="B433">
        <v>85</v>
      </c>
      <c r="F433" s="64" t="s">
        <v>798</v>
      </c>
      <c r="G433" s="9" t="s">
        <v>77</v>
      </c>
      <c r="H433" s="3">
        <f t="shared" si="17"/>
        <v>8033.4375000000009</v>
      </c>
      <c r="I433" s="3">
        <f t="shared" si="18"/>
        <v>1285.3500000000001</v>
      </c>
    </row>
    <row r="434" spans="1:9">
      <c r="A434" s="174" t="s">
        <v>7099</v>
      </c>
      <c r="B434">
        <v>85</v>
      </c>
      <c r="F434" s="9" t="s">
        <v>2901</v>
      </c>
      <c r="G434" s="9" t="s">
        <v>2902</v>
      </c>
      <c r="H434" s="3">
        <f t="shared" si="17"/>
        <v>77.5625</v>
      </c>
      <c r="I434" s="3">
        <f t="shared" si="18"/>
        <v>12.41</v>
      </c>
    </row>
    <row r="435" spans="1:9">
      <c r="A435" s="174" t="s">
        <v>7099</v>
      </c>
      <c r="B435">
        <v>85</v>
      </c>
      <c r="F435" s="9" t="s">
        <v>1713</v>
      </c>
      <c r="G435" s="9" t="s">
        <v>2914</v>
      </c>
      <c r="H435" s="3">
        <f t="shared" si="17"/>
        <v>826.75</v>
      </c>
      <c r="I435" s="3">
        <f t="shared" si="18"/>
        <v>132.28</v>
      </c>
    </row>
    <row r="436" spans="1:9">
      <c r="A436" s="174" t="s">
        <v>7099</v>
      </c>
      <c r="B436">
        <v>85</v>
      </c>
      <c r="F436" t="s">
        <v>946</v>
      </c>
      <c r="G436" t="s">
        <v>947</v>
      </c>
      <c r="H436" s="3">
        <f t="shared" si="17"/>
        <v>18349.4375</v>
      </c>
      <c r="I436" s="3">
        <f t="shared" si="18"/>
        <v>2935.9100000000003</v>
      </c>
    </row>
    <row r="437" spans="1:9">
      <c r="A437" s="174" t="s">
        <v>7099</v>
      </c>
      <c r="B437">
        <v>85</v>
      </c>
      <c r="F437" s="28" t="s">
        <v>2898</v>
      </c>
      <c r="G437" s="28" t="s">
        <v>1697</v>
      </c>
      <c r="H437" s="3">
        <f t="shared" si="17"/>
        <v>292.0625</v>
      </c>
      <c r="I437" s="3">
        <f t="shared" si="18"/>
        <v>46.73</v>
      </c>
    </row>
    <row r="438" spans="1:9">
      <c r="A438" s="174" t="s">
        <v>7099</v>
      </c>
      <c r="B438">
        <v>85</v>
      </c>
      <c r="F438" s="9" t="s">
        <v>2851</v>
      </c>
      <c r="G438" s="9" t="s">
        <v>2852</v>
      </c>
      <c r="H438" s="3">
        <f t="shared" si="17"/>
        <v>604.875</v>
      </c>
      <c r="I438" s="3">
        <f t="shared" si="18"/>
        <v>96.78</v>
      </c>
    </row>
    <row r="439" spans="1:9">
      <c r="A439" s="174" t="s">
        <v>7099</v>
      </c>
      <c r="B439">
        <v>85</v>
      </c>
      <c r="F439" s="9" t="s">
        <v>797</v>
      </c>
      <c r="G439" s="9" t="s">
        <v>220</v>
      </c>
      <c r="H439" s="3">
        <f t="shared" si="17"/>
        <v>7995</v>
      </c>
      <c r="I439" s="3">
        <f t="shared" si="18"/>
        <v>1279.2</v>
      </c>
    </row>
    <row r="440" spans="1:9">
      <c r="A440" s="174" t="s">
        <v>7099</v>
      </c>
      <c r="B440">
        <v>85</v>
      </c>
      <c r="F440" s="28" t="s">
        <v>2277</v>
      </c>
      <c r="G440" s="28" t="s">
        <v>2278</v>
      </c>
      <c r="H440" s="3">
        <f t="shared" si="17"/>
        <v>236.68749999999997</v>
      </c>
      <c r="I440" s="3">
        <f t="shared" si="18"/>
        <v>37.869999999999997</v>
      </c>
    </row>
    <row r="441" spans="1:9">
      <c r="A441" s="174" t="s">
        <v>7099</v>
      </c>
      <c r="B441">
        <v>85</v>
      </c>
      <c r="F441" s="28" t="s">
        <v>1647</v>
      </c>
      <c r="G441" s="28" t="s">
        <v>2869</v>
      </c>
      <c r="H441" s="3">
        <f t="shared" si="17"/>
        <v>41.6875</v>
      </c>
      <c r="I441" s="3">
        <f t="shared" si="18"/>
        <v>6.67</v>
      </c>
    </row>
    <row r="442" spans="1:9">
      <c r="A442" s="174" t="s">
        <v>7099</v>
      </c>
      <c r="B442">
        <v>85</v>
      </c>
      <c r="F442" s="36" t="s">
        <v>1600</v>
      </c>
      <c r="G442" s="9" t="s">
        <v>1011</v>
      </c>
      <c r="H442" s="3">
        <f t="shared" si="17"/>
        <v>10379.375</v>
      </c>
      <c r="I442" s="3">
        <f t="shared" si="18"/>
        <v>1660.7</v>
      </c>
    </row>
    <row r="443" spans="1:9">
      <c r="A443" s="174" t="s">
        <v>7099</v>
      </c>
      <c r="B443">
        <v>85</v>
      </c>
      <c r="F443" s="9" t="s">
        <v>2853</v>
      </c>
      <c r="G443" s="9" t="s">
        <v>2571</v>
      </c>
      <c r="H443" s="3">
        <f t="shared" si="17"/>
        <v>221</v>
      </c>
      <c r="I443" s="3">
        <f t="shared" si="18"/>
        <v>35.36</v>
      </c>
    </row>
    <row r="444" spans="1:9">
      <c r="A444" s="174" t="s">
        <v>7099</v>
      </c>
      <c r="B444">
        <v>85</v>
      </c>
      <c r="F444" s="12" t="s">
        <v>830</v>
      </c>
      <c r="G444" s="20" t="s">
        <v>831</v>
      </c>
      <c r="H444" s="3">
        <f t="shared" si="17"/>
        <v>436</v>
      </c>
      <c r="I444" s="3">
        <f t="shared" si="18"/>
        <v>69.760000000000005</v>
      </c>
    </row>
    <row r="445" spans="1:9">
      <c r="A445" s="174" t="s">
        <v>7099</v>
      </c>
      <c r="B445">
        <v>85</v>
      </c>
      <c r="F445" s="64" t="s">
        <v>803</v>
      </c>
      <c r="G445" s="9" t="s">
        <v>74</v>
      </c>
      <c r="H445" s="3">
        <f t="shared" si="17"/>
        <v>53833.375</v>
      </c>
      <c r="I445" s="3">
        <f t="shared" si="18"/>
        <v>8613.34</v>
      </c>
    </row>
    <row r="446" spans="1:9">
      <c r="A446" s="174" t="s">
        <v>7099</v>
      </c>
      <c r="B446">
        <v>85</v>
      </c>
      <c r="F446" s="9" t="s">
        <v>2854</v>
      </c>
      <c r="G446" s="9" t="s">
        <v>2731</v>
      </c>
      <c r="H446" s="3">
        <f t="shared" si="17"/>
        <v>2234.125</v>
      </c>
      <c r="I446" s="3">
        <f t="shared" si="18"/>
        <v>357.46</v>
      </c>
    </row>
    <row r="447" spans="1:9">
      <c r="A447" s="174" t="s">
        <v>7099</v>
      </c>
      <c r="B447">
        <v>85</v>
      </c>
      <c r="F447" s="9" t="s">
        <v>805</v>
      </c>
      <c r="G447" s="9" t="s">
        <v>112</v>
      </c>
      <c r="H447" s="3">
        <f t="shared" si="17"/>
        <v>25000</v>
      </c>
      <c r="I447" s="3">
        <f t="shared" si="18"/>
        <v>4000</v>
      </c>
    </row>
    <row r="448" spans="1:9">
      <c r="A448" s="174" t="s">
        <v>7099</v>
      </c>
      <c r="B448">
        <v>85</v>
      </c>
      <c r="F448" s="64" t="s">
        <v>1588</v>
      </c>
      <c r="G448" s="9" t="s">
        <v>1589</v>
      </c>
      <c r="H448" s="3">
        <f t="shared" ref="H448:H511" si="19">+I448/0.16</f>
        <v>1606.5</v>
      </c>
      <c r="I448" s="3">
        <f t="shared" ref="I448:I511" si="20">+SUMIF($F$11:$F$374,F448,$I$11:$I$374)</f>
        <v>257.04000000000002</v>
      </c>
    </row>
    <row r="449" spans="1:10">
      <c r="A449" s="174" t="s">
        <v>7099</v>
      </c>
      <c r="B449">
        <v>85</v>
      </c>
      <c r="F449" s="9" t="s">
        <v>2922</v>
      </c>
      <c r="G449" s="9" t="s">
        <v>2923</v>
      </c>
      <c r="H449" s="3">
        <f t="shared" si="19"/>
        <v>1663.8750000000002</v>
      </c>
      <c r="I449" s="3">
        <f t="shared" si="20"/>
        <v>266.22000000000003</v>
      </c>
    </row>
    <row r="450" spans="1:10">
      <c r="A450" s="174" t="s">
        <v>7099</v>
      </c>
      <c r="B450">
        <v>85</v>
      </c>
      <c r="F450" s="64" t="s">
        <v>806</v>
      </c>
      <c r="G450" s="9" t="s">
        <v>207</v>
      </c>
      <c r="H450" s="3">
        <f t="shared" si="19"/>
        <v>10066</v>
      </c>
      <c r="I450" s="3">
        <f t="shared" si="20"/>
        <v>1610.56</v>
      </c>
    </row>
    <row r="451" spans="1:10">
      <c r="A451" s="174" t="s">
        <v>7099</v>
      </c>
      <c r="B451">
        <v>85</v>
      </c>
      <c r="F451" s="9" t="s">
        <v>1618</v>
      </c>
      <c r="G451" s="9" t="s">
        <v>1487</v>
      </c>
      <c r="H451" s="3">
        <f t="shared" si="19"/>
        <v>300</v>
      </c>
      <c r="I451" s="3">
        <f t="shared" si="20"/>
        <v>48</v>
      </c>
    </row>
    <row r="452" spans="1:10">
      <c r="A452" s="174" t="s">
        <v>7099</v>
      </c>
      <c r="B452">
        <v>85</v>
      </c>
      <c r="F452" s="9" t="s">
        <v>754</v>
      </c>
      <c r="G452" s="9" t="s">
        <v>472</v>
      </c>
      <c r="H452" s="3">
        <f t="shared" si="19"/>
        <v>1350</v>
      </c>
      <c r="I452" s="3">
        <f t="shared" si="20"/>
        <v>216</v>
      </c>
    </row>
    <row r="453" spans="1:10">
      <c r="A453" s="174" t="s">
        <v>7099</v>
      </c>
      <c r="B453">
        <v>6</v>
      </c>
      <c r="F453" s="18" t="s">
        <v>816</v>
      </c>
      <c r="G453" s="19" t="s">
        <v>5</v>
      </c>
      <c r="H453" s="3">
        <f t="shared" si="19"/>
        <v>107142.875</v>
      </c>
      <c r="I453" s="3">
        <f t="shared" si="20"/>
        <v>17142.86</v>
      </c>
      <c r="J453">
        <v>11428.58</v>
      </c>
    </row>
    <row r="454" spans="1:10">
      <c r="A454" s="174" t="s">
        <v>7099</v>
      </c>
      <c r="B454">
        <v>85</v>
      </c>
      <c r="F454" s="9" t="s">
        <v>2856</v>
      </c>
      <c r="G454" s="9" t="s">
        <v>2827</v>
      </c>
      <c r="H454" s="3">
        <f t="shared" si="19"/>
        <v>8997.25</v>
      </c>
      <c r="I454" s="3">
        <f t="shared" si="20"/>
        <v>1439.56</v>
      </c>
    </row>
    <row r="455" spans="1:10">
      <c r="A455" s="174" t="s">
        <v>7099</v>
      </c>
      <c r="B455">
        <v>85</v>
      </c>
      <c r="F455" s="9" t="s">
        <v>1674</v>
      </c>
      <c r="G455" s="9" t="s">
        <v>1675</v>
      </c>
      <c r="H455" s="3">
        <f t="shared" si="19"/>
        <v>258.5625</v>
      </c>
      <c r="I455" s="3">
        <f t="shared" si="20"/>
        <v>41.37</v>
      </c>
    </row>
    <row r="456" spans="1:10">
      <c r="A456" s="174" t="s">
        <v>7099</v>
      </c>
      <c r="B456">
        <v>85</v>
      </c>
      <c r="F456" s="9" t="s">
        <v>738</v>
      </c>
      <c r="G456" s="9" t="s">
        <v>517</v>
      </c>
      <c r="H456" s="3">
        <f t="shared" si="19"/>
        <v>135.6875</v>
      </c>
      <c r="I456" s="3">
        <f t="shared" si="20"/>
        <v>21.71</v>
      </c>
    </row>
    <row r="457" spans="1:10">
      <c r="A457" s="174" t="s">
        <v>7099</v>
      </c>
      <c r="B457">
        <v>85</v>
      </c>
      <c r="F457" s="20" t="s">
        <v>952</v>
      </c>
      <c r="G457" s="9" t="s">
        <v>115</v>
      </c>
      <c r="H457" s="3">
        <f t="shared" si="19"/>
        <v>599</v>
      </c>
      <c r="I457" s="3">
        <f t="shared" si="20"/>
        <v>95.84</v>
      </c>
    </row>
    <row r="458" spans="1:10">
      <c r="A458" s="174" t="s">
        <v>7099</v>
      </c>
      <c r="B458">
        <v>85</v>
      </c>
      <c r="F458" s="36" t="s">
        <v>2305</v>
      </c>
      <c r="G458" s="9" t="s">
        <v>2157</v>
      </c>
      <c r="H458" s="3">
        <f t="shared" si="19"/>
        <v>1720</v>
      </c>
      <c r="I458" s="3">
        <f t="shared" si="20"/>
        <v>275.2</v>
      </c>
    </row>
    <row r="459" spans="1:10">
      <c r="A459" s="174" t="s">
        <v>7099</v>
      </c>
      <c r="B459">
        <v>85</v>
      </c>
      <c r="F459" s="9" t="s">
        <v>836</v>
      </c>
      <c r="G459" s="9" t="s">
        <v>2612</v>
      </c>
      <c r="H459" s="3">
        <f t="shared" si="19"/>
        <v>43.5</v>
      </c>
      <c r="I459" s="3">
        <f t="shared" si="20"/>
        <v>6.96</v>
      </c>
    </row>
    <row r="460" spans="1:10">
      <c r="A460" s="174" t="s">
        <v>7099</v>
      </c>
      <c r="B460">
        <v>85</v>
      </c>
      <c r="F460" s="64" t="s">
        <v>820</v>
      </c>
      <c r="G460" s="9" t="s">
        <v>97</v>
      </c>
      <c r="H460" s="3">
        <f t="shared" si="19"/>
        <v>6576.8125</v>
      </c>
      <c r="I460" s="3">
        <f t="shared" si="20"/>
        <v>1052.29</v>
      </c>
    </row>
    <row r="461" spans="1:10">
      <c r="A461" s="174" t="s">
        <v>7099</v>
      </c>
      <c r="B461">
        <v>85</v>
      </c>
      <c r="F461" s="9" t="s">
        <v>1615</v>
      </c>
      <c r="G461" s="9" t="s">
        <v>1449</v>
      </c>
      <c r="H461" s="3">
        <f t="shared" si="19"/>
        <v>219.5625</v>
      </c>
      <c r="I461" s="3">
        <f t="shared" si="20"/>
        <v>35.130000000000003</v>
      </c>
    </row>
    <row r="462" spans="1:10">
      <c r="A462" s="174" t="s">
        <v>7099</v>
      </c>
      <c r="B462">
        <v>85</v>
      </c>
      <c r="F462" s="9" t="s">
        <v>818</v>
      </c>
      <c r="G462" s="9" t="s">
        <v>584</v>
      </c>
      <c r="H462" s="3">
        <f t="shared" si="19"/>
        <v>685</v>
      </c>
      <c r="I462" s="3">
        <f t="shared" si="20"/>
        <v>109.6</v>
      </c>
    </row>
    <row r="463" spans="1:10">
      <c r="A463" s="174" t="s">
        <v>7099</v>
      </c>
      <c r="B463">
        <v>85</v>
      </c>
      <c r="F463" s="64" t="s">
        <v>733</v>
      </c>
      <c r="G463" s="9" t="s">
        <v>124</v>
      </c>
      <c r="H463" s="3">
        <f t="shared" si="19"/>
        <v>6614.6874999999991</v>
      </c>
      <c r="I463" s="3">
        <f t="shared" si="20"/>
        <v>1058.3499999999999</v>
      </c>
    </row>
    <row r="464" spans="1:10">
      <c r="A464" s="174" t="s">
        <v>7099</v>
      </c>
      <c r="B464">
        <v>85</v>
      </c>
      <c r="F464" s="9" t="s">
        <v>2859</v>
      </c>
      <c r="G464" s="9" t="s">
        <v>2587</v>
      </c>
      <c r="H464" s="3">
        <f t="shared" si="19"/>
        <v>160.375</v>
      </c>
      <c r="I464" s="3">
        <f t="shared" si="20"/>
        <v>25.66</v>
      </c>
    </row>
    <row r="465" spans="1:10">
      <c r="A465" s="174" t="s">
        <v>7099</v>
      </c>
      <c r="B465">
        <v>85</v>
      </c>
      <c r="F465" s="9" t="s">
        <v>2888</v>
      </c>
      <c r="G465" s="9" t="s">
        <v>2889</v>
      </c>
      <c r="H465" s="3">
        <f t="shared" si="19"/>
        <v>107.8125</v>
      </c>
      <c r="I465" s="3">
        <f t="shared" si="20"/>
        <v>17.25</v>
      </c>
    </row>
    <row r="466" spans="1:10">
      <c r="A466" s="174" t="s">
        <v>7099</v>
      </c>
      <c r="B466">
        <v>85</v>
      </c>
      <c r="F466" s="12" t="s">
        <v>1619</v>
      </c>
      <c r="G466" s="9" t="s">
        <v>1013</v>
      </c>
      <c r="H466" s="3">
        <f t="shared" si="19"/>
        <v>3500</v>
      </c>
      <c r="I466" s="3">
        <f t="shared" si="20"/>
        <v>560</v>
      </c>
    </row>
    <row r="467" spans="1:10">
      <c r="A467" s="174" t="s">
        <v>7099</v>
      </c>
      <c r="B467">
        <v>85</v>
      </c>
      <c r="F467" s="9" t="s">
        <v>2858</v>
      </c>
      <c r="G467" s="9" t="s">
        <v>2830</v>
      </c>
      <c r="H467" s="3">
        <f t="shared" si="19"/>
        <v>7279.8125</v>
      </c>
      <c r="I467" s="3">
        <f t="shared" si="20"/>
        <v>1164.77</v>
      </c>
    </row>
    <row r="468" spans="1:10">
      <c r="A468" s="174" t="s">
        <v>7099</v>
      </c>
      <c r="B468">
        <v>6</v>
      </c>
      <c r="F468" s="18" t="s">
        <v>843</v>
      </c>
      <c r="G468" s="19" t="s">
        <v>844</v>
      </c>
      <c r="H468" s="3">
        <f t="shared" si="19"/>
        <v>107142.81249999999</v>
      </c>
      <c r="I468" s="3">
        <f t="shared" si="20"/>
        <v>17142.849999999999</v>
      </c>
      <c r="J468">
        <v>11428.57</v>
      </c>
    </row>
    <row r="469" spans="1:10">
      <c r="A469" s="174" t="s">
        <v>7099</v>
      </c>
      <c r="B469">
        <v>85</v>
      </c>
      <c r="F469" s="13" t="s">
        <v>2924</v>
      </c>
      <c r="G469" s="13" t="s">
        <v>2925</v>
      </c>
      <c r="H469" s="3">
        <f t="shared" si="19"/>
        <v>107.74999999999999</v>
      </c>
      <c r="I469" s="3">
        <f t="shared" si="20"/>
        <v>17.239999999999998</v>
      </c>
    </row>
    <row r="470" spans="1:10">
      <c r="A470" s="174" t="s">
        <v>7099</v>
      </c>
      <c r="B470">
        <v>85</v>
      </c>
      <c r="F470" s="9" t="s">
        <v>2908</v>
      </c>
      <c r="G470" s="9" t="s">
        <v>2909</v>
      </c>
      <c r="H470" s="3">
        <f t="shared" si="19"/>
        <v>370.68749999999994</v>
      </c>
      <c r="I470" s="3">
        <f t="shared" si="20"/>
        <v>59.309999999999995</v>
      </c>
    </row>
    <row r="471" spans="1:10">
      <c r="A471" s="174" t="s">
        <v>7099</v>
      </c>
      <c r="B471">
        <v>85</v>
      </c>
      <c r="F471" s="9" t="s">
        <v>845</v>
      </c>
      <c r="G471" s="9" t="s">
        <v>311</v>
      </c>
      <c r="H471" s="3">
        <f t="shared" si="19"/>
        <v>7014.0625</v>
      </c>
      <c r="I471" s="3">
        <f t="shared" si="20"/>
        <v>1122.25</v>
      </c>
    </row>
    <row r="472" spans="1:10">
      <c r="A472" s="174" t="s">
        <v>7099</v>
      </c>
      <c r="B472">
        <v>85</v>
      </c>
      <c r="F472" s="9" t="s">
        <v>847</v>
      </c>
      <c r="G472" s="9" t="s">
        <v>2875</v>
      </c>
      <c r="H472" s="3">
        <f t="shared" si="19"/>
        <v>787.12500000000011</v>
      </c>
      <c r="I472" s="3">
        <f t="shared" si="20"/>
        <v>125.94000000000001</v>
      </c>
    </row>
    <row r="473" spans="1:10">
      <c r="A473" s="174" t="s">
        <v>7099</v>
      </c>
      <c r="B473">
        <v>85</v>
      </c>
      <c r="F473" s="64" t="s">
        <v>851</v>
      </c>
      <c r="G473" s="9" t="s">
        <v>86</v>
      </c>
      <c r="H473" s="3">
        <f t="shared" si="19"/>
        <v>6819.1874999999991</v>
      </c>
      <c r="I473" s="3">
        <f t="shared" si="20"/>
        <v>1091.07</v>
      </c>
    </row>
    <row r="474" spans="1:10">
      <c r="A474" s="174" t="s">
        <v>7099</v>
      </c>
      <c r="B474">
        <v>85</v>
      </c>
      <c r="F474" s="9" t="s">
        <v>1717</v>
      </c>
      <c r="G474" s="9" t="s">
        <v>2915</v>
      </c>
      <c r="H474" s="3">
        <f t="shared" si="19"/>
        <v>11631.0625</v>
      </c>
      <c r="I474" s="3">
        <f t="shared" si="20"/>
        <v>1860.97</v>
      </c>
    </row>
    <row r="475" spans="1:10">
      <c r="A475" s="174" t="s">
        <v>7099</v>
      </c>
      <c r="B475">
        <v>85</v>
      </c>
      <c r="F475" s="9" t="s">
        <v>2903</v>
      </c>
      <c r="G475" s="9" t="s">
        <v>2904</v>
      </c>
      <c r="H475" s="3">
        <f t="shared" si="19"/>
        <v>525.6875</v>
      </c>
      <c r="I475" s="3">
        <f t="shared" si="20"/>
        <v>84.11</v>
      </c>
    </row>
    <row r="476" spans="1:10">
      <c r="A476" s="174" t="s">
        <v>7099</v>
      </c>
      <c r="B476">
        <v>85</v>
      </c>
      <c r="F476" s="9" t="s">
        <v>2873</v>
      </c>
      <c r="G476" s="9" t="s">
        <v>2874</v>
      </c>
      <c r="H476" s="3">
        <f t="shared" si="19"/>
        <v>83.4375</v>
      </c>
      <c r="I476" s="3">
        <f t="shared" si="20"/>
        <v>13.35</v>
      </c>
    </row>
    <row r="477" spans="1:10">
      <c r="A477" s="174" t="s">
        <v>7099</v>
      </c>
      <c r="B477">
        <v>85</v>
      </c>
      <c r="F477" s="9" t="s">
        <v>925</v>
      </c>
      <c r="G477" s="9" t="s">
        <v>926</v>
      </c>
      <c r="H477" s="3">
        <f t="shared" si="19"/>
        <v>375.5</v>
      </c>
      <c r="I477" s="3">
        <f t="shared" si="20"/>
        <v>60.08</v>
      </c>
    </row>
    <row r="478" spans="1:10">
      <c r="A478" s="174" t="s">
        <v>7099</v>
      </c>
      <c r="B478">
        <v>85</v>
      </c>
      <c r="F478" s="9" t="s">
        <v>849</v>
      </c>
      <c r="G478" s="9" t="s">
        <v>127</v>
      </c>
      <c r="H478" s="3">
        <f t="shared" si="19"/>
        <v>7900</v>
      </c>
      <c r="I478" s="3">
        <f t="shared" si="20"/>
        <v>1264</v>
      </c>
    </row>
    <row r="479" spans="1:10">
      <c r="A479" s="174" t="s">
        <v>7099</v>
      </c>
      <c r="B479">
        <v>85</v>
      </c>
      <c r="F479" s="9" t="s">
        <v>850</v>
      </c>
      <c r="G479" s="9" t="s">
        <v>89</v>
      </c>
      <c r="H479" s="3">
        <f t="shared" si="19"/>
        <v>35615</v>
      </c>
      <c r="I479" s="3">
        <f t="shared" si="20"/>
        <v>5698.4</v>
      </c>
    </row>
    <row r="480" spans="1:10">
      <c r="A480" s="174" t="s">
        <v>7099</v>
      </c>
      <c r="B480">
        <v>85</v>
      </c>
      <c r="F480" s="9" t="s">
        <v>929</v>
      </c>
      <c r="G480" s="9" t="s">
        <v>930</v>
      </c>
      <c r="H480" s="3">
        <f t="shared" si="19"/>
        <v>83.4375</v>
      </c>
      <c r="I480" s="3">
        <f t="shared" si="20"/>
        <v>13.35</v>
      </c>
    </row>
    <row r="481" spans="1:9">
      <c r="A481" s="174" t="s">
        <v>7099</v>
      </c>
      <c r="B481">
        <v>85</v>
      </c>
      <c r="F481" s="28" t="s">
        <v>2882</v>
      </c>
      <c r="G481" s="28" t="s">
        <v>2883</v>
      </c>
      <c r="H481" s="3">
        <f t="shared" si="19"/>
        <v>464.625</v>
      </c>
      <c r="I481" s="3">
        <f t="shared" si="20"/>
        <v>74.34</v>
      </c>
    </row>
    <row r="482" spans="1:9">
      <c r="A482" s="174" t="s">
        <v>7099</v>
      </c>
      <c r="B482">
        <v>85</v>
      </c>
      <c r="F482" s="9" t="s">
        <v>2861</v>
      </c>
      <c r="G482" s="9" t="s">
        <v>2750</v>
      </c>
      <c r="H482" s="3">
        <f t="shared" si="19"/>
        <v>8750</v>
      </c>
      <c r="I482" s="3">
        <f t="shared" si="20"/>
        <v>1400</v>
      </c>
    </row>
    <row r="483" spans="1:9">
      <c r="A483" s="174" t="s">
        <v>7099</v>
      </c>
      <c r="B483">
        <v>85</v>
      </c>
      <c r="F483" s="9" t="s">
        <v>858</v>
      </c>
      <c r="G483" s="9" t="s">
        <v>121</v>
      </c>
      <c r="H483" s="3">
        <f t="shared" si="19"/>
        <v>4023.0000000000005</v>
      </c>
      <c r="I483" s="3">
        <f t="shared" si="20"/>
        <v>643.68000000000006</v>
      </c>
    </row>
    <row r="484" spans="1:9">
      <c r="A484" s="174" t="s">
        <v>7099</v>
      </c>
      <c r="B484">
        <v>85</v>
      </c>
      <c r="F484" s="9" t="s">
        <v>2860</v>
      </c>
      <c r="G484" s="9" t="s">
        <v>2692</v>
      </c>
      <c r="H484" s="3">
        <f t="shared" si="19"/>
        <v>650</v>
      </c>
      <c r="I484" s="3">
        <f t="shared" si="20"/>
        <v>104</v>
      </c>
    </row>
    <row r="485" spans="1:9">
      <c r="A485" s="174" t="s">
        <v>7099</v>
      </c>
      <c r="B485">
        <v>85</v>
      </c>
      <c r="F485" s="17" t="s">
        <v>862</v>
      </c>
      <c r="G485" s="9" t="s">
        <v>402</v>
      </c>
      <c r="H485" s="3">
        <f t="shared" si="19"/>
        <v>466715.87499999994</v>
      </c>
      <c r="I485" s="3">
        <f t="shared" si="20"/>
        <v>74674.539999999994</v>
      </c>
    </row>
    <row r="486" spans="1:9">
      <c r="A486" s="174" t="s">
        <v>7099</v>
      </c>
      <c r="B486">
        <v>85</v>
      </c>
      <c r="F486" s="9" t="s">
        <v>2862</v>
      </c>
      <c r="G486" s="9" t="s">
        <v>2600</v>
      </c>
      <c r="H486" s="3">
        <f t="shared" si="19"/>
        <v>154.3125</v>
      </c>
      <c r="I486" s="3">
        <f t="shared" si="20"/>
        <v>24.69</v>
      </c>
    </row>
    <row r="487" spans="1:9">
      <c r="A487" s="174" t="s">
        <v>7099</v>
      </c>
      <c r="B487">
        <v>85</v>
      </c>
      <c r="F487" s="9" t="s">
        <v>859</v>
      </c>
      <c r="G487" s="9" t="s">
        <v>174</v>
      </c>
      <c r="H487" s="3">
        <f t="shared" si="19"/>
        <v>1621.2499999999998</v>
      </c>
      <c r="I487" s="3">
        <f t="shared" si="20"/>
        <v>259.39999999999998</v>
      </c>
    </row>
    <row r="488" spans="1:9">
      <c r="A488" s="174" t="s">
        <v>7099</v>
      </c>
      <c r="B488">
        <v>85</v>
      </c>
      <c r="F488" s="28" t="s">
        <v>923</v>
      </c>
      <c r="G488" s="28" t="s">
        <v>1657</v>
      </c>
      <c r="H488" s="3">
        <f t="shared" si="19"/>
        <v>83.4375</v>
      </c>
      <c r="I488" s="3">
        <f t="shared" si="20"/>
        <v>13.35</v>
      </c>
    </row>
    <row r="489" spans="1:9">
      <c r="A489" s="174" t="s">
        <v>7099</v>
      </c>
      <c r="B489">
        <v>85</v>
      </c>
      <c r="F489" s="9" t="s">
        <v>2916</v>
      </c>
      <c r="G489" s="9" t="s">
        <v>2917</v>
      </c>
      <c r="H489" s="3">
        <f t="shared" si="19"/>
        <v>68.9375</v>
      </c>
      <c r="I489" s="3">
        <f t="shared" si="20"/>
        <v>11.03</v>
      </c>
    </row>
    <row r="490" spans="1:9">
      <c r="A490" s="174" t="s">
        <v>7099</v>
      </c>
      <c r="B490">
        <v>85</v>
      </c>
      <c r="F490" s="9" t="s">
        <v>2867</v>
      </c>
      <c r="G490" s="9" t="s">
        <v>2868</v>
      </c>
      <c r="H490" s="3">
        <f t="shared" si="19"/>
        <v>1670.6875</v>
      </c>
      <c r="I490" s="3">
        <f t="shared" si="20"/>
        <v>267.31</v>
      </c>
    </row>
    <row r="491" spans="1:9">
      <c r="A491" s="174" t="s">
        <v>7099</v>
      </c>
      <c r="B491">
        <v>85</v>
      </c>
      <c r="F491" s="9" t="s">
        <v>2311</v>
      </c>
      <c r="G491" s="9" t="s">
        <v>2093</v>
      </c>
      <c r="H491" s="3">
        <f t="shared" si="19"/>
        <v>915.49999999999989</v>
      </c>
      <c r="I491" s="3">
        <f t="shared" si="20"/>
        <v>146.47999999999999</v>
      </c>
    </row>
    <row r="492" spans="1:9">
      <c r="A492" s="174" t="s">
        <v>7099</v>
      </c>
      <c r="B492">
        <v>85</v>
      </c>
      <c r="F492" t="s">
        <v>921</v>
      </c>
      <c r="G492" t="s">
        <v>922</v>
      </c>
      <c r="H492" s="3">
        <f t="shared" si="19"/>
        <v>41717.125</v>
      </c>
      <c r="I492" s="3">
        <f t="shared" si="20"/>
        <v>6674.7400000000007</v>
      </c>
    </row>
    <row r="493" spans="1:9">
      <c r="A493" s="174" t="s">
        <v>7099</v>
      </c>
      <c r="B493">
        <v>85</v>
      </c>
      <c r="F493" s="9" t="s">
        <v>2312</v>
      </c>
      <c r="G493" s="9" t="s">
        <v>2687</v>
      </c>
      <c r="H493" s="3">
        <f t="shared" si="19"/>
        <v>746.5625</v>
      </c>
      <c r="I493" s="3">
        <f t="shared" si="20"/>
        <v>119.45</v>
      </c>
    </row>
    <row r="494" spans="1:9">
      <c r="A494" s="174" t="s">
        <v>7099</v>
      </c>
      <c r="B494">
        <v>85</v>
      </c>
      <c r="F494" s="9" t="s">
        <v>869</v>
      </c>
      <c r="G494" s="9" t="s">
        <v>1455</v>
      </c>
      <c r="H494" s="3">
        <f t="shared" si="19"/>
        <v>4233.75</v>
      </c>
      <c r="I494" s="3">
        <f t="shared" si="20"/>
        <v>677.4</v>
      </c>
    </row>
    <row r="495" spans="1:9">
      <c r="A495" s="174" t="s">
        <v>7099</v>
      </c>
      <c r="B495">
        <v>85</v>
      </c>
      <c r="F495" s="9" t="s">
        <v>868</v>
      </c>
      <c r="G495" s="9" t="s">
        <v>94</v>
      </c>
      <c r="H495" s="3">
        <f t="shared" si="19"/>
        <v>34117.25</v>
      </c>
      <c r="I495" s="3">
        <f t="shared" si="20"/>
        <v>5458.76</v>
      </c>
    </row>
    <row r="496" spans="1:9">
      <c r="A496" s="174" t="s">
        <v>7099</v>
      </c>
      <c r="B496">
        <v>85</v>
      </c>
      <c r="F496" s="9" t="s">
        <v>2918</v>
      </c>
      <c r="G496" s="9" t="s">
        <v>2919</v>
      </c>
      <c r="H496" s="3">
        <f t="shared" si="19"/>
        <v>658.625</v>
      </c>
      <c r="I496" s="3">
        <f t="shared" si="20"/>
        <v>105.38</v>
      </c>
    </row>
    <row r="497" spans="1:9">
      <c r="A497" s="174" t="s">
        <v>7099</v>
      </c>
      <c r="B497">
        <v>85</v>
      </c>
      <c r="F497" s="64" t="s">
        <v>2864</v>
      </c>
      <c r="G497" s="9" t="s">
        <v>2801</v>
      </c>
      <c r="H497" s="3">
        <f t="shared" si="19"/>
        <v>2974.125</v>
      </c>
      <c r="I497" s="3">
        <f t="shared" si="20"/>
        <v>475.86</v>
      </c>
    </row>
    <row r="498" spans="1:9">
      <c r="A498" s="174" t="s">
        <v>7099</v>
      </c>
      <c r="B498">
        <v>85</v>
      </c>
      <c r="F498" s="22" t="s">
        <v>2863</v>
      </c>
      <c r="G498" s="9" t="s">
        <v>2610</v>
      </c>
      <c r="H498" s="3">
        <f t="shared" si="19"/>
        <v>200</v>
      </c>
      <c r="I498" s="3">
        <f t="shared" si="20"/>
        <v>32</v>
      </c>
    </row>
    <row r="499" spans="1:9">
      <c r="A499" s="174" t="s">
        <v>7099</v>
      </c>
      <c r="B499">
        <v>85</v>
      </c>
      <c r="F499" s="9" t="s">
        <v>2910</v>
      </c>
      <c r="G499" s="9" t="s">
        <v>2911</v>
      </c>
      <c r="H499" s="3">
        <f t="shared" si="19"/>
        <v>331.87499999999994</v>
      </c>
      <c r="I499" s="3">
        <f t="shared" si="20"/>
        <v>53.099999999999994</v>
      </c>
    </row>
    <row r="500" spans="1:9">
      <c r="A500" s="174" t="s">
        <v>7099</v>
      </c>
      <c r="B500">
        <v>85</v>
      </c>
      <c r="F500" s="9" t="s">
        <v>2871</v>
      </c>
      <c r="G500" s="9" t="s">
        <v>2872</v>
      </c>
      <c r="H500" s="3">
        <f t="shared" si="19"/>
        <v>68</v>
      </c>
      <c r="I500" s="3">
        <f t="shared" si="20"/>
        <v>10.88</v>
      </c>
    </row>
    <row r="501" spans="1:9">
      <c r="A501" s="174" t="s">
        <v>7099</v>
      </c>
      <c r="B501">
        <v>85</v>
      </c>
      <c r="F501" s="9" t="s">
        <v>1628</v>
      </c>
      <c r="G501" s="9" t="s">
        <v>2745</v>
      </c>
      <c r="H501" s="3">
        <f t="shared" si="19"/>
        <v>1582</v>
      </c>
      <c r="I501" s="3">
        <f t="shared" si="20"/>
        <v>253.12</v>
      </c>
    </row>
    <row r="502" spans="1:9">
      <c r="A502" s="174" t="s">
        <v>7099</v>
      </c>
      <c r="B502">
        <v>85</v>
      </c>
      <c r="F502" s="28" t="s">
        <v>943</v>
      </c>
      <c r="G502" s="28" t="s">
        <v>71</v>
      </c>
      <c r="H502" s="3">
        <f t="shared" si="19"/>
        <v>341.1875</v>
      </c>
      <c r="I502" s="3">
        <f t="shared" si="20"/>
        <v>54.59</v>
      </c>
    </row>
    <row r="503" spans="1:9">
      <c r="A503" s="174" t="s">
        <v>7099</v>
      </c>
      <c r="B503">
        <v>85</v>
      </c>
      <c r="F503" t="s">
        <v>1684</v>
      </c>
      <c r="G503" t="s">
        <v>1685</v>
      </c>
      <c r="H503" s="3">
        <f t="shared" si="19"/>
        <v>333.6875</v>
      </c>
      <c r="I503" s="3">
        <f t="shared" si="20"/>
        <v>53.39</v>
      </c>
    </row>
    <row r="504" spans="1:9">
      <c r="A504" s="174" t="s">
        <v>7099</v>
      </c>
      <c r="B504">
        <v>85</v>
      </c>
      <c r="F504" t="s">
        <v>2899</v>
      </c>
      <c r="G504" t="s">
        <v>2900</v>
      </c>
      <c r="H504" s="3">
        <f t="shared" si="19"/>
        <v>516.375</v>
      </c>
      <c r="I504" s="3">
        <f t="shared" si="20"/>
        <v>82.62</v>
      </c>
    </row>
    <row r="505" spans="1:9">
      <c r="A505" s="174" t="s">
        <v>7099</v>
      </c>
      <c r="B505">
        <v>85</v>
      </c>
      <c r="F505" s="28" t="s">
        <v>2880</v>
      </c>
      <c r="G505" s="28" t="s">
        <v>2881</v>
      </c>
      <c r="H505" s="3">
        <f t="shared" si="19"/>
        <v>517.1875</v>
      </c>
      <c r="I505" s="3">
        <f t="shared" si="20"/>
        <v>82.75</v>
      </c>
    </row>
    <row r="506" spans="1:9">
      <c r="A506" s="174" t="s">
        <v>7099</v>
      </c>
      <c r="B506">
        <v>85</v>
      </c>
      <c r="F506" t="s">
        <v>2890</v>
      </c>
      <c r="G506" t="s">
        <v>2891</v>
      </c>
      <c r="H506" s="3">
        <f t="shared" si="19"/>
        <v>442.43750000000006</v>
      </c>
      <c r="I506" s="3">
        <f t="shared" si="20"/>
        <v>70.790000000000006</v>
      </c>
    </row>
    <row r="507" spans="1:9">
      <c r="A507" s="174" t="s">
        <v>7099</v>
      </c>
      <c r="B507">
        <v>85</v>
      </c>
      <c r="F507" s="9" t="s">
        <v>878</v>
      </c>
      <c r="G507" s="9" t="s">
        <v>319</v>
      </c>
      <c r="H507" s="3">
        <f t="shared" si="19"/>
        <v>42100.5</v>
      </c>
      <c r="I507" s="3">
        <f t="shared" si="20"/>
        <v>6736.08</v>
      </c>
    </row>
    <row r="508" spans="1:9">
      <c r="A508" s="174" t="s">
        <v>7099</v>
      </c>
      <c r="B508">
        <v>85</v>
      </c>
      <c r="F508" s="70" t="s">
        <v>877</v>
      </c>
      <c r="G508" s="28" t="s">
        <v>223</v>
      </c>
      <c r="H508" s="3">
        <f t="shared" si="19"/>
        <v>74815.874999999985</v>
      </c>
      <c r="I508" s="3">
        <f t="shared" si="20"/>
        <v>11970.539999999999</v>
      </c>
    </row>
    <row r="509" spans="1:9">
      <c r="A509" s="174" t="s">
        <v>7099</v>
      </c>
      <c r="B509">
        <v>85</v>
      </c>
      <c r="F509" s="28" t="s">
        <v>913</v>
      </c>
      <c r="G509" s="28" t="s">
        <v>914</v>
      </c>
      <c r="H509" s="3">
        <f t="shared" si="19"/>
        <v>2888.9375</v>
      </c>
      <c r="I509" s="3">
        <f t="shared" si="20"/>
        <v>462.23</v>
      </c>
    </row>
    <row r="510" spans="1:9">
      <c r="A510" s="174" t="s">
        <v>7099</v>
      </c>
      <c r="B510">
        <v>85</v>
      </c>
      <c r="F510" s="28" t="s">
        <v>1664</v>
      </c>
      <c r="G510" s="28" t="s">
        <v>1665</v>
      </c>
      <c r="H510" s="3">
        <f t="shared" si="19"/>
        <v>166.8125</v>
      </c>
      <c r="I510" s="3">
        <f t="shared" si="20"/>
        <v>26.69</v>
      </c>
    </row>
    <row r="511" spans="1:9">
      <c r="A511" s="174" t="s">
        <v>7099</v>
      </c>
      <c r="B511">
        <v>85</v>
      </c>
      <c r="F511" s="25" t="s">
        <v>873</v>
      </c>
      <c r="G511" s="26" t="s">
        <v>874</v>
      </c>
      <c r="H511" s="3">
        <f t="shared" si="19"/>
        <v>357115.5625</v>
      </c>
      <c r="I511" s="3">
        <f t="shared" si="20"/>
        <v>57138.49</v>
      </c>
    </row>
    <row r="512" spans="1:9">
      <c r="A512" s="174" t="s">
        <v>7099</v>
      </c>
      <c r="B512">
        <v>85</v>
      </c>
      <c r="F512" s="9" t="s">
        <v>884</v>
      </c>
      <c r="G512" s="9" t="s">
        <v>535</v>
      </c>
      <c r="H512" s="3">
        <f t="shared" ref="H512:H525" si="21">+I512/0.16</f>
        <v>1379.3125</v>
      </c>
      <c r="I512" s="3">
        <f t="shared" ref="I512:I524" si="22">+SUMIF($F$11:$F$374,F512,$I$11:$I$374)</f>
        <v>220.69</v>
      </c>
    </row>
    <row r="513" spans="1:11">
      <c r="A513" s="174" t="s">
        <v>7099</v>
      </c>
      <c r="B513">
        <v>85</v>
      </c>
      <c r="F513" s="43" t="s">
        <v>876</v>
      </c>
      <c r="G513" t="s">
        <v>306</v>
      </c>
      <c r="H513" s="3">
        <f t="shared" si="21"/>
        <v>32004.312499999996</v>
      </c>
      <c r="I513" s="3">
        <f t="shared" si="22"/>
        <v>5120.6899999999996</v>
      </c>
    </row>
    <row r="514" spans="1:11">
      <c r="A514" s="174" t="s">
        <v>7099</v>
      </c>
      <c r="B514">
        <v>85</v>
      </c>
      <c r="F514" s="9" t="s">
        <v>2876</v>
      </c>
      <c r="G514" s="9" t="s">
        <v>2877</v>
      </c>
      <c r="H514" s="3">
        <f t="shared" si="21"/>
        <v>292.0625</v>
      </c>
      <c r="I514" s="3">
        <f t="shared" si="22"/>
        <v>46.73</v>
      </c>
    </row>
    <row r="515" spans="1:11">
      <c r="A515" s="174" t="s">
        <v>7099</v>
      </c>
      <c r="B515">
        <v>85</v>
      </c>
      <c r="F515" s="28" t="s">
        <v>2343</v>
      </c>
      <c r="G515" s="28" t="s">
        <v>2344</v>
      </c>
      <c r="H515" s="3">
        <f t="shared" si="21"/>
        <v>1174.1875</v>
      </c>
      <c r="I515" s="3">
        <f t="shared" si="22"/>
        <v>187.87</v>
      </c>
    </row>
    <row r="516" spans="1:11">
      <c r="A516" s="174" t="s">
        <v>7099</v>
      </c>
      <c r="B516">
        <v>85</v>
      </c>
      <c r="F516" s="28" t="s">
        <v>2886</v>
      </c>
      <c r="G516" s="28" t="s">
        <v>2887</v>
      </c>
      <c r="H516" s="3">
        <f t="shared" si="21"/>
        <v>706.25</v>
      </c>
      <c r="I516" s="3">
        <f t="shared" si="22"/>
        <v>113</v>
      </c>
    </row>
    <row r="517" spans="1:11">
      <c r="A517" s="174" t="s">
        <v>7099</v>
      </c>
      <c r="B517">
        <v>85</v>
      </c>
      <c r="F517" s="28" t="s">
        <v>2884</v>
      </c>
      <c r="G517" s="28" t="s">
        <v>2885</v>
      </c>
      <c r="H517" s="3">
        <f t="shared" si="21"/>
        <v>630</v>
      </c>
      <c r="I517" s="3">
        <f t="shared" si="22"/>
        <v>100.8</v>
      </c>
    </row>
    <row r="518" spans="1:11">
      <c r="A518" s="174" t="s">
        <v>7099</v>
      </c>
      <c r="B518">
        <v>85</v>
      </c>
      <c r="F518" s="67" t="s">
        <v>829</v>
      </c>
      <c r="G518" s="68" t="s">
        <v>6</v>
      </c>
      <c r="H518" s="3">
        <f t="shared" si="21"/>
        <v>824094.87499999988</v>
      </c>
      <c r="I518" s="3">
        <f t="shared" si="22"/>
        <v>131855.18</v>
      </c>
    </row>
    <row r="519" spans="1:11">
      <c r="A519" s="174" t="s">
        <v>7099</v>
      </c>
      <c r="B519">
        <v>85</v>
      </c>
      <c r="F519" s="64" t="s">
        <v>1632</v>
      </c>
      <c r="G519" s="9" t="s">
        <v>968</v>
      </c>
      <c r="H519" s="3">
        <f t="shared" si="21"/>
        <v>20188.437499999996</v>
      </c>
      <c r="I519" s="3">
        <f t="shared" si="22"/>
        <v>3230.1499999999996</v>
      </c>
    </row>
    <row r="520" spans="1:11">
      <c r="A520" s="174" t="s">
        <v>7099</v>
      </c>
      <c r="B520">
        <v>85</v>
      </c>
      <c r="F520" s="30" t="s">
        <v>886</v>
      </c>
      <c r="G520" s="31" t="s">
        <v>887</v>
      </c>
      <c r="H520" s="3">
        <f t="shared" si="21"/>
        <v>9924704.8749999963</v>
      </c>
      <c r="I520" s="3">
        <f t="shared" si="22"/>
        <v>1587952.7799999996</v>
      </c>
    </row>
    <row r="521" spans="1:11">
      <c r="A521" s="174" t="s">
        <v>7099</v>
      </c>
      <c r="B521">
        <v>85</v>
      </c>
      <c r="F521" s="13" t="s">
        <v>1637</v>
      </c>
      <c r="G521" s="71" t="s">
        <v>1638</v>
      </c>
      <c r="H521" s="3">
        <f t="shared" si="21"/>
        <v>233358.9375</v>
      </c>
      <c r="I521" s="3">
        <f t="shared" si="22"/>
        <v>37337.43</v>
      </c>
    </row>
    <row r="522" spans="1:11">
      <c r="A522" s="174" t="s">
        <v>7099</v>
      </c>
      <c r="B522">
        <v>85</v>
      </c>
      <c r="F522" t="s">
        <v>2927</v>
      </c>
      <c r="G522" t="s">
        <v>2928</v>
      </c>
      <c r="H522" s="3">
        <f t="shared" si="21"/>
        <v>310.375</v>
      </c>
      <c r="I522" s="3">
        <f t="shared" si="22"/>
        <v>49.66</v>
      </c>
    </row>
    <row r="523" spans="1:11">
      <c r="A523" s="174" t="s">
        <v>7099</v>
      </c>
      <c r="B523">
        <v>85</v>
      </c>
      <c r="F523" s="74" t="s">
        <v>892</v>
      </c>
      <c r="G523" t="s">
        <v>893</v>
      </c>
      <c r="H523" s="3">
        <f t="shared" si="21"/>
        <v>277751.8125</v>
      </c>
      <c r="I523" s="3">
        <f t="shared" si="22"/>
        <v>44440.29</v>
      </c>
    </row>
    <row r="524" spans="1:11">
      <c r="A524" s="174" t="s">
        <v>7099</v>
      </c>
      <c r="B524">
        <v>85</v>
      </c>
      <c r="F524" t="s">
        <v>894</v>
      </c>
      <c r="G524" t="s">
        <v>2892</v>
      </c>
      <c r="H524" s="3">
        <f t="shared" si="21"/>
        <v>300.4375</v>
      </c>
      <c r="I524" s="3">
        <f t="shared" si="22"/>
        <v>48.07</v>
      </c>
    </row>
    <row r="525" spans="1:11">
      <c r="A525" s="174" t="s">
        <v>7099</v>
      </c>
      <c r="B525">
        <v>85</v>
      </c>
      <c r="F525" t="s">
        <v>1729</v>
      </c>
      <c r="G525" t="s">
        <v>2574</v>
      </c>
      <c r="H525" s="3">
        <f t="shared" si="21"/>
        <v>604.8125</v>
      </c>
      <c r="I525" s="3">
        <f>+SUMIF($F$11:$F$374,F525,$I$11:$I$374)</f>
        <v>96.77</v>
      </c>
    </row>
    <row r="526" spans="1:11">
      <c r="H526" s="3">
        <f>SUM(H383:H525)</f>
        <v>16169436.312499996</v>
      </c>
      <c r="I526" s="3">
        <f>SUM(I383:I525)</f>
        <v>2587109.8099999996</v>
      </c>
      <c r="J526" s="3">
        <f>SUM(J383:J525)</f>
        <v>22857.15</v>
      </c>
    </row>
    <row r="527" spans="1:11">
      <c r="H527" s="14">
        <f>+H377</f>
        <v>16169436.3125</v>
      </c>
      <c r="I527" s="3">
        <f>+I377</f>
        <v>2587109.810000001</v>
      </c>
      <c r="J527" s="3">
        <f>22857.15+6.16+8.44+3.44</f>
        <v>22875.19</v>
      </c>
    </row>
    <row r="528" spans="1:11">
      <c r="I528" s="3">
        <f>+I526-I527</f>
        <v>0</v>
      </c>
      <c r="J528" s="14">
        <f>+J527-J526</f>
        <v>18.039999999997235</v>
      </c>
      <c r="K528" t="s">
        <v>7076</v>
      </c>
    </row>
  </sheetData>
  <autoFilter ref="A10:I374"/>
  <sortState ref="A11:K309">
    <sortCondition ref="E11:E309"/>
  </sortState>
  <conditionalFormatting sqref="F383:G525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L457"/>
  <sheetViews>
    <sheetView zoomScale="80" zoomScaleNormal="80" workbookViewId="0">
      <pane ySplit="10" topLeftCell="A314" activePane="bottomLeft" state="frozen"/>
      <selection pane="bottomLeft" activeCell="A314" sqref="A314:A453"/>
    </sheetView>
  </sheetViews>
  <sheetFormatPr baseColWidth="10" defaultRowHeight="15"/>
  <cols>
    <col min="1" max="1" width="7.7109375" bestFit="1" customWidth="1"/>
    <col min="2" max="2" width="10.7109375" bestFit="1" customWidth="1"/>
    <col min="4" max="4" width="2" bestFit="1" customWidth="1"/>
    <col min="5" max="5" width="39.140625" bestFit="1" customWidth="1"/>
    <col min="6" max="6" width="16.28515625" bestFit="1" customWidth="1"/>
    <col min="7" max="7" width="48.5703125" bestFit="1" customWidth="1"/>
    <col min="8" max="8" width="22.85546875" style="3" customWidth="1"/>
    <col min="9" max="9" width="14.140625" style="3" bestFit="1" customWidth="1"/>
    <col min="10" max="10" width="11.7109375" customWidth="1"/>
  </cols>
  <sheetData>
    <row r="1" spans="1:12">
      <c r="A1" t="s">
        <v>729</v>
      </c>
    </row>
    <row r="2" spans="1:12">
      <c r="A2" t="s">
        <v>3342</v>
      </c>
      <c r="B2">
        <v>2013</v>
      </c>
    </row>
    <row r="3" spans="1:12">
      <c r="A3" t="s">
        <v>731</v>
      </c>
    </row>
    <row r="10" spans="1:12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12">
      <c r="A11" t="s">
        <v>1367</v>
      </c>
      <c r="B11" s="1">
        <v>41423</v>
      </c>
      <c r="C11" t="s">
        <v>3052</v>
      </c>
      <c r="D11">
        <v>1</v>
      </c>
      <c r="E11" t="s">
        <v>3053</v>
      </c>
      <c r="F11" s="9" t="s">
        <v>736</v>
      </c>
      <c r="G11" s="9" t="s">
        <v>3053</v>
      </c>
      <c r="H11" s="3">
        <f>+I11/0.16</f>
        <v>259912.62499999997</v>
      </c>
      <c r="I11" s="3">
        <v>41586.019999999997</v>
      </c>
    </row>
    <row r="12" spans="1:12">
      <c r="A12" t="s">
        <v>422</v>
      </c>
      <c r="B12" s="1">
        <v>41425</v>
      </c>
      <c r="C12" t="s">
        <v>3147</v>
      </c>
      <c r="D12">
        <v>1</v>
      </c>
      <c r="E12" t="s">
        <v>3148</v>
      </c>
      <c r="F12" s="9" t="s">
        <v>3343</v>
      </c>
      <c r="G12" s="9" t="s">
        <v>3344</v>
      </c>
      <c r="H12" s="3">
        <f t="shared" ref="H12:H83" si="0">+I12/0.16</f>
        <v>1077.5625</v>
      </c>
      <c r="I12" s="3">
        <v>172.41</v>
      </c>
      <c r="J12" s="14" t="e">
        <f>+H12-#REF!</f>
        <v>#REF!</v>
      </c>
      <c r="K12" s="14" t="e">
        <f>+I12-#REF!</f>
        <v>#REF!</v>
      </c>
      <c r="L12" t="s">
        <v>900</v>
      </c>
    </row>
    <row r="13" spans="1:12">
      <c r="A13" t="s">
        <v>2102</v>
      </c>
      <c r="B13" s="1">
        <v>41425</v>
      </c>
      <c r="C13" t="s">
        <v>3146</v>
      </c>
      <c r="D13">
        <v>1</v>
      </c>
      <c r="E13" t="s">
        <v>517</v>
      </c>
      <c r="F13" s="9" t="s">
        <v>738</v>
      </c>
      <c r="G13" s="9" t="s">
        <v>3345</v>
      </c>
      <c r="H13" s="3">
        <f t="shared" si="0"/>
        <v>214.6875</v>
      </c>
      <c r="I13" s="3">
        <v>34.35</v>
      </c>
    </row>
    <row r="14" spans="1:12">
      <c r="A14" t="s">
        <v>2051</v>
      </c>
      <c r="B14" s="1">
        <v>41425</v>
      </c>
      <c r="C14" t="s">
        <v>3089</v>
      </c>
      <c r="D14">
        <v>1</v>
      </c>
      <c r="E14" t="s">
        <v>3090</v>
      </c>
      <c r="F14" s="9" t="s">
        <v>2313</v>
      </c>
      <c r="G14" s="9" t="s">
        <v>3090</v>
      </c>
      <c r="H14" s="3">
        <f t="shared" si="0"/>
        <v>200</v>
      </c>
      <c r="I14" s="3">
        <v>32</v>
      </c>
    </row>
    <row r="15" spans="1:12">
      <c r="A15" t="s">
        <v>333</v>
      </c>
      <c r="B15" s="1">
        <v>41422</v>
      </c>
      <c r="C15" t="s">
        <v>3282</v>
      </c>
      <c r="D15">
        <v>1</v>
      </c>
      <c r="E15" t="s">
        <v>3283</v>
      </c>
      <c r="F15" s="9" t="s">
        <v>3346</v>
      </c>
      <c r="G15" s="9" t="s">
        <v>3283</v>
      </c>
      <c r="H15" s="3">
        <f t="shared" si="0"/>
        <v>1379.3125</v>
      </c>
      <c r="I15" s="3">
        <v>220.69</v>
      </c>
    </row>
    <row r="16" spans="1:12">
      <c r="A16" t="s">
        <v>1517</v>
      </c>
      <c r="B16" s="1">
        <v>41425</v>
      </c>
      <c r="C16" t="s">
        <v>3205</v>
      </c>
      <c r="D16">
        <v>1</v>
      </c>
      <c r="E16" t="s">
        <v>3206</v>
      </c>
      <c r="F16" s="9" t="s">
        <v>3347</v>
      </c>
      <c r="G16" s="9" t="s">
        <v>3206</v>
      </c>
      <c r="H16" s="3">
        <f t="shared" si="0"/>
        <v>168.125</v>
      </c>
      <c r="I16" s="3">
        <v>26.9</v>
      </c>
    </row>
    <row r="17" spans="1:12">
      <c r="A17" t="s">
        <v>2048</v>
      </c>
      <c r="B17" s="1">
        <v>41425</v>
      </c>
      <c r="C17" t="s">
        <v>3085</v>
      </c>
      <c r="D17">
        <v>1</v>
      </c>
      <c r="E17" t="s">
        <v>469</v>
      </c>
      <c r="F17" s="9" t="s">
        <v>739</v>
      </c>
      <c r="G17" s="9" t="s">
        <v>469</v>
      </c>
      <c r="H17" s="3">
        <f t="shared" si="0"/>
        <v>430.99999999999994</v>
      </c>
      <c r="I17" s="3">
        <v>68.959999999999994</v>
      </c>
    </row>
    <row r="18" spans="1:12">
      <c r="A18" t="s">
        <v>1008</v>
      </c>
      <c r="B18" s="1">
        <v>41401</v>
      </c>
      <c r="C18" t="s">
        <v>3216</v>
      </c>
      <c r="D18">
        <v>1</v>
      </c>
      <c r="E18" t="s">
        <v>1285</v>
      </c>
      <c r="F18" s="9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12">
      <c r="A19" t="s">
        <v>331</v>
      </c>
      <c r="B19" s="1">
        <v>41422</v>
      </c>
      <c r="C19" t="s">
        <v>3280</v>
      </c>
      <c r="D19">
        <v>1</v>
      </c>
      <c r="E19" t="s">
        <v>3281</v>
      </c>
      <c r="F19" s="9" t="s">
        <v>3348</v>
      </c>
      <c r="G19" s="9" t="s">
        <v>3281</v>
      </c>
      <c r="H19" s="3">
        <f t="shared" si="0"/>
        <v>19935</v>
      </c>
      <c r="I19" s="3">
        <v>3189.6</v>
      </c>
    </row>
    <row r="20" spans="1:12">
      <c r="A20" t="s">
        <v>337</v>
      </c>
      <c r="B20" s="1">
        <v>41422</v>
      </c>
      <c r="C20" t="s">
        <v>3285</v>
      </c>
      <c r="D20">
        <v>1</v>
      </c>
      <c r="E20" t="s">
        <v>3286</v>
      </c>
      <c r="F20" s="9" t="s">
        <v>3349</v>
      </c>
      <c r="G20" s="9" t="s">
        <v>3286</v>
      </c>
      <c r="H20" s="3">
        <f t="shared" si="0"/>
        <v>1975</v>
      </c>
      <c r="I20" s="3">
        <v>316</v>
      </c>
    </row>
    <row r="21" spans="1:12">
      <c r="A21" t="s">
        <v>1514</v>
      </c>
      <c r="B21" s="1">
        <v>41425</v>
      </c>
      <c r="C21" t="s">
        <v>3203</v>
      </c>
      <c r="D21">
        <v>1</v>
      </c>
      <c r="E21" t="s">
        <v>3204</v>
      </c>
      <c r="F21" s="9" t="s">
        <v>3350</v>
      </c>
      <c r="G21" s="9" t="s">
        <v>3204</v>
      </c>
      <c r="H21" s="3">
        <f t="shared" si="0"/>
        <v>173.3125</v>
      </c>
      <c r="I21" s="3">
        <v>27.73</v>
      </c>
    </row>
    <row r="22" spans="1:12">
      <c r="A22" t="s">
        <v>1247</v>
      </c>
      <c r="B22" s="1">
        <v>41417</v>
      </c>
      <c r="C22" t="s">
        <v>3013</v>
      </c>
      <c r="D22">
        <v>1</v>
      </c>
      <c r="E22" t="s">
        <v>410</v>
      </c>
      <c r="F22" s="12" t="s">
        <v>745</v>
      </c>
      <c r="G22" s="13" t="s">
        <v>746</v>
      </c>
      <c r="H22" s="3">
        <f t="shared" si="0"/>
        <v>221635.6875</v>
      </c>
      <c r="I22" s="3">
        <v>35461.71</v>
      </c>
    </row>
    <row r="23" spans="1:12">
      <c r="A23" t="s">
        <v>3042</v>
      </c>
      <c r="B23" s="1">
        <v>41421</v>
      </c>
      <c r="C23" t="s">
        <v>3043</v>
      </c>
      <c r="D23">
        <v>1</v>
      </c>
      <c r="E23" t="s">
        <v>3044</v>
      </c>
      <c r="F23" s="12" t="s">
        <v>2846</v>
      </c>
      <c r="G23" s="9" t="s">
        <v>991</v>
      </c>
      <c r="H23" s="3">
        <f t="shared" si="0"/>
        <v>199344.9375</v>
      </c>
      <c r="I23" s="3">
        <v>31895.19</v>
      </c>
    </row>
    <row r="24" spans="1:12">
      <c r="A24" t="s">
        <v>3094</v>
      </c>
      <c r="B24" s="1">
        <v>41425</v>
      </c>
      <c r="C24" t="s">
        <v>3095</v>
      </c>
      <c r="D24">
        <v>1</v>
      </c>
      <c r="E24" t="s">
        <v>3096</v>
      </c>
      <c r="F24" s="9" t="s">
        <v>747</v>
      </c>
      <c r="G24" s="9" t="s">
        <v>3096</v>
      </c>
      <c r="H24" s="3">
        <f t="shared" si="0"/>
        <v>63.5625</v>
      </c>
      <c r="I24" s="3">
        <v>10.17</v>
      </c>
    </row>
    <row r="25" spans="1:12">
      <c r="A25" t="s">
        <v>3197</v>
      </c>
      <c r="B25" s="1">
        <v>41425</v>
      </c>
      <c r="C25" t="s">
        <v>3198</v>
      </c>
      <c r="D25">
        <v>1</v>
      </c>
      <c r="E25" t="s">
        <v>555</v>
      </c>
      <c r="F25" s="9" t="s">
        <v>751</v>
      </c>
      <c r="G25" s="9" t="s">
        <v>555</v>
      </c>
      <c r="H25" s="3">
        <f t="shared" si="0"/>
        <v>69</v>
      </c>
      <c r="I25" s="3">
        <v>11.04</v>
      </c>
    </row>
    <row r="26" spans="1:12">
      <c r="A26" t="s">
        <v>699</v>
      </c>
      <c r="B26" s="1">
        <v>41424</v>
      </c>
      <c r="C26" t="s">
        <v>3322</v>
      </c>
      <c r="D26">
        <v>1</v>
      </c>
      <c r="E26" t="s">
        <v>3323</v>
      </c>
      <c r="F26" s="9" t="s">
        <v>3351</v>
      </c>
      <c r="G26" s="9" t="s">
        <v>3323</v>
      </c>
      <c r="H26" s="3">
        <f t="shared" si="0"/>
        <v>27450</v>
      </c>
      <c r="I26" s="3">
        <v>4392</v>
      </c>
    </row>
    <row r="27" spans="1:12">
      <c r="A27" t="s">
        <v>2527</v>
      </c>
      <c r="B27" s="1">
        <v>41425</v>
      </c>
      <c r="C27" t="s">
        <v>3191</v>
      </c>
      <c r="D27">
        <v>1</v>
      </c>
      <c r="E27" t="s">
        <v>3192</v>
      </c>
      <c r="F27" s="9" t="s">
        <v>3352</v>
      </c>
      <c r="G27" s="9" t="s">
        <v>3192</v>
      </c>
      <c r="H27" s="3">
        <f t="shared" si="0"/>
        <v>90.25</v>
      </c>
      <c r="I27" s="3">
        <v>14.44</v>
      </c>
    </row>
    <row r="28" spans="1:12">
      <c r="A28" t="s">
        <v>1511</v>
      </c>
      <c r="B28" s="1">
        <v>41425</v>
      </c>
      <c r="C28" t="s">
        <v>3202</v>
      </c>
      <c r="D28">
        <v>1</v>
      </c>
      <c r="E28" t="s">
        <v>1501</v>
      </c>
      <c r="F28" t="s">
        <v>946</v>
      </c>
      <c r="G28" t="s">
        <v>947</v>
      </c>
      <c r="H28" s="3">
        <f t="shared" si="0"/>
        <v>831.875</v>
      </c>
      <c r="I28" s="3">
        <v>133.1</v>
      </c>
    </row>
    <row r="29" spans="1:12">
      <c r="A29" t="s">
        <v>2966</v>
      </c>
      <c r="B29" s="1">
        <v>41408</v>
      </c>
      <c r="C29" t="s">
        <v>2967</v>
      </c>
      <c r="D29">
        <v>1</v>
      </c>
      <c r="E29" t="s">
        <v>388</v>
      </c>
      <c r="F29" s="12" t="s">
        <v>755</v>
      </c>
      <c r="G29" s="9" t="s">
        <v>756</v>
      </c>
      <c r="H29" s="3">
        <f t="shared" si="0"/>
        <v>199344.9375</v>
      </c>
      <c r="I29" s="3">
        <v>31895.19</v>
      </c>
    </row>
    <row r="30" spans="1:12">
      <c r="A30" t="s">
        <v>2942</v>
      </c>
      <c r="B30" s="1">
        <v>41404</v>
      </c>
      <c r="C30" t="s">
        <v>2943</v>
      </c>
      <c r="D30">
        <v>1</v>
      </c>
      <c r="E30" t="s">
        <v>2944</v>
      </c>
      <c r="F30" s="12" t="s">
        <v>755</v>
      </c>
      <c r="G30" s="9" t="s">
        <v>756</v>
      </c>
      <c r="H30" s="3">
        <f t="shared" si="0"/>
        <v>190157.5625</v>
      </c>
      <c r="I30" s="3">
        <v>30425.21</v>
      </c>
    </row>
    <row r="31" spans="1:12">
      <c r="A31" t="s">
        <v>2939</v>
      </c>
      <c r="B31" s="1">
        <v>41404</v>
      </c>
      <c r="C31" t="s">
        <v>2940</v>
      </c>
      <c r="D31">
        <v>1</v>
      </c>
      <c r="E31" t="s">
        <v>2941</v>
      </c>
      <c r="F31" s="12" t="s">
        <v>755</v>
      </c>
      <c r="G31" s="9" t="s">
        <v>756</v>
      </c>
      <c r="H31" s="3">
        <f t="shared" si="0"/>
        <v>286904.5</v>
      </c>
      <c r="I31" s="3">
        <v>45904.72</v>
      </c>
    </row>
    <row r="32" spans="1:12" s="33" customFormat="1">
      <c r="A32" t="s">
        <v>2995</v>
      </c>
      <c r="B32" s="1">
        <v>41414</v>
      </c>
      <c r="C32" t="s">
        <v>2996</v>
      </c>
      <c r="D32">
        <v>1</v>
      </c>
      <c r="E32" t="s">
        <v>2997</v>
      </c>
      <c r="F32" s="12" t="s">
        <v>755</v>
      </c>
      <c r="G32" s="9" t="s">
        <v>756</v>
      </c>
      <c r="H32" s="3">
        <f t="shared" si="0"/>
        <v>160448.625</v>
      </c>
      <c r="I32" s="3">
        <v>25671.78</v>
      </c>
      <c r="J32"/>
      <c r="K32"/>
      <c r="L32"/>
    </row>
    <row r="33" spans="1:12">
      <c r="A33" s="33" t="s">
        <v>2978</v>
      </c>
      <c r="B33" s="76">
        <v>41411</v>
      </c>
      <c r="C33" s="33" t="s">
        <v>1355</v>
      </c>
      <c r="D33" s="33">
        <v>1</v>
      </c>
      <c r="E33" s="33" t="s">
        <v>1356</v>
      </c>
      <c r="F33" s="12" t="s">
        <v>755</v>
      </c>
      <c r="G33" s="9" t="s">
        <v>756</v>
      </c>
      <c r="H33" s="3">
        <f t="shared" si="0"/>
        <v>-277751.8125</v>
      </c>
      <c r="I33" s="46">
        <v>-44440.29</v>
      </c>
      <c r="J33" s="60"/>
      <c r="K33" s="33"/>
      <c r="L33" s="33"/>
    </row>
    <row r="34" spans="1:12">
      <c r="A34" t="s">
        <v>3015</v>
      </c>
      <c r="B34" s="1">
        <v>41417</v>
      </c>
      <c r="C34" t="s">
        <v>3016</v>
      </c>
      <c r="D34">
        <v>1</v>
      </c>
      <c r="E34" t="s">
        <v>3017</v>
      </c>
      <c r="F34" s="12" t="s">
        <v>755</v>
      </c>
      <c r="G34" s="9" t="s">
        <v>756</v>
      </c>
      <c r="H34" s="3">
        <f t="shared" si="0"/>
        <v>309184.5625</v>
      </c>
      <c r="I34" s="3">
        <v>49469.53</v>
      </c>
    </row>
    <row r="35" spans="1:12">
      <c r="A35" t="s">
        <v>3018</v>
      </c>
      <c r="B35" s="1">
        <v>41417</v>
      </c>
      <c r="C35" t="s">
        <v>3019</v>
      </c>
      <c r="D35">
        <v>1</v>
      </c>
      <c r="E35" t="s">
        <v>3020</v>
      </c>
      <c r="F35" s="12" t="s">
        <v>755</v>
      </c>
      <c r="G35" s="9" t="s">
        <v>756</v>
      </c>
      <c r="H35" s="3">
        <f t="shared" si="0"/>
        <v>309184.5625</v>
      </c>
      <c r="I35" s="3">
        <v>49469.53</v>
      </c>
    </row>
    <row r="36" spans="1:12">
      <c r="A36" t="s">
        <v>3091</v>
      </c>
      <c r="B36" s="1">
        <v>41425</v>
      </c>
      <c r="C36" t="s">
        <v>3092</v>
      </c>
      <c r="D36">
        <v>1</v>
      </c>
      <c r="E36" t="s">
        <v>1421</v>
      </c>
      <c r="F36" s="9" t="s">
        <v>1575</v>
      </c>
      <c r="G36" s="9" t="s">
        <v>1421</v>
      </c>
      <c r="H36" s="3">
        <f t="shared" si="0"/>
        <v>825</v>
      </c>
      <c r="I36" s="3">
        <v>132</v>
      </c>
    </row>
    <row r="37" spans="1:12">
      <c r="A37" t="s">
        <v>1413</v>
      </c>
      <c r="B37" s="1">
        <v>41425</v>
      </c>
      <c r="C37" t="s">
        <v>3093</v>
      </c>
      <c r="D37">
        <v>1</v>
      </c>
      <c r="E37" t="s">
        <v>1421</v>
      </c>
      <c r="F37" s="9" t="s">
        <v>1575</v>
      </c>
      <c r="G37" s="9" t="s">
        <v>1421</v>
      </c>
      <c r="H37" s="3">
        <f t="shared" si="0"/>
        <v>359.5</v>
      </c>
      <c r="I37" s="3">
        <v>57.52</v>
      </c>
    </row>
    <row r="38" spans="1:12">
      <c r="A38" t="s">
        <v>957</v>
      </c>
      <c r="B38" s="1">
        <v>41425</v>
      </c>
      <c r="C38" t="s">
        <v>3063</v>
      </c>
      <c r="D38">
        <v>1</v>
      </c>
      <c r="E38" t="s">
        <v>3064</v>
      </c>
      <c r="F38" s="8" t="s">
        <v>761</v>
      </c>
      <c r="G38" s="9" t="s">
        <v>762</v>
      </c>
      <c r="H38" s="3">
        <f t="shared" si="0"/>
        <v>352771.3125</v>
      </c>
      <c r="I38" s="3">
        <v>56443.41</v>
      </c>
    </row>
    <row r="39" spans="1:12">
      <c r="A39" t="s">
        <v>383</v>
      </c>
      <c r="B39" s="1">
        <v>41425</v>
      </c>
      <c r="C39" t="s">
        <v>3065</v>
      </c>
      <c r="D39">
        <v>1</v>
      </c>
      <c r="E39" t="s">
        <v>3066</v>
      </c>
      <c r="F39" s="8" t="s">
        <v>761</v>
      </c>
      <c r="G39" s="9" t="s">
        <v>762</v>
      </c>
      <c r="H39" s="3">
        <f t="shared" si="0"/>
        <v>277621.375</v>
      </c>
      <c r="I39" s="3">
        <v>44419.42</v>
      </c>
    </row>
    <row r="40" spans="1:12">
      <c r="A40" t="s">
        <v>697</v>
      </c>
      <c r="B40" s="1">
        <v>41424</v>
      </c>
      <c r="C40" t="s">
        <v>3321</v>
      </c>
      <c r="D40">
        <v>1</v>
      </c>
      <c r="E40" t="s">
        <v>1059</v>
      </c>
      <c r="F40" s="9" t="s">
        <v>1576</v>
      </c>
      <c r="G40" s="9" t="s">
        <v>1059</v>
      </c>
      <c r="H40" s="3">
        <f t="shared" si="0"/>
        <v>827.62499999999989</v>
      </c>
      <c r="I40" s="3">
        <v>132.41999999999999</v>
      </c>
    </row>
    <row r="41" spans="1:12">
      <c r="A41" t="s">
        <v>1396</v>
      </c>
      <c r="B41" s="1">
        <v>41425</v>
      </c>
      <c r="C41" t="s">
        <v>433</v>
      </c>
      <c r="D41">
        <v>1</v>
      </c>
      <c r="E41" t="s">
        <v>3073</v>
      </c>
      <c r="F41" s="12" t="s">
        <v>821</v>
      </c>
      <c r="G41" s="12" t="s">
        <v>2272</v>
      </c>
      <c r="H41" s="3">
        <f t="shared" si="0"/>
        <v>320</v>
      </c>
      <c r="I41" s="3">
        <v>51.2</v>
      </c>
    </row>
    <row r="42" spans="1:12">
      <c r="A42" t="s">
        <v>3081</v>
      </c>
      <c r="B42" s="1">
        <v>41425</v>
      </c>
      <c r="C42" t="s">
        <v>433</v>
      </c>
      <c r="D42">
        <v>1</v>
      </c>
      <c r="E42" t="s">
        <v>3082</v>
      </c>
      <c r="F42" s="13" t="s">
        <v>1578</v>
      </c>
      <c r="G42" s="75" t="s">
        <v>1579</v>
      </c>
      <c r="H42" s="3">
        <f t="shared" si="0"/>
        <v>1260.875</v>
      </c>
      <c r="I42" s="3">
        <v>201.74</v>
      </c>
    </row>
    <row r="43" spans="1:12">
      <c r="A43" t="s">
        <v>403</v>
      </c>
      <c r="B43" s="1">
        <v>41424</v>
      </c>
      <c r="C43" t="s">
        <v>433</v>
      </c>
      <c r="D43">
        <v>1</v>
      </c>
      <c r="E43" t="s">
        <v>3077</v>
      </c>
      <c r="F43" s="21" t="s">
        <v>827</v>
      </c>
      <c r="G43" s="22" t="s">
        <v>828</v>
      </c>
      <c r="H43" s="3">
        <f t="shared" si="0"/>
        <v>10378.8125</v>
      </c>
      <c r="I43" s="3">
        <v>1660.61</v>
      </c>
    </row>
    <row r="44" spans="1:12">
      <c r="A44" t="s">
        <v>1990</v>
      </c>
      <c r="B44" s="1">
        <v>41425</v>
      </c>
      <c r="C44" t="s">
        <v>433</v>
      </c>
      <c r="D44">
        <v>1</v>
      </c>
      <c r="E44" t="s">
        <v>3080</v>
      </c>
      <c r="F44" s="12" t="s">
        <v>823</v>
      </c>
      <c r="G44" s="20" t="s">
        <v>824</v>
      </c>
      <c r="H44" s="3">
        <f t="shared" si="0"/>
        <v>182</v>
      </c>
      <c r="I44" s="3">
        <v>29.12</v>
      </c>
    </row>
    <row r="45" spans="1:12">
      <c r="A45" t="s">
        <v>1982</v>
      </c>
      <c r="B45" s="1">
        <v>41425</v>
      </c>
      <c r="C45" t="s">
        <v>433</v>
      </c>
      <c r="D45">
        <v>1</v>
      </c>
      <c r="E45" t="s">
        <v>3074</v>
      </c>
      <c r="F45" s="12" t="s">
        <v>830</v>
      </c>
      <c r="G45" s="20" t="s">
        <v>831</v>
      </c>
      <c r="H45" s="3">
        <f t="shared" si="0"/>
        <v>490</v>
      </c>
      <c r="I45" s="3">
        <v>78.400000000000006</v>
      </c>
    </row>
    <row r="46" spans="1:12">
      <c r="A46" t="s">
        <v>3075</v>
      </c>
      <c r="B46" s="1">
        <v>41425</v>
      </c>
      <c r="C46" t="s">
        <v>433</v>
      </c>
      <c r="D46">
        <v>1</v>
      </c>
      <c r="E46" t="s">
        <v>3076</v>
      </c>
      <c r="F46" s="12" t="s">
        <v>825</v>
      </c>
      <c r="G46" s="20" t="s">
        <v>826</v>
      </c>
      <c r="H46" s="3">
        <f t="shared" si="0"/>
        <v>112.99999999999999</v>
      </c>
      <c r="I46" s="3">
        <v>18.079999999999998</v>
      </c>
    </row>
    <row r="47" spans="1:12">
      <c r="A47" t="s">
        <v>1424</v>
      </c>
      <c r="B47" s="1">
        <v>41425</v>
      </c>
      <c r="C47" t="s">
        <v>3102</v>
      </c>
      <c r="D47">
        <v>1</v>
      </c>
      <c r="E47" t="s">
        <v>3103</v>
      </c>
      <c r="F47" s="9" t="s">
        <v>3353</v>
      </c>
      <c r="G47" s="9" t="s">
        <v>3354</v>
      </c>
      <c r="H47" s="65">
        <f t="shared" ref="H47:H58" si="1">I47/0.16</f>
        <v>83.4375</v>
      </c>
      <c r="I47" s="65">
        <v>13.35</v>
      </c>
      <c r="J47" s="3"/>
      <c r="K47" s="3"/>
    </row>
    <row r="48" spans="1:12">
      <c r="A48" t="s">
        <v>1424</v>
      </c>
      <c r="B48" s="1">
        <v>41425</v>
      </c>
      <c r="C48" t="s">
        <v>3102</v>
      </c>
      <c r="D48">
        <v>1</v>
      </c>
      <c r="E48" t="s">
        <v>3103</v>
      </c>
      <c r="F48" t="s">
        <v>946</v>
      </c>
      <c r="G48" t="s">
        <v>947</v>
      </c>
      <c r="H48" s="46">
        <f t="shared" si="1"/>
        <v>405.12499999999994</v>
      </c>
      <c r="I48" s="46">
        <f>63.61+1.21</f>
        <v>64.819999999999993</v>
      </c>
    </row>
    <row r="49" spans="1:12">
      <c r="A49" t="s">
        <v>1424</v>
      </c>
      <c r="B49" s="1">
        <v>41425</v>
      </c>
      <c r="C49" t="s">
        <v>3102</v>
      </c>
      <c r="D49">
        <v>1</v>
      </c>
      <c r="E49" t="s">
        <v>3103</v>
      </c>
      <c r="F49" s="28" t="s">
        <v>3355</v>
      </c>
      <c r="G49" s="28" t="s">
        <v>3356</v>
      </c>
      <c r="H49" s="47">
        <f t="shared" si="1"/>
        <v>150.25</v>
      </c>
      <c r="I49" s="47">
        <v>24.04</v>
      </c>
      <c r="J49" s="14">
        <f>638.81-H47-H48-H49</f>
        <v>-2.4999999999977263E-3</v>
      </c>
      <c r="K49" s="14">
        <f>102.21-I47-I48-I49</f>
        <v>0</v>
      </c>
      <c r="L49" t="s">
        <v>900</v>
      </c>
    </row>
    <row r="50" spans="1:12">
      <c r="A50" t="s">
        <v>3106</v>
      </c>
      <c r="B50" s="1">
        <v>41425</v>
      </c>
      <c r="C50" t="s">
        <v>3107</v>
      </c>
      <c r="D50">
        <v>1</v>
      </c>
      <c r="E50" t="s">
        <v>3108</v>
      </c>
      <c r="F50" s="9" t="s">
        <v>901</v>
      </c>
      <c r="G50" s="9" t="s">
        <v>902</v>
      </c>
      <c r="H50" s="65">
        <f t="shared" si="1"/>
        <v>292.0625</v>
      </c>
      <c r="I50" s="65">
        <v>46.73</v>
      </c>
      <c r="J50" s="3"/>
      <c r="K50" s="3"/>
    </row>
    <row r="51" spans="1:12">
      <c r="A51" t="s">
        <v>3106</v>
      </c>
      <c r="B51" s="1">
        <v>41425</v>
      </c>
      <c r="C51" t="s">
        <v>3107</v>
      </c>
      <c r="D51">
        <v>1</v>
      </c>
      <c r="E51" t="s">
        <v>3108</v>
      </c>
      <c r="F51" t="s">
        <v>946</v>
      </c>
      <c r="G51" s="9" t="s">
        <v>948</v>
      </c>
      <c r="H51" s="65">
        <f>+I51/0.16</f>
        <v>9.625</v>
      </c>
      <c r="I51" s="65">
        <v>1.54</v>
      </c>
      <c r="J51" s="3"/>
      <c r="K51" s="3"/>
    </row>
    <row r="52" spans="1:12">
      <c r="A52" t="s">
        <v>3106</v>
      </c>
      <c r="B52" s="1">
        <v>41425</v>
      </c>
      <c r="C52" t="s">
        <v>3107</v>
      </c>
      <c r="D52">
        <v>1</v>
      </c>
      <c r="E52" t="s">
        <v>3108</v>
      </c>
      <c r="F52" s="9" t="s">
        <v>3357</v>
      </c>
      <c r="G52" s="9" t="s">
        <v>3358</v>
      </c>
      <c r="H52" s="65">
        <f t="shared" si="1"/>
        <v>75.875</v>
      </c>
      <c r="I52" s="65">
        <v>12.14</v>
      </c>
      <c r="J52" s="14">
        <f>377.56-H50-H52-H51</f>
        <v>-2.4999999999977263E-3</v>
      </c>
      <c r="K52" s="14">
        <f>60.41-I50-I52-I51</f>
        <v>0</v>
      </c>
      <c r="L52" t="s">
        <v>900</v>
      </c>
    </row>
    <row r="53" spans="1:12" ht="16.5" customHeight="1">
      <c r="A53" t="s">
        <v>1432</v>
      </c>
      <c r="B53" s="1">
        <v>41425</v>
      </c>
      <c r="C53" t="s">
        <v>3109</v>
      </c>
      <c r="D53">
        <v>1</v>
      </c>
      <c r="E53" t="s">
        <v>3110</v>
      </c>
      <c r="F53" t="s">
        <v>946</v>
      </c>
      <c r="G53" t="s">
        <v>947</v>
      </c>
      <c r="H53" s="46">
        <f t="shared" si="1"/>
        <v>348.875</v>
      </c>
      <c r="I53" s="46">
        <f>54.08+1.74</f>
        <v>55.82</v>
      </c>
      <c r="J53" s="3"/>
      <c r="K53" s="3"/>
    </row>
    <row r="54" spans="1:12" ht="13.5" customHeight="1">
      <c r="A54" t="s">
        <v>1432</v>
      </c>
      <c r="B54" s="1">
        <v>41425</v>
      </c>
      <c r="C54" t="s">
        <v>3109</v>
      </c>
      <c r="D54">
        <v>1</v>
      </c>
      <c r="E54" t="s">
        <v>3110</v>
      </c>
      <c r="F54" s="28" t="s">
        <v>939</v>
      </c>
      <c r="G54" s="28" t="s">
        <v>3359</v>
      </c>
      <c r="H54" s="47">
        <f t="shared" si="1"/>
        <v>333.875</v>
      </c>
      <c r="I54" s="47">
        <v>53.42</v>
      </c>
    </row>
    <row r="55" spans="1:12" ht="13.5" customHeight="1">
      <c r="A55" t="s">
        <v>1432</v>
      </c>
      <c r="B55" s="1">
        <v>41425</v>
      </c>
      <c r="C55" t="s">
        <v>3109</v>
      </c>
      <c r="D55">
        <v>1</v>
      </c>
      <c r="E55" t="s">
        <v>3110</v>
      </c>
      <c r="F55" s="9" t="s">
        <v>927</v>
      </c>
      <c r="G55" s="9" t="s">
        <v>3360</v>
      </c>
      <c r="H55" s="65">
        <f t="shared" si="1"/>
        <v>65</v>
      </c>
      <c r="I55" s="65">
        <v>10.4</v>
      </c>
      <c r="J55" s="14">
        <f>747.75-H53-H54-H55</f>
        <v>0</v>
      </c>
      <c r="K55" s="14">
        <f>119.64-I53-I54-I55</f>
        <v>0</v>
      </c>
      <c r="L55" t="s">
        <v>900</v>
      </c>
    </row>
    <row r="56" spans="1:12" ht="15" customHeight="1">
      <c r="A56" t="s">
        <v>1456</v>
      </c>
      <c r="B56" s="1">
        <v>41425</v>
      </c>
      <c r="C56" t="s">
        <v>3135</v>
      </c>
      <c r="D56">
        <v>1</v>
      </c>
      <c r="E56" t="s">
        <v>3136</v>
      </c>
      <c r="F56" s="9" t="s">
        <v>3361</v>
      </c>
      <c r="G56" s="9" t="s">
        <v>1641</v>
      </c>
      <c r="H56" s="65">
        <f t="shared" si="1"/>
        <v>77.5625</v>
      </c>
      <c r="I56" s="65">
        <v>12.41</v>
      </c>
      <c r="J56" s="3"/>
      <c r="K56" s="3"/>
    </row>
    <row r="57" spans="1:12" ht="15" customHeight="1">
      <c r="A57" t="s">
        <v>1456</v>
      </c>
      <c r="B57" s="1">
        <v>41425</v>
      </c>
      <c r="C57" t="s">
        <v>3135</v>
      </c>
      <c r="D57">
        <v>1</v>
      </c>
      <c r="E57" t="s">
        <v>3136</v>
      </c>
      <c r="F57" s="28" t="s">
        <v>2343</v>
      </c>
      <c r="G57" s="28" t="s">
        <v>2344</v>
      </c>
      <c r="H57" s="47">
        <f t="shared" si="1"/>
        <v>292.25</v>
      </c>
      <c r="I57" s="47">
        <v>46.76</v>
      </c>
    </row>
    <row r="58" spans="1:12" ht="15" customHeight="1">
      <c r="A58" t="s">
        <v>1456</v>
      </c>
      <c r="B58" s="1">
        <v>41425</v>
      </c>
      <c r="C58" t="s">
        <v>3135</v>
      </c>
      <c r="D58">
        <v>1</v>
      </c>
      <c r="E58" t="s">
        <v>3136</v>
      </c>
      <c r="F58" t="s">
        <v>946</v>
      </c>
      <c r="G58" t="s">
        <v>947</v>
      </c>
      <c r="H58" s="46">
        <f t="shared" si="1"/>
        <v>186.25</v>
      </c>
      <c r="I58" s="46">
        <f>28.29+1.51</f>
        <v>29.8</v>
      </c>
      <c r="J58" s="14">
        <f>556.06-H56-H57-H58</f>
        <v>-2.5000000000545697E-3</v>
      </c>
      <c r="K58" s="14">
        <f>88.97-I56-I57-I58</f>
        <v>0</v>
      </c>
      <c r="L58" t="s">
        <v>900</v>
      </c>
    </row>
    <row r="59" spans="1:12" ht="16.5" customHeight="1">
      <c r="A59" t="s">
        <v>695</v>
      </c>
      <c r="B59" s="1">
        <v>41424</v>
      </c>
      <c r="C59" t="s">
        <v>3320</v>
      </c>
      <c r="D59">
        <v>1</v>
      </c>
      <c r="E59" t="s">
        <v>999</v>
      </c>
      <c r="F59" s="9" t="s">
        <v>1585</v>
      </c>
      <c r="G59" s="9" t="s">
        <v>999</v>
      </c>
      <c r="H59" s="3">
        <f t="shared" si="0"/>
        <v>10752.9375</v>
      </c>
      <c r="I59" s="3">
        <v>1720.47</v>
      </c>
    </row>
    <row r="60" spans="1:12">
      <c r="A60" t="s">
        <v>435</v>
      </c>
      <c r="B60" s="1">
        <v>41425</v>
      </c>
      <c r="C60" t="s">
        <v>3194</v>
      </c>
      <c r="D60">
        <v>1</v>
      </c>
      <c r="E60" t="s">
        <v>575</v>
      </c>
      <c r="F60" s="9" t="s">
        <v>765</v>
      </c>
      <c r="G60" s="9" t="s">
        <v>575</v>
      </c>
      <c r="H60" s="3">
        <f t="shared" si="0"/>
        <v>103.4375</v>
      </c>
      <c r="I60" s="3">
        <v>16.55</v>
      </c>
    </row>
    <row r="61" spans="1:12">
      <c r="A61" t="s">
        <v>285</v>
      </c>
      <c r="B61" s="1">
        <v>41417</v>
      </c>
      <c r="C61" t="s">
        <v>3266</v>
      </c>
      <c r="D61">
        <v>1</v>
      </c>
      <c r="E61" t="s">
        <v>1142</v>
      </c>
      <c r="F61" s="9" t="s">
        <v>770</v>
      </c>
      <c r="G61" s="9" t="s">
        <v>1142</v>
      </c>
      <c r="H61" s="3">
        <f t="shared" si="0"/>
        <v>9921</v>
      </c>
      <c r="I61" s="3">
        <v>1587.36</v>
      </c>
    </row>
    <row r="62" spans="1:12">
      <c r="A62" t="s">
        <v>368</v>
      </c>
      <c r="B62" s="1">
        <v>41424</v>
      </c>
      <c r="C62" t="s">
        <v>3305</v>
      </c>
      <c r="D62">
        <v>1</v>
      </c>
      <c r="E62" t="s">
        <v>1142</v>
      </c>
      <c r="F62" s="9" t="s">
        <v>770</v>
      </c>
      <c r="G62" s="9" t="s">
        <v>1142</v>
      </c>
      <c r="H62" s="3">
        <f t="shared" si="0"/>
        <v>2250</v>
      </c>
      <c r="I62" s="3">
        <v>360</v>
      </c>
    </row>
    <row r="63" spans="1:12">
      <c r="A63" t="s">
        <v>961</v>
      </c>
      <c r="B63" s="1">
        <v>41396</v>
      </c>
      <c r="C63" t="s">
        <v>3213</v>
      </c>
      <c r="D63">
        <v>1</v>
      </c>
      <c r="E63" t="s">
        <v>29</v>
      </c>
      <c r="F63" s="64" t="s">
        <v>772</v>
      </c>
      <c r="G63" s="9" t="s">
        <v>29</v>
      </c>
      <c r="H63" s="3">
        <f t="shared" si="0"/>
        <v>1020.8125000000001</v>
      </c>
      <c r="I63" s="3">
        <v>163.33000000000001</v>
      </c>
    </row>
    <row r="64" spans="1:12">
      <c r="A64" t="s">
        <v>971</v>
      </c>
      <c r="B64" s="1">
        <v>41398</v>
      </c>
      <c r="C64" t="s">
        <v>3214</v>
      </c>
      <c r="D64">
        <v>1</v>
      </c>
      <c r="E64" t="s">
        <v>29</v>
      </c>
      <c r="F64" s="64" t="s">
        <v>772</v>
      </c>
      <c r="G64" s="9" t="s">
        <v>29</v>
      </c>
      <c r="H64" s="3">
        <f t="shared" si="0"/>
        <v>80150.3125</v>
      </c>
      <c r="I64" s="3">
        <v>12824.05</v>
      </c>
    </row>
    <row r="65" spans="1:9">
      <c r="A65" t="s">
        <v>14</v>
      </c>
      <c r="B65" s="1">
        <v>41400</v>
      </c>
      <c r="C65" t="s">
        <v>3215</v>
      </c>
      <c r="D65">
        <v>1</v>
      </c>
      <c r="E65" t="s">
        <v>29</v>
      </c>
      <c r="F65" s="64" t="s">
        <v>772</v>
      </c>
      <c r="G65" s="9" t="s">
        <v>29</v>
      </c>
      <c r="H65" s="3">
        <f t="shared" si="0"/>
        <v>7418.125</v>
      </c>
      <c r="I65" s="3">
        <v>1186.9000000000001</v>
      </c>
    </row>
    <row r="66" spans="1:9">
      <c r="A66" t="s">
        <v>3223</v>
      </c>
      <c r="B66" s="1">
        <v>41401</v>
      </c>
      <c r="C66" t="s">
        <v>3224</v>
      </c>
      <c r="D66">
        <v>1</v>
      </c>
      <c r="E66" t="s">
        <v>29</v>
      </c>
      <c r="F66" s="9" t="s">
        <v>772</v>
      </c>
      <c r="G66" s="9" t="s">
        <v>29</v>
      </c>
      <c r="H66" s="3">
        <f t="shared" si="0"/>
        <v>1900</v>
      </c>
      <c r="I66" s="3">
        <v>304</v>
      </c>
    </row>
    <row r="67" spans="1:9">
      <c r="A67" t="s">
        <v>1031</v>
      </c>
      <c r="B67" s="1">
        <v>41402</v>
      </c>
      <c r="C67" t="s">
        <v>3225</v>
      </c>
      <c r="D67">
        <v>1</v>
      </c>
      <c r="E67" t="s">
        <v>29</v>
      </c>
      <c r="F67" s="9" t="s">
        <v>772</v>
      </c>
      <c r="G67" s="9" t="s">
        <v>29</v>
      </c>
      <c r="H67" s="3">
        <f t="shared" si="0"/>
        <v>220</v>
      </c>
      <c r="I67" s="3">
        <v>35.200000000000003</v>
      </c>
    </row>
    <row r="68" spans="1:9">
      <c r="A68" t="s">
        <v>1038</v>
      </c>
      <c r="B68" s="1">
        <v>41402</v>
      </c>
      <c r="C68" t="s">
        <v>3226</v>
      </c>
      <c r="D68">
        <v>1</v>
      </c>
      <c r="E68" t="s">
        <v>29</v>
      </c>
      <c r="F68" s="9" t="s">
        <v>772</v>
      </c>
      <c r="G68" s="9" t="s">
        <v>29</v>
      </c>
      <c r="H68" s="3">
        <f t="shared" si="0"/>
        <v>60000</v>
      </c>
      <c r="I68" s="3">
        <v>9600</v>
      </c>
    </row>
    <row r="69" spans="1:9">
      <c r="A69" t="s">
        <v>2169</v>
      </c>
      <c r="B69" s="1">
        <v>41404</v>
      </c>
      <c r="C69" t="s">
        <v>3235</v>
      </c>
      <c r="D69">
        <v>1</v>
      </c>
      <c r="E69" t="s">
        <v>29</v>
      </c>
      <c r="F69" s="9" t="s">
        <v>772</v>
      </c>
      <c r="G69" s="9" t="s">
        <v>29</v>
      </c>
      <c r="H69" s="3">
        <f t="shared" si="0"/>
        <v>101855.125</v>
      </c>
      <c r="I69" s="3">
        <v>16296.82</v>
      </c>
    </row>
    <row r="70" spans="1:9">
      <c r="A70" t="s">
        <v>1129</v>
      </c>
      <c r="B70" s="1">
        <v>41408</v>
      </c>
      <c r="C70" t="s">
        <v>3240</v>
      </c>
      <c r="D70">
        <v>1</v>
      </c>
      <c r="E70" t="s">
        <v>29</v>
      </c>
      <c r="F70" s="13" t="s">
        <v>772</v>
      </c>
      <c r="G70" s="9" t="s">
        <v>29</v>
      </c>
      <c r="H70" s="3">
        <f t="shared" si="0"/>
        <v>2778.75</v>
      </c>
      <c r="I70" s="3">
        <v>444.6</v>
      </c>
    </row>
    <row r="71" spans="1:9">
      <c r="A71" t="s">
        <v>1131</v>
      </c>
      <c r="B71" s="1">
        <v>41408</v>
      </c>
      <c r="C71" t="s">
        <v>3241</v>
      </c>
      <c r="D71">
        <v>1</v>
      </c>
      <c r="E71" t="s">
        <v>29</v>
      </c>
      <c r="F71" s="13" t="s">
        <v>772</v>
      </c>
      <c r="G71" s="9" t="s">
        <v>29</v>
      </c>
      <c r="H71" s="3">
        <f t="shared" si="0"/>
        <v>334226.8125</v>
      </c>
      <c r="I71" s="3">
        <v>53476.29</v>
      </c>
    </row>
    <row r="72" spans="1:9">
      <c r="A72" t="s">
        <v>187</v>
      </c>
      <c r="B72" s="1">
        <v>41411</v>
      </c>
      <c r="C72" t="s">
        <v>3243</v>
      </c>
      <c r="D72">
        <v>1</v>
      </c>
      <c r="E72" t="s">
        <v>29</v>
      </c>
      <c r="F72" s="12" t="s">
        <v>772</v>
      </c>
      <c r="G72" s="9" t="s">
        <v>29</v>
      </c>
      <c r="H72" s="3">
        <f t="shared" si="0"/>
        <v>1466.5625</v>
      </c>
      <c r="I72" s="3">
        <v>234.65</v>
      </c>
    </row>
    <row r="73" spans="1:9">
      <c r="A73" t="s">
        <v>1153</v>
      </c>
      <c r="B73" s="1">
        <v>41411</v>
      </c>
      <c r="C73" t="s">
        <v>3244</v>
      </c>
      <c r="D73">
        <v>1</v>
      </c>
      <c r="E73" t="s">
        <v>29</v>
      </c>
      <c r="F73" s="12" t="s">
        <v>772</v>
      </c>
      <c r="G73" s="9" t="s">
        <v>29</v>
      </c>
      <c r="H73" s="3">
        <f t="shared" si="0"/>
        <v>26542.25</v>
      </c>
      <c r="I73" s="3">
        <v>4246.76</v>
      </c>
    </row>
    <row r="74" spans="1:9">
      <c r="A74" t="s">
        <v>1155</v>
      </c>
      <c r="B74" s="1">
        <v>41411</v>
      </c>
      <c r="C74" t="s">
        <v>3245</v>
      </c>
      <c r="D74">
        <v>1</v>
      </c>
      <c r="E74" t="s">
        <v>29</v>
      </c>
      <c r="F74" s="12" t="s">
        <v>772</v>
      </c>
      <c r="G74" s="9" t="s">
        <v>29</v>
      </c>
      <c r="H74" s="3">
        <f t="shared" si="0"/>
        <v>30937.75</v>
      </c>
      <c r="I74" s="3">
        <v>4950.04</v>
      </c>
    </row>
    <row r="75" spans="1:9">
      <c r="A75" t="s">
        <v>213</v>
      </c>
      <c r="B75" s="1">
        <v>41412</v>
      </c>
      <c r="C75" t="s">
        <v>3257</v>
      </c>
      <c r="D75">
        <v>1</v>
      </c>
      <c r="E75" t="s">
        <v>29</v>
      </c>
      <c r="F75" s="12" t="s">
        <v>772</v>
      </c>
      <c r="G75" s="9" t="s">
        <v>29</v>
      </c>
      <c r="H75" s="3">
        <f t="shared" si="0"/>
        <v>62359.3125</v>
      </c>
      <c r="I75" s="3">
        <v>9977.49</v>
      </c>
    </row>
    <row r="76" spans="1:9">
      <c r="A76" t="s">
        <v>1257</v>
      </c>
      <c r="B76" s="1">
        <v>41419</v>
      </c>
      <c r="C76" t="s">
        <v>3276</v>
      </c>
      <c r="D76">
        <v>1</v>
      </c>
      <c r="E76" t="s">
        <v>29</v>
      </c>
      <c r="F76" s="12" t="s">
        <v>772</v>
      </c>
      <c r="G76" s="9" t="s">
        <v>29</v>
      </c>
      <c r="H76" s="3">
        <f t="shared" si="0"/>
        <v>103246.37499999999</v>
      </c>
      <c r="I76" s="3">
        <v>16519.419999999998</v>
      </c>
    </row>
    <row r="77" spans="1:9">
      <c r="A77" t="s">
        <v>335</v>
      </c>
      <c r="B77" s="1">
        <v>41422</v>
      </c>
      <c r="C77" t="s">
        <v>3284</v>
      </c>
      <c r="D77">
        <v>1</v>
      </c>
      <c r="E77" t="s">
        <v>29</v>
      </c>
      <c r="F77" s="12" t="s">
        <v>772</v>
      </c>
      <c r="G77" s="9" t="s">
        <v>29</v>
      </c>
      <c r="H77" s="3">
        <f t="shared" si="0"/>
        <v>5714.25</v>
      </c>
      <c r="I77" s="3">
        <v>914.28</v>
      </c>
    </row>
    <row r="78" spans="1:9">
      <c r="A78" t="s">
        <v>3292</v>
      </c>
      <c r="B78" s="1">
        <v>41422</v>
      </c>
      <c r="C78" t="s">
        <v>3293</v>
      </c>
      <c r="D78">
        <v>1</v>
      </c>
      <c r="E78" t="s">
        <v>29</v>
      </c>
      <c r="F78" s="12" t="s">
        <v>772</v>
      </c>
      <c r="G78" s="9" t="s">
        <v>29</v>
      </c>
      <c r="H78" s="3">
        <f t="shared" si="0"/>
        <v>783.0625</v>
      </c>
      <c r="I78" s="3">
        <v>125.29</v>
      </c>
    </row>
    <row r="79" spans="1:9">
      <c r="A79" t="s">
        <v>3303</v>
      </c>
      <c r="B79" s="1">
        <v>41424</v>
      </c>
      <c r="C79" t="s">
        <v>3304</v>
      </c>
      <c r="D79">
        <v>1</v>
      </c>
      <c r="E79" t="s">
        <v>29</v>
      </c>
      <c r="F79" s="12" t="s">
        <v>772</v>
      </c>
      <c r="G79" s="9" t="s">
        <v>29</v>
      </c>
      <c r="H79" s="3">
        <f t="shared" si="0"/>
        <v>188493.75</v>
      </c>
      <c r="I79" s="3">
        <v>30159</v>
      </c>
    </row>
    <row r="80" spans="1:9">
      <c r="A80" t="s">
        <v>705</v>
      </c>
      <c r="B80" s="1">
        <v>41425</v>
      </c>
      <c r="C80" t="s">
        <v>3325</v>
      </c>
      <c r="D80">
        <v>1</v>
      </c>
      <c r="E80" t="s">
        <v>29</v>
      </c>
      <c r="F80" s="12" t="s">
        <v>772</v>
      </c>
      <c r="G80" s="9" t="s">
        <v>29</v>
      </c>
      <c r="H80" s="3">
        <f t="shared" si="0"/>
        <v>2318.25</v>
      </c>
      <c r="I80" s="3">
        <v>370.92</v>
      </c>
    </row>
    <row r="81" spans="1:9">
      <c r="A81" t="s">
        <v>354</v>
      </c>
      <c r="B81" s="1">
        <v>41425</v>
      </c>
      <c r="C81" t="s">
        <v>3326</v>
      </c>
      <c r="D81">
        <v>1</v>
      </c>
      <c r="E81" t="s">
        <v>29</v>
      </c>
      <c r="F81" s="12" t="s">
        <v>772</v>
      </c>
      <c r="G81" s="9" t="s">
        <v>29</v>
      </c>
      <c r="H81" s="3">
        <f t="shared" si="0"/>
        <v>90681.3125</v>
      </c>
      <c r="I81" s="3">
        <v>14509.01</v>
      </c>
    </row>
    <row r="82" spans="1:9">
      <c r="A82" t="s">
        <v>1069</v>
      </c>
      <c r="B82" s="1">
        <v>41403</v>
      </c>
      <c r="C82" t="s">
        <v>3229</v>
      </c>
      <c r="D82">
        <v>1</v>
      </c>
      <c r="E82" t="s">
        <v>1239</v>
      </c>
      <c r="F82" s="9" t="s">
        <v>1587</v>
      </c>
      <c r="G82" s="9" t="s">
        <v>1239</v>
      </c>
      <c r="H82" s="3">
        <f t="shared" si="0"/>
        <v>204</v>
      </c>
      <c r="I82" s="3">
        <v>32.64</v>
      </c>
    </row>
    <row r="83" spans="1:9">
      <c r="A83" t="s">
        <v>1468</v>
      </c>
      <c r="B83" s="1">
        <v>41425</v>
      </c>
      <c r="C83" t="s">
        <v>3161</v>
      </c>
      <c r="D83">
        <v>1</v>
      </c>
      <c r="E83" t="s">
        <v>3162</v>
      </c>
      <c r="F83" s="9" t="s">
        <v>773</v>
      </c>
      <c r="G83" s="9" t="s">
        <v>3162</v>
      </c>
      <c r="H83" s="3">
        <f t="shared" si="0"/>
        <v>57.75</v>
      </c>
      <c r="I83" s="3">
        <v>9.24</v>
      </c>
    </row>
    <row r="84" spans="1:9">
      <c r="A84" t="s">
        <v>395</v>
      </c>
      <c r="B84" s="1">
        <v>41424</v>
      </c>
      <c r="C84" t="s">
        <v>3311</v>
      </c>
      <c r="D84">
        <v>1</v>
      </c>
      <c r="E84" t="s">
        <v>3312</v>
      </c>
      <c r="F84" s="9" t="s">
        <v>3362</v>
      </c>
      <c r="G84" s="9" t="s">
        <v>3312</v>
      </c>
      <c r="H84" s="3">
        <f t="shared" ref="H84:H147" si="2">+I84/0.16</f>
        <v>1344</v>
      </c>
      <c r="I84" s="3">
        <v>215.04</v>
      </c>
    </row>
    <row r="85" spans="1:9">
      <c r="A85" t="s">
        <v>3010</v>
      </c>
      <c r="B85" s="1">
        <v>41416</v>
      </c>
      <c r="C85" t="s">
        <v>3011</v>
      </c>
      <c r="D85">
        <v>1</v>
      </c>
      <c r="E85" t="s">
        <v>3012</v>
      </c>
      <c r="F85" s="12" t="s">
        <v>775</v>
      </c>
      <c r="G85" s="9" t="s">
        <v>776</v>
      </c>
      <c r="H85" s="3">
        <f t="shared" si="2"/>
        <v>186701.3125</v>
      </c>
      <c r="I85" s="3">
        <v>29872.21</v>
      </c>
    </row>
    <row r="86" spans="1:9">
      <c r="A86" t="s">
        <v>2979</v>
      </c>
      <c r="B86" s="1">
        <v>41412</v>
      </c>
      <c r="C86" t="s">
        <v>2980</v>
      </c>
      <c r="D86">
        <v>1</v>
      </c>
      <c r="E86" t="s">
        <v>2981</v>
      </c>
      <c r="F86" s="12" t="s">
        <v>775</v>
      </c>
      <c r="G86" s="9" t="s">
        <v>776</v>
      </c>
      <c r="H86" s="3">
        <f t="shared" si="2"/>
        <v>186701.3125</v>
      </c>
      <c r="I86" s="3">
        <v>29872.21</v>
      </c>
    </row>
    <row r="87" spans="1:9">
      <c r="A87" t="s">
        <v>2983</v>
      </c>
      <c r="B87" s="1">
        <v>41412</v>
      </c>
      <c r="C87" t="s">
        <v>2982</v>
      </c>
      <c r="D87">
        <v>1</v>
      </c>
      <c r="E87" t="s">
        <v>2981</v>
      </c>
      <c r="F87" s="12" t="s">
        <v>775</v>
      </c>
      <c r="G87" s="9" t="s">
        <v>776</v>
      </c>
      <c r="H87" s="3">
        <f t="shared" si="2"/>
        <v>186701.3125</v>
      </c>
      <c r="I87" s="3">
        <v>29872.21</v>
      </c>
    </row>
    <row r="88" spans="1:9">
      <c r="A88" t="s">
        <v>717</v>
      </c>
      <c r="B88" s="1">
        <v>41425</v>
      </c>
      <c r="C88" t="s">
        <v>3334</v>
      </c>
      <c r="D88">
        <v>1</v>
      </c>
      <c r="E88" t="s">
        <v>983</v>
      </c>
      <c r="F88" s="9" t="s">
        <v>2849</v>
      </c>
      <c r="G88" s="9" t="s">
        <v>983</v>
      </c>
      <c r="H88" s="3">
        <f t="shared" si="2"/>
        <v>40000</v>
      </c>
      <c r="I88" s="3">
        <v>6400</v>
      </c>
    </row>
    <row r="89" spans="1:9">
      <c r="A89" t="s">
        <v>719</v>
      </c>
      <c r="B89" s="1">
        <v>41425</v>
      </c>
      <c r="C89" t="s">
        <v>3335</v>
      </c>
      <c r="D89">
        <v>1</v>
      </c>
      <c r="E89" t="s">
        <v>983</v>
      </c>
      <c r="F89" s="9" t="s">
        <v>2849</v>
      </c>
      <c r="G89" s="9" t="s">
        <v>983</v>
      </c>
      <c r="H89" s="3">
        <f t="shared" si="2"/>
        <v>10000</v>
      </c>
      <c r="I89" s="3">
        <v>1600</v>
      </c>
    </row>
    <row r="90" spans="1:9">
      <c r="A90" t="s">
        <v>136</v>
      </c>
      <c r="B90" s="1">
        <v>41405</v>
      </c>
      <c r="C90" t="s">
        <v>3236</v>
      </c>
      <c r="D90">
        <v>1</v>
      </c>
      <c r="E90" t="s">
        <v>373</v>
      </c>
      <c r="F90" s="9" t="s">
        <v>780</v>
      </c>
      <c r="G90" s="9" t="s">
        <v>373</v>
      </c>
      <c r="H90" s="3">
        <f t="shared" si="2"/>
        <v>13432.5625</v>
      </c>
      <c r="I90" s="3">
        <v>2149.21</v>
      </c>
    </row>
    <row r="91" spans="1:9">
      <c r="A91" t="s">
        <v>208</v>
      </c>
      <c r="B91" s="1">
        <v>41412</v>
      </c>
      <c r="C91" t="s">
        <v>3253</v>
      </c>
      <c r="D91">
        <v>1</v>
      </c>
      <c r="E91" t="s">
        <v>373</v>
      </c>
      <c r="F91" s="9" t="s">
        <v>780</v>
      </c>
      <c r="G91" s="9" t="s">
        <v>373</v>
      </c>
      <c r="H91" s="3">
        <f t="shared" si="2"/>
        <v>10304</v>
      </c>
      <c r="I91" s="3">
        <v>1648.64</v>
      </c>
    </row>
    <row r="92" spans="1:9">
      <c r="A92" t="s">
        <v>690</v>
      </c>
      <c r="B92" s="1">
        <v>41424</v>
      </c>
      <c r="C92" t="s">
        <v>3315</v>
      </c>
      <c r="D92">
        <v>1</v>
      </c>
      <c r="E92" t="s">
        <v>373</v>
      </c>
      <c r="F92" s="9" t="s">
        <v>780</v>
      </c>
      <c r="G92" s="9" t="s">
        <v>373</v>
      </c>
      <c r="H92" s="3">
        <f t="shared" si="2"/>
        <v>18076.75</v>
      </c>
      <c r="I92" s="3">
        <v>2892.28</v>
      </c>
    </row>
    <row r="93" spans="1:9">
      <c r="A93" t="s">
        <v>444</v>
      </c>
      <c r="B93" s="1">
        <v>41425</v>
      </c>
      <c r="C93" t="s">
        <v>3208</v>
      </c>
      <c r="D93">
        <v>1</v>
      </c>
      <c r="E93" t="s">
        <v>3209</v>
      </c>
      <c r="F93" s="9" t="s">
        <v>1575</v>
      </c>
      <c r="G93" s="9" t="s">
        <v>3209</v>
      </c>
      <c r="H93" s="3">
        <f t="shared" si="2"/>
        <v>183.625</v>
      </c>
      <c r="I93" s="3">
        <v>29.38</v>
      </c>
    </row>
    <row r="94" spans="1:9">
      <c r="A94" t="s">
        <v>1071</v>
      </c>
      <c r="B94" s="1">
        <v>41403</v>
      </c>
      <c r="C94" t="s">
        <v>3230</v>
      </c>
      <c r="D94">
        <v>1</v>
      </c>
      <c r="E94" t="s">
        <v>80</v>
      </c>
      <c r="F94" s="9" t="s">
        <v>781</v>
      </c>
      <c r="G94" s="9" t="s">
        <v>80</v>
      </c>
      <c r="H94" s="3">
        <f t="shared" si="2"/>
        <v>1548</v>
      </c>
      <c r="I94" s="3">
        <v>247.68</v>
      </c>
    </row>
    <row r="95" spans="1:9">
      <c r="A95" t="s">
        <v>205</v>
      </c>
      <c r="B95" s="1">
        <v>41412</v>
      </c>
      <c r="C95" t="s">
        <v>3252</v>
      </c>
      <c r="D95">
        <v>1</v>
      </c>
      <c r="E95" t="s">
        <v>80</v>
      </c>
      <c r="F95" s="9" t="s">
        <v>781</v>
      </c>
      <c r="G95" s="9" t="s">
        <v>80</v>
      </c>
      <c r="H95" s="3">
        <f t="shared" si="2"/>
        <v>3338.9375</v>
      </c>
      <c r="I95" s="3">
        <v>534.23</v>
      </c>
    </row>
    <row r="96" spans="1:9">
      <c r="A96" t="s">
        <v>1460</v>
      </c>
      <c r="B96" s="1">
        <v>41425</v>
      </c>
      <c r="C96" t="s">
        <v>3155</v>
      </c>
      <c r="D96">
        <v>1</v>
      </c>
      <c r="E96" t="s">
        <v>618</v>
      </c>
      <c r="F96" s="9" t="s">
        <v>784</v>
      </c>
      <c r="G96" s="9" t="s">
        <v>618</v>
      </c>
      <c r="H96" s="3">
        <f t="shared" si="2"/>
        <v>172.4375</v>
      </c>
      <c r="I96" s="3">
        <v>27.59</v>
      </c>
    </row>
    <row r="97" spans="1:9">
      <c r="A97" t="s">
        <v>27</v>
      </c>
      <c r="B97" s="1">
        <v>41401</v>
      </c>
      <c r="C97" t="s">
        <v>3217</v>
      </c>
      <c r="D97">
        <v>1</v>
      </c>
      <c r="E97" t="s">
        <v>973</v>
      </c>
      <c r="F97" s="9" t="s">
        <v>1594</v>
      </c>
      <c r="G97" s="9" t="s">
        <v>973</v>
      </c>
      <c r="H97" s="3">
        <f t="shared" si="2"/>
        <v>1042.25</v>
      </c>
      <c r="I97" s="3">
        <v>166.76</v>
      </c>
    </row>
    <row r="98" spans="1:9">
      <c r="A98" t="s">
        <v>1145</v>
      </c>
      <c r="B98" s="1">
        <v>41411</v>
      </c>
      <c r="C98" t="s">
        <v>3242</v>
      </c>
      <c r="D98">
        <v>1</v>
      </c>
      <c r="E98" t="s">
        <v>973</v>
      </c>
      <c r="F98" s="12" t="s">
        <v>1594</v>
      </c>
      <c r="G98" s="9" t="s">
        <v>973</v>
      </c>
      <c r="H98" s="3">
        <f t="shared" si="2"/>
        <v>2500</v>
      </c>
      <c r="I98" s="3">
        <v>400</v>
      </c>
    </row>
    <row r="99" spans="1:9">
      <c r="A99" t="s">
        <v>3294</v>
      </c>
      <c r="B99" s="1">
        <v>41422</v>
      </c>
      <c r="C99" t="s">
        <v>3295</v>
      </c>
      <c r="D99">
        <v>1</v>
      </c>
      <c r="E99" t="s">
        <v>973</v>
      </c>
      <c r="F99" s="9" t="s">
        <v>1594</v>
      </c>
      <c r="G99" s="9" t="s">
        <v>973</v>
      </c>
      <c r="H99" s="3">
        <f t="shared" si="2"/>
        <v>2859</v>
      </c>
      <c r="I99" s="3">
        <v>457.44</v>
      </c>
    </row>
    <row r="100" spans="1:9">
      <c r="A100" t="s">
        <v>3296</v>
      </c>
      <c r="B100" s="1">
        <v>41422</v>
      </c>
      <c r="C100" t="s">
        <v>3297</v>
      </c>
      <c r="D100">
        <v>1</v>
      </c>
      <c r="E100" t="s">
        <v>973</v>
      </c>
      <c r="F100" s="9" t="s">
        <v>1594</v>
      </c>
      <c r="G100" s="9" t="s">
        <v>973</v>
      </c>
      <c r="H100" s="3">
        <f t="shared" si="2"/>
        <v>2859</v>
      </c>
      <c r="I100" s="3">
        <v>457.44</v>
      </c>
    </row>
    <row r="101" spans="1:9">
      <c r="A101" t="s">
        <v>3298</v>
      </c>
      <c r="B101" s="1">
        <v>41422</v>
      </c>
      <c r="C101" t="s">
        <v>3299</v>
      </c>
      <c r="D101">
        <v>1</v>
      </c>
      <c r="E101" t="s">
        <v>973</v>
      </c>
      <c r="F101" s="9" t="s">
        <v>1594</v>
      </c>
      <c r="G101" s="9" t="s">
        <v>973</v>
      </c>
      <c r="H101" s="3">
        <f t="shared" si="2"/>
        <v>3603.4374999999995</v>
      </c>
      <c r="I101" s="3">
        <v>576.54999999999995</v>
      </c>
    </row>
    <row r="102" spans="1:9">
      <c r="A102" t="s">
        <v>3300</v>
      </c>
      <c r="B102" s="1">
        <v>41423</v>
      </c>
      <c r="C102" t="s">
        <v>3301</v>
      </c>
      <c r="D102">
        <v>1</v>
      </c>
      <c r="E102" t="s">
        <v>973</v>
      </c>
      <c r="F102" s="9" t="s">
        <v>1594</v>
      </c>
      <c r="G102" s="9" t="s">
        <v>973</v>
      </c>
      <c r="H102" s="3">
        <f t="shared" si="2"/>
        <v>2500</v>
      </c>
      <c r="I102" s="3">
        <v>400</v>
      </c>
    </row>
    <row r="103" spans="1:9">
      <c r="A103" t="s">
        <v>2804</v>
      </c>
      <c r="B103" s="1">
        <v>41423</v>
      </c>
      <c r="C103" t="s">
        <v>3302</v>
      </c>
      <c r="D103">
        <v>1</v>
      </c>
      <c r="E103" t="s">
        <v>973</v>
      </c>
      <c r="F103" s="9" t="s">
        <v>1594</v>
      </c>
      <c r="G103" s="9" t="s">
        <v>973</v>
      </c>
      <c r="H103" s="3">
        <f t="shared" si="2"/>
        <v>2500</v>
      </c>
      <c r="I103" s="3">
        <v>400</v>
      </c>
    </row>
    <row r="104" spans="1:9">
      <c r="A104" t="s">
        <v>2968</v>
      </c>
      <c r="B104" s="1">
        <v>41408</v>
      </c>
      <c r="C104" t="s">
        <v>2969</v>
      </c>
      <c r="D104">
        <v>1</v>
      </c>
      <c r="E104" t="s">
        <v>2451</v>
      </c>
      <c r="F104" s="9" t="s">
        <v>1595</v>
      </c>
      <c r="G104" s="9" t="s">
        <v>1596</v>
      </c>
      <c r="H104" s="3">
        <f t="shared" si="2"/>
        <v>277751.8125</v>
      </c>
      <c r="I104" s="3">
        <v>44440.29</v>
      </c>
    </row>
    <row r="105" spans="1:9">
      <c r="A105" t="s">
        <v>438</v>
      </c>
      <c r="B105" s="1">
        <v>41425</v>
      </c>
      <c r="C105" t="s">
        <v>3199</v>
      </c>
      <c r="D105">
        <v>1</v>
      </c>
      <c r="E105" t="s">
        <v>1444</v>
      </c>
      <c r="F105" s="9" t="s">
        <v>789</v>
      </c>
      <c r="G105" s="9" t="s">
        <v>1444</v>
      </c>
      <c r="H105" s="3">
        <f t="shared" si="2"/>
        <v>65.5</v>
      </c>
      <c r="I105" s="3">
        <v>10.48</v>
      </c>
    </row>
    <row r="106" spans="1:9">
      <c r="A106" t="s">
        <v>2998</v>
      </c>
      <c r="B106" s="1">
        <v>41410</v>
      </c>
      <c r="C106" t="s">
        <v>2935</v>
      </c>
      <c r="D106">
        <v>1</v>
      </c>
      <c r="E106" t="s">
        <v>2999</v>
      </c>
      <c r="F106" s="67" t="s">
        <v>829</v>
      </c>
      <c r="G106" s="68" t="s">
        <v>6</v>
      </c>
      <c r="H106" s="3">
        <f t="shared" si="2"/>
        <v>549.4375</v>
      </c>
      <c r="I106" s="3">
        <v>87.91</v>
      </c>
    </row>
    <row r="107" spans="1:9">
      <c r="A107" t="s">
        <v>3339</v>
      </c>
      <c r="B107" s="1">
        <v>41424</v>
      </c>
      <c r="C107" t="s">
        <v>3340</v>
      </c>
      <c r="D107">
        <v>1</v>
      </c>
      <c r="E107" t="s">
        <v>3341</v>
      </c>
      <c r="F107" s="67" t="s">
        <v>829</v>
      </c>
      <c r="G107" s="68" t="s">
        <v>6</v>
      </c>
      <c r="H107" s="3">
        <f t="shared" si="2"/>
        <v>522.125</v>
      </c>
      <c r="I107" s="3">
        <v>83.54</v>
      </c>
    </row>
    <row r="108" spans="1:9">
      <c r="A108" t="s">
        <v>2970</v>
      </c>
      <c r="B108" s="1">
        <v>41408</v>
      </c>
      <c r="C108" t="s">
        <v>2971</v>
      </c>
      <c r="D108">
        <v>1</v>
      </c>
      <c r="E108" t="s">
        <v>2972</v>
      </c>
      <c r="F108" s="13" t="s">
        <v>1598</v>
      </c>
      <c r="G108" s="9" t="s">
        <v>1599</v>
      </c>
      <c r="H108" s="3">
        <f t="shared" si="2"/>
        <v>205379.4375</v>
      </c>
      <c r="I108" s="3">
        <v>32860.71</v>
      </c>
    </row>
    <row r="109" spans="1:9">
      <c r="A109" t="s">
        <v>3086</v>
      </c>
      <c r="B109" s="1">
        <v>41425</v>
      </c>
      <c r="C109" t="s">
        <v>3087</v>
      </c>
      <c r="D109">
        <v>1</v>
      </c>
      <c r="E109" t="s">
        <v>3088</v>
      </c>
      <c r="F109" s="9" t="s">
        <v>3363</v>
      </c>
      <c r="G109" s="9" t="s">
        <v>3088</v>
      </c>
      <c r="H109" s="3">
        <f t="shared" si="2"/>
        <v>120</v>
      </c>
      <c r="I109" s="3">
        <v>19.2</v>
      </c>
    </row>
    <row r="110" spans="1:9">
      <c r="A110" t="s">
        <v>3172</v>
      </c>
      <c r="B110" s="1">
        <v>41425</v>
      </c>
      <c r="C110" t="s">
        <v>3173</v>
      </c>
      <c r="D110">
        <v>1</v>
      </c>
      <c r="E110" t="s">
        <v>612</v>
      </c>
      <c r="F110" s="9" t="s">
        <v>794</v>
      </c>
      <c r="G110" s="9" t="s">
        <v>612</v>
      </c>
      <c r="H110" s="3">
        <f t="shared" si="2"/>
        <v>160</v>
      </c>
      <c r="I110" s="3">
        <v>25.6</v>
      </c>
    </row>
    <row r="111" spans="1:9">
      <c r="A111" t="s">
        <v>1479</v>
      </c>
      <c r="B111" s="1">
        <v>41425</v>
      </c>
      <c r="C111" t="s">
        <v>3181</v>
      </c>
      <c r="D111">
        <v>1</v>
      </c>
      <c r="E111" t="s">
        <v>612</v>
      </c>
      <c r="F111" s="9" t="s">
        <v>794</v>
      </c>
      <c r="G111" s="9" t="s">
        <v>612</v>
      </c>
      <c r="H111" s="3">
        <f t="shared" si="2"/>
        <v>80</v>
      </c>
      <c r="I111" s="3">
        <v>12.8</v>
      </c>
    </row>
    <row r="112" spans="1:9">
      <c r="A112" t="s">
        <v>347</v>
      </c>
      <c r="B112" s="1">
        <v>41422</v>
      </c>
      <c r="C112" t="s">
        <v>3291</v>
      </c>
      <c r="D112">
        <v>1</v>
      </c>
      <c r="E112" t="s">
        <v>1011</v>
      </c>
      <c r="F112" s="9" t="s">
        <v>1600</v>
      </c>
      <c r="G112" s="9" t="s">
        <v>1011</v>
      </c>
      <c r="H112" s="3">
        <f t="shared" si="2"/>
        <v>10379.375</v>
      </c>
      <c r="I112" s="3">
        <v>1660.7</v>
      </c>
    </row>
    <row r="113" spans="1:9">
      <c r="A113" t="s">
        <v>329</v>
      </c>
      <c r="B113" s="1">
        <v>41422</v>
      </c>
      <c r="C113" t="s">
        <v>3278</v>
      </c>
      <c r="D113">
        <v>1</v>
      </c>
      <c r="E113" t="s">
        <v>3279</v>
      </c>
      <c r="F113" s="9" t="s">
        <v>3364</v>
      </c>
      <c r="G113" s="9" t="s">
        <v>3279</v>
      </c>
      <c r="H113" s="3">
        <f t="shared" si="2"/>
        <v>4022</v>
      </c>
      <c r="I113" s="3">
        <v>643.52</v>
      </c>
    </row>
    <row r="114" spans="1:9">
      <c r="A114" t="s">
        <v>2738</v>
      </c>
      <c r="B114" s="1">
        <v>41407</v>
      </c>
      <c r="C114" t="s">
        <v>3238</v>
      </c>
      <c r="D114">
        <v>1</v>
      </c>
      <c r="E114" t="s">
        <v>965</v>
      </c>
      <c r="F114" s="9" t="s">
        <v>3365</v>
      </c>
      <c r="G114" s="9" t="s">
        <v>3366</v>
      </c>
      <c r="H114" s="3">
        <f t="shared" si="2"/>
        <v>8552.5625</v>
      </c>
      <c r="I114" s="3">
        <v>1368.41</v>
      </c>
    </row>
    <row r="115" spans="1:9">
      <c r="A115" t="s">
        <v>2525</v>
      </c>
      <c r="B115" s="1">
        <v>41425</v>
      </c>
      <c r="C115" t="s">
        <v>3189</v>
      </c>
      <c r="D115">
        <v>1</v>
      </c>
      <c r="E115" t="s">
        <v>3190</v>
      </c>
      <c r="F115" t="s">
        <v>3367</v>
      </c>
      <c r="G115" t="s">
        <v>3190</v>
      </c>
      <c r="H115" s="3">
        <f t="shared" si="2"/>
        <v>137.9375</v>
      </c>
      <c r="I115" s="3">
        <v>22.07</v>
      </c>
    </row>
    <row r="116" spans="1:9">
      <c r="A116" t="s">
        <v>3039</v>
      </c>
      <c r="B116" s="1">
        <v>41419</v>
      </c>
      <c r="C116" t="s">
        <v>3040</v>
      </c>
      <c r="D116">
        <v>1</v>
      </c>
      <c r="E116" t="s">
        <v>3041</v>
      </c>
      <c r="F116" s="41" t="s">
        <v>2285</v>
      </c>
      <c r="G116" s="33" t="s">
        <v>1800</v>
      </c>
      <c r="H116" s="3">
        <f t="shared" si="2"/>
        <v>474604.5</v>
      </c>
      <c r="I116" s="3">
        <v>75936.72</v>
      </c>
    </row>
    <row r="117" spans="1:9">
      <c r="A117" t="s">
        <v>389</v>
      </c>
      <c r="B117" s="1">
        <v>41424</v>
      </c>
      <c r="C117" t="s">
        <v>3307</v>
      </c>
      <c r="D117">
        <v>2</v>
      </c>
      <c r="E117" t="s">
        <v>220</v>
      </c>
      <c r="F117" s="9" t="s">
        <v>797</v>
      </c>
      <c r="G117" s="9" t="s">
        <v>220</v>
      </c>
      <c r="H117" s="3">
        <f t="shared" si="2"/>
        <v>9995</v>
      </c>
      <c r="I117" s="3">
        <v>1599.2</v>
      </c>
    </row>
    <row r="118" spans="1:9">
      <c r="A118" t="s">
        <v>98</v>
      </c>
      <c r="B118" s="1">
        <v>41403</v>
      </c>
      <c r="C118" t="s">
        <v>3227</v>
      </c>
      <c r="D118">
        <v>1</v>
      </c>
      <c r="E118" t="s">
        <v>77</v>
      </c>
      <c r="F118" s="9" t="s">
        <v>798</v>
      </c>
      <c r="G118" s="9" t="s">
        <v>77</v>
      </c>
      <c r="H118" s="3">
        <f t="shared" si="2"/>
        <v>1071</v>
      </c>
      <c r="I118" s="3">
        <v>171.36</v>
      </c>
    </row>
    <row r="119" spans="1:9">
      <c r="A119" t="s">
        <v>3250</v>
      </c>
      <c r="B119" s="1">
        <v>41412</v>
      </c>
      <c r="C119" t="s">
        <v>3251</v>
      </c>
      <c r="D119">
        <v>1</v>
      </c>
      <c r="E119" t="s">
        <v>77</v>
      </c>
      <c r="F119" s="9" t="s">
        <v>798</v>
      </c>
      <c r="G119" s="9" t="s">
        <v>77</v>
      </c>
      <c r="H119" s="3">
        <f t="shared" si="2"/>
        <v>540</v>
      </c>
      <c r="I119" s="3">
        <v>86.4</v>
      </c>
    </row>
    <row r="120" spans="1:9">
      <c r="A120" t="s">
        <v>391</v>
      </c>
      <c r="B120" s="1">
        <v>41424</v>
      </c>
      <c r="C120" t="s">
        <v>3309</v>
      </c>
      <c r="D120">
        <v>1</v>
      </c>
      <c r="E120" t="s">
        <v>77</v>
      </c>
      <c r="F120" s="9" t="s">
        <v>798</v>
      </c>
      <c r="G120" s="9" t="s">
        <v>77</v>
      </c>
      <c r="H120" s="3">
        <f t="shared" si="2"/>
        <v>1715.3749999999998</v>
      </c>
      <c r="I120" s="3">
        <v>274.45999999999998</v>
      </c>
    </row>
    <row r="121" spans="1:9">
      <c r="A121" t="s">
        <v>110</v>
      </c>
      <c r="B121" s="1">
        <v>41403</v>
      </c>
      <c r="C121" t="s">
        <v>3232</v>
      </c>
      <c r="D121">
        <v>2</v>
      </c>
      <c r="E121" t="s">
        <v>74</v>
      </c>
      <c r="F121" s="9" t="s">
        <v>803</v>
      </c>
      <c r="G121" s="9" t="s">
        <v>74</v>
      </c>
      <c r="H121" s="3">
        <f t="shared" si="2"/>
        <v>6186.875</v>
      </c>
      <c r="I121" s="3">
        <v>989.9</v>
      </c>
    </row>
    <row r="122" spans="1:9">
      <c r="A122" t="s">
        <v>1158</v>
      </c>
      <c r="B122" s="1">
        <v>41412</v>
      </c>
      <c r="C122" t="s">
        <v>3246</v>
      </c>
      <c r="D122">
        <v>2</v>
      </c>
      <c r="E122" t="s">
        <v>74</v>
      </c>
      <c r="F122" s="12" t="s">
        <v>803</v>
      </c>
      <c r="G122" s="9" t="s">
        <v>74</v>
      </c>
      <c r="H122" s="3">
        <f t="shared" si="2"/>
        <v>6746.5625</v>
      </c>
      <c r="I122" s="3">
        <v>1079.45</v>
      </c>
    </row>
    <row r="123" spans="1:9">
      <c r="A123" t="s">
        <v>2207</v>
      </c>
      <c r="B123" s="1">
        <v>41417</v>
      </c>
      <c r="C123" t="s">
        <v>3270</v>
      </c>
      <c r="D123">
        <v>2</v>
      </c>
      <c r="E123" t="s">
        <v>74</v>
      </c>
      <c r="F123" s="9" t="s">
        <v>803</v>
      </c>
      <c r="G123" s="9" t="s">
        <v>74</v>
      </c>
      <c r="H123" s="3">
        <f t="shared" si="2"/>
        <v>7554.875</v>
      </c>
      <c r="I123" s="3">
        <v>1208.78</v>
      </c>
    </row>
    <row r="124" spans="1:9">
      <c r="A124" t="s">
        <v>2242</v>
      </c>
      <c r="B124" s="1">
        <v>41424</v>
      </c>
      <c r="C124" t="s">
        <v>3306</v>
      </c>
      <c r="D124">
        <v>2</v>
      </c>
      <c r="E124" t="s">
        <v>74</v>
      </c>
      <c r="F124" s="9" t="s">
        <v>803</v>
      </c>
      <c r="G124" s="9" t="s">
        <v>74</v>
      </c>
      <c r="H124" s="3">
        <f t="shared" si="2"/>
        <v>6829.5</v>
      </c>
      <c r="I124" s="3">
        <v>1092.72</v>
      </c>
    </row>
    <row r="125" spans="1:9">
      <c r="A125" t="s">
        <v>216</v>
      </c>
      <c r="B125" s="1">
        <v>41412</v>
      </c>
      <c r="C125" t="s">
        <v>3258</v>
      </c>
      <c r="D125">
        <v>1</v>
      </c>
      <c r="E125" t="s">
        <v>112</v>
      </c>
      <c r="F125" s="9" t="s">
        <v>805</v>
      </c>
      <c r="G125" s="9" t="s">
        <v>112</v>
      </c>
      <c r="H125" s="3">
        <f t="shared" si="2"/>
        <v>25000</v>
      </c>
      <c r="I125" s="3">
        <v>4000</v>
      </c>
    </row>
    <row r="126" spans="1:9">
      <c r="A126" t="s">
        <v>341</v>
      </c>
      <c r="B126" s="1">
        <v>41422</v>
      </c>
      <c r="C126" t="s">
        <v>3288</v>
      </c>
      <c r="D126">
        <v>1</v>
      </c>
      <c r="E126" t="s">
        <v>2731</v>
      </c>
      <c r="F126" s="9" t="s">
        <v>2854</v>
      </c>
      <c r="G126" s="9" t="s">
        <v>2731</v>
      </c>
      <c r="H126" s="3">
        <f t="shared" si="2"/>
        <v>438.81249999999994</v>
      </c>
      <c r="I126" s="3">
        <v>70.209999999999994</v>
      </c>
    </row>
    <row r="127" spans="1:9">
      <c r="A127" t="s">
        <v>3317</v>
      </c>
      <c r="B127" s="1">
        <v>41424</v>
      </c>
      <c r="C127" t="s">
        <v>3318</v>
      </c>
      <c r="D127">
        <v>2</v>
      </c>
      <c r="E127" t="s">
        <v>207</v>
      </c>
      <c r="F127" s="9" t="s">
        <v>806</v>
      </c>
      <c r="G127" s="9" t="s">
        <v>207</v>
      </c>
      <c r="H127" s="3">
        <f t="shared" si="2"/>
        <v>2142</v>
      </c>
      <c r="I127" s="3">
        <v>342.72</v>
      </c>
    </row>
    <row r="128" spans="1:9">
      <c r="A128" t="s">
        <v>692</v>
      </c>
      <c r="B128" s="1">
        <v>41424</v>
      </c>
      <c r="C128" t="s">
        <v>3319</v>
      </c>
      <c r="D128">
        <v>1</v>
      </c>
      <c r="E128" t="s">
        <v>207</v>
      </c>
      <c r="F128" s="9" t="s">
        <v>806</v>
      </c>
      <c r="G128" s="9" t="s">
        <v>207</v>
      </c>
      <c r="H128" s="3">
        <f t="shared" si="2"/>
        <v>1596</v>
      </c>
      <c r="I128" s="3">
        <v>255.36</v>
      </c>
    </row>
    <row r="129" spans="1:12">
      <c r="A129" t="s">
        <v>420</v>
      </c>
      <c r="B129" s="1">
        <v>41425</v>
      </c>
      <c r="C129" t="s">
        <v>3144</v>
      </c>
      <c r="D129">
        <v>1</v>
      </c>
      <c r="E129" t="s">
        <v>3145</v>
      </c>
      <c r="F129" s="9" t="s">
        <v>811</v>
      </c>
      <c r="G129" s="9" t="s">
        <v>3145</v>
      </c>
      <c r="H129" s="3">
        <f t="shared" si="2"/>
        <v>18.3125</v>
      </c>
      <c r="I129" s="3">
        <v>2.93</v>
      </c>
    </row>
    <row r="130" spans="1:12">
      <c r="A130" t="s">
        <v>2105</v>
      </c>
      <c r="B130" s="1">
        <v>41425</v>
      </c>
      <c r="C130" t="s">
        <v>3149</v>
      </c>
      <c r="D130">
        <v>1</v>
      </c>
      <c r="E130" t="s">
        <v>2064</v>
      </c>
      <c r="F130" s="9" t="s">
        <v>2290</v>
      </c>
      <c r="G130" s="9" t="s">
        <v>2291</v>
      </c>
      <c r="H130" s="3">
        <f t="shared" si="2"/>
        <v>425</v>
      </c>
      <c r="I130" s="3">
        <v>68</v>
      </c>
    </row>
    <row r="131" spans="1:12">
      <c r="A131" t="s">
        <v>1765</v>
      </c>
      <c r="B131" s="1">
        <v>41404</v>
      </c>
      <c r="C131" t="s">
        <v>2948</v>
      </c>
      <c r="D131">
        <v>1</v>
      </c>
      <c r="E131" t="s">
        <v>2949</v>
      </c>
      <c r="F131" s="9" t="s">
        <v>814</v>
      </c>
      <c r="G131" s="9" t="s">
        <v>2949</v>
      </c>
      <c r="H131" s="3">
        <f t="shared" si="2"/>
        <v>277751.8125</v>
      </c>
      <c r="I131" s="3">
        <v>44440.29</v>
      </c>
    </row>
    <row r="132" spans="1:12">
      <c r="A132" t="s">
        <v>1957</v>
      </c>
      <c r="B132" s="1">
        <v>41425</v>
      </c>
      <c r="C132" t="s">
        <v>3071</v>
      </c>
      <c r="D132">
        <v>1</v>
      </c>
      <c r="E132" t="s">
        <v>3072</v>
      </c>
      <c r="F132" s="9" t="s">
        <v>814</v>
      </c>
      <c r="G132" s="9" t="s">
        <v>2949</v>
      </c>
      <c r="H132" s="3">
        <f t="shared" si="2"/>
        <v>199344.9375</v>
      </c>
      <c r="I132" s="3">
        <v>31895.19</v>
      </c>
    </row>
    <row r="133" spans="1:12">
      <c r="A133" t="s">
        <v>2951</v>
      </c>
      <c r="B133" s="1">
        <v>41405</v>
      </c>
      <c r="C133" t="s">
        <v>2952</v>
      </c>
      <c r="D133">
        <v>1</v>
      </c>
      <c r="E133" t="s">
        <v>2950</v>
      </c>
      <c r="F133" s="9" t="s">
        <v>814</v>
      </c>
      <c r="G133" s="9" t="s">
        <v>2949</v>
      </c>
      <c r="H133" s="3">
        <f t="shared" si="2"/>
        <v>283989.8125</v>
      </c>
      <c r="I133" s="3">
        <v>45438.37</v>
      </c>
    </row>
    <row r="134" spans="1:12">
      <c r="A134" t="s">
        <v>1255</v>
      </c>
      <c r="B134" s="1">
        <v>41417</v>
      </c>
      <c r="C134" t="s">
        <v>3273</v>
      </c>
      <c r="D134">
        <v>1</v>
      </c>
      <c r="E134" t="s">
        <v>3274</v>
      </c>
      <c r="F134" s="28" t="s">
        <v>943</v>
      </c>
      <c r="G134" s="28" t="s">
        <v>3371</v>
      </c>
      <c r="H134" s="3">
        <f t="shared" si="2"/>
        <v>292.0625</v>
      </c>
      <c r="I134" s="3">
        <v>46.73</v>
      </c>
    </row>
    <row r="135" spans="1:12">
      <c r="A135" t="s">
        <v>3330</v>
      </c>
      <c r="B135" s="1">
        <v>41425</v>
      </c>
      <c r="C135" t="s">
        <v>3331</v>
      </c>
      <c r="D135">
        <v>1</v>
      </c>
      <c r="E135" t="s">
        <v>3332</v>
      </c>
      <c r="F135" t="s">
        <v>1571</v>
      </c>
      <c r="G135" t="s">
        <v>1285</v>
      </c>
      <c r="H135" s="3">
        <f t="shared" si="2"/>
        <v>19935</v>
      </c>
      <c r="I135" s="3">
        <v>3189.6</v>
      </c>
      <c r="K135" s="135">
        <f t="shared" ref="K135" si="3">+L135/0.16</f>
        <v>19935</v>
      </c>
      <c r="L135" s="135">
        <v>3189.6</v>
      </c>
    </row>
    <row r="136" spans="1:12">
      <c r="A136" t="s">
        <v>2960</v>
      </c>
      <c r="B136" s="1">
        <v>41407</v>
      </c>
      <c r="C136" t="s">
        <v>2961</v>
      </c>
      <c r="D136">
        <v>1</v>
      </c>
      <c r="E136" t="s">
        <v>2962</v>
      </c>
      <c r="F136" s="9" t="s">
        <v>3368</v>
      </c>
      <c r="G136" s="9" t="s">
        <v>3369</v>
      </c>
      <c r="H136" s="3">
        <f t="shared" si="2"/>
        <v>1511.75</v>
      </c>
      <c r="I136" s="3">
        <v>241.88</v>
      </c>
    </row>
    <row r="137" spans="1:12">
      <c r="A137" t="s">
        <v>2167</v>
      </c>
      <c r="B137" s="1">
        <v>41404</v>
      </c>
      <c r="C137" t="s">
        <v>3234</v>
      </c>
      <c r="D137">
        <v>1</v>
      </c>
      <c r="E137" t="s">
        <v>1157</v>
      </c>
      <c r="F137" s="9" t="s">
        <v>764</v>
      </c>
      <c r="G137" s="9" t="s">
        <v>100</v>
      </c>
      <c r="H137" s="3">
        <f t="shared" si="2"/>
        <v>21718.8125</v>
      </c>
      <c r="I137" s="3">
        <v>3475.01</v>
      </c>
    </row>
    <row r="138" spans="1:12">
      <c r="A138" t="s">
        <v>3078</v>
      </c>
      <c r="B138" s="1">
        <v>41425</v>
      </c>
      <c r="C138" t="s">
        <v>433</v>
      </c>
      <c r="D138">
        <v>1</v>
      </c>
      <c r="E138" t="s">
        <v>3079</v>
      </c>
      <c r="F138" s="12" t="s">
        <v>950</v>
      </c>
      <c r="G138" s="20" t="s">
        <v>951</v>
      </c>
      <c r="H138" s="3">
        <f t="shared" si="2"/>
        <v>6109.5</v>
      </c>
      <c r="I138" s="3">
        <v>977.52</v>
      </c>
    </row>
    <row r="139" spans="1:12">
      <c r="A139" t="s">
        <v>271</v>
      </c>
      <c r="B139" s="1">
        <v>41425</v>
      </c>
      <c r="C139" t="s">
        <v>3328</v>
      </c>
      <c r="D139">
        <v>1</v>
      </c>
      <c r="E139" t="s">
        <v>3329</v>
      </c>
      <c r="F139" t="s">
        <v>4346</v>
      </c>
      <c r="G139" t="s">
        <v>4318</v>
      </c>
      <c r="H139" s="3">
        <f t="shared" si="2"/>
        <v>1487.125</v>
      </c>
      <c r="I139" s="3">
        <v>237.94</v>
      </c>
      <c r="K139" s="135">
        <f t="shared" ref="K139" si="4">+L139/0.16</f>
        <v>1487.125</v>
      </c>
      <c r="L139" s="135">
        <v>237.94</v>
      </c>
    </row>
    <row r="140" spans="1:12">
      <c r="A140" t="s">
        <v>2929</v>
      </c>
      <c r="B140" s="1">
        <v>41402</v>
      </c>
      <c r="C140" t="s">
        <v>2930</v>
      </c>
      <c r="D140">
        <v>1</v>
      </c>
      <c r="E140" t="s">
        <v>2931</v>
      </c>
      <c r="F140" s="67" t="s">
        <v>829</v>
      </c>
      <c r="G140" s="68" t="s">
        <v>6</v>
      </c>
      <c r="H140" s="3">
        <f t="shared" si="2"/>
        <v>1790.5</v>
      </c>
      <c r="I140" s="3">
        <v>286.48</v>
      </c>
    </row>
    <row r="141" spans="1:12">
      <c r="A141" t="s">
        <v>3021</v>
      </c>
      <c r="B141" s="1">
        <v>41418</v>
      </c>
      <c r="C141" t="s">
        <v>3022</v>
      </c>
      <c r="D141">
        <v>1</v>
      </c>
      <c r="E141" t="s">
        <v>3023</v>
      </c>
      <c r="F141" s="67" t="s">
        <v>829</v>
      </c>
      <c r="G141" s="68" t="s">
        <v>6</v>
      </c>
      <c r="H141" s="3">
        <f t="shared" si="2"/>
        <v>719.375</v>
      </c>
      <c r="I141" s="3">
        <v>115.1</v>
      </c>
    </row>
    <row r="142" spans="1:12">
      <c r="A142" t="s">
        <v>211</v>
      </c>
      <c r="B142" s="1">
        <v>41412</v>
      </c>
      <c r="C142" t="s">
        <v>3254</v>
      </c>
      <c r="D142">
        <v>1</v>
      </c>
      <c r="E142" t="s">
        <v>1128</v>
      </c>
      <c r="F142" s="11" t="s">
        <v>802</v>
      </c>
      <c r="G142" s="11" t="s">
        <v>3370</v>
      </c>
      <c r="H142" s="3">
        <f t="shared" si="2"/>
        <v>326</v>
      </c>
      <c r="I142" s="3">
        <v>52.16</v>
      </c>
    </row>
    <row r="143" spans="1:12">
      <c r="A143" t="s">
        <v>3264</v>
      </c>
      <c r="B143" s="1">
        <v>41417</v>
      </c>
      <c r="C143" t="s">
        <v>3265</v>
      </c>
      <c r="D143">
        <v>1</v>
      </c>
      <c r="E143" t="s">
        <v>1128</v>
      </c>
      <c r="F143" s="11" t="s">
        <v>802</v>
      </c>
      <c r="G143" s="11" t="s">
        <v>3370</v>
      </c>
      <c r="H143" s="3">
        <f t="shared" si="2"/>
        <v>494.00000000000006</v>
      </c>
      <c r="I143" s="3">
        <v>79.040000000000006</v>
      </c>
    </row>
    <row r="144" spans="1:12">
      <c r="A144" t="s">
        <v>1350</v>
      </c>
      <c r="B144" s="1">
        <v>41422</v>
      </c>
      <c r="C144" t="s">
        <v>3049</v>
      </c>
      <c r="D144">
        <v>1</v>
      </c>
      <c r="E144" t="s">
        <v>5</v>
      </c>
      <c r="F144" s="18" t="s">
        <v>816</v>
      </c>
      <c r="G144" s="19" t="s">
        <v>5</v>
      </c>
      <c r="H144" s="3">
        <f t="shared" si="2"/>
        <v>107142.875</v>
      </c>
      <c r="I144" s="3">
        <v>17142.86</v>
      </c>
    </row>
    <row r="145" spans="1:12">
      <c r="A145" t="s">
        <v>3050</v>
      </c>
      <c r="B145" s="1">
        <v>41422</v>
      </c>
      <c r="C145" t="s">
        <v>3051</v>
      </c>
      <c r="D145">
        <v>1</v>
      </c>
      <c r="E145" t="s">
        <v>2</v>
      </c>
      <c r="F145" s="18" t="s">
        <v>843</v>
      </c>
      <c r="G145" s="19" t="s">
        <v>844</v>
      </c>
      <c r="H145" s="3">
        <f t="shared" si="2"/>
        <v>107142.875</v>
      </c>
      <c r="I145" s="3">
        <v>17142.86</v>
      </c>
    </row>
    <row r="146" spans="1:12">
      <c r="A146" t="s">
        <v>2934</v>
      </c>
      <c r="B146" s="1">
        <v>41404</v>
      </c>
      <c r="C146" t="s">
        <v>2935</v>
      </c>
      <c r="D146">
        <v>1</v>
      </c>
      <c r="E146" t="s">
        <v>57</v>
      </c>
      <c r="F146" s="8" t="s">
        <v>921</v>
      </c>
      <c r="G146" s="9" t="s">
        <v>922</v>
      </c>
      <c r="H146" s="3">
        <f t="shared" si="2"/>
        <v>183620.6875</v>
      </c>
      <c r="I146" s="3">
        <v>29379.31</v>
      </c>
    </row>
    <row r="147" spans="1:12">
      <c r="A147" t="s">
        <v>1208</v>
      </c>
      <c r="B147" s="1">
        <v>41415</v>
      </c>
      <c r="C147" t="s">
        <v>3003</v>
      </c>
      <c r="D147">
        <v>1</v>
      </c>
      <c r="E147" t="s">
        <v>57</v>
      </c>
      <c r="F147" s="8" t="s">
        <v>921</v>
      </c>
      <c r="G147" s="9" t="s">
        <v>922</v>
      </c>
      <c r="H147" s="3">
        <f t="shared" si="2"/>
        <v>19952.25</v>
      </c>
      <c r="I147" s="3">
        <v>3192.36</v>
      </c>
    </row>
    <row r="148" spans="1:12">
      <c r="A148" t="s">
        <v>1211</v>
      </c>
      <c r="B148" s="1">
        <v>41415</v>
      </c>
      <c r="C148" t="s">
        <v>3004</v>
      </c>
      <c r="D148">
        <v>1</v>
      </c>
      <c r="E148" t="s">
        <v>57</v>
      </c>
      <c r="F148" s="8" t="s">
        <v>921</v>
      </c>
      <c r="G148" s="9" t="s">
        <v>922</v>
      </c>
      <c r="H148" s="3">
        <f t="shared" ref="H148:H211" si="5">+I148/0.16</f>
        <v>3571.125</v>
      </c>
      <c r="I148" s="3">
        <v>571.38</v>
      </c>
    </row>
    <row r="149" spans="1:12">
      <c r="A149" t="s">
        <v>1180</v>
      </c>
      <c r="B149" s="1">
        <v>41415</v>
      </c>
      <c r="C149" t="s">
        <v>3005</v>
      </c>
      <c r="D149">
        <v>1</v>
      </c>
      <c r="E149" t="s">
        <v>57</v>
      </c>
      <c r="F149" s="8" t="s">
        <v>921</v>
      </c>
      <c r="G149" s="9" t="s">
        <v>922</v>
      </c>
      <c r="H149" s="3">
        <f t="shared" si="5"/>
        <v>1587.625</v>
      </c>
      <c r="I149" s="3">
        <v>254.02</v>
      </c>
    </row>
    <row r="150" spans="1:12">
      <c r="A150" t="s">
        <v>3061</v>
      </c>
      <c r="B150" s="1">
        <v>41425</v>
      </c>
      <c r="C150" t="s">
        <v>3062</v>
      </c>
      <c r="D150">
        <v>1</v>
      </c>
      <c r="E150" t="s">
        <v>57</v>
      </c>
      <c r="F150" s="8" t="s">
        <v>921</v>
      </c>
      <c r="G150" s="9" t="s">
        <v>922</v>
      </c>
      <c r="H150" s="3">
        <f t="shared" si="5"/>
        <v>15176.6875</v>
      </c>
      <c r="I150" s="3">
        <v>2428.27</v>
      </c>
    </row>
    <row r="151" spans="1:12">
      <c r="A151" t="s">
        <v>3006</v>
      </c>
      <c r="B151" s="1">
        <v>41416</v>
      </c>
      <c r="C151" t="s">
        <v>3007</v>
      </c>
      <c r="D151">
        <v>1</v>
      </c>
      <c r="E151" t="s">
        <v>1065</v>
      </c>
      <c r="F151" s="134" t="s">
        <v>943</v>
      </c>
      <c r="G151" s="134" t="s">
        <v>7068</v>
      </c>
      <c r="H151" s="3">
        <f t="shared" si="5"/>
        <v>-40.625</v>
      </c>
      <c r="I151" s="3">
        <v>-6.5</v>
      </c>
      <c r="K151" s="135">
        <f t="shared" ref="K151:K153" si="6">+L151/0.16</f>
        <v>-40.625</v>
      </c>
      <c r="L151" s="135">
        <v>-6.5</v>
      </c>
    </row>
    <row r="152" spans="1:12">
      <c r="A152" t="s">
        <v>3008</v>
      </c>
      <c r="B152" s="1">
        <v>41416</v>
      </c>
      <c r="C152" t="s">
        <v>3009</v>
      </c>
      <c r="D152">
        <v>1</v>
      </c>
      <c r="E152" t="s">
        <v>1065</v>
      </c>
      <c r="F152" s="134" t="s">
        <v>943</v>
      </c>
      <c r="G152" s="134" t="s">
        <v>7068</v>
      </c>
      <c r="H152" s="3">
        <f t="shared" si="5"/>
        <v>-41.75</v>
      </c>
      <c r="I152" s="3">
        <v>-6.68</v>
      </c>
      <c r="K152" s="135">
        <f t="shared" si="6"/>
        <v>-41.75</v>
      </c>
      <c r="L152" s="135">
        <v>-6.68</v>
      </c>
    </row>
    <row r="153" spans="1:12">
      <c r="A153" t="s">
        <v>3045</v>
      </c>
      <c r="B153" s="1">
        <v>41421</v>
      </c>
      <c r="C153" t="s">
        <v>3046</v>
      </c>
      <c r="D153">
        <v>1</v>
      </c>
      <c r="E153" t="s">
        <v>1065</v>
      </c>
      <c r="F153" s="134" t="s">
        <v>943</v>
      </c>
      <c r="G153" s="134" t="s">
        <v>7068</v>
      </c>
      <c r="H153" s="3">
        <f t="shared" si="5"/>
        <v>-40.6875</v>
      </c>
      <c r="I153" s="3">
        <v>-6.51</v>
      </c>
      <c r="K153" s="135">
        <f t="shared" si="6"/>
        <v>-40.6875</v>
      </c>
      <c r="L153" s="135">
        <v>-6.51</v>
      </c>
    </row>
    <row r="154" spans="1:12">
      <c r="A154" t="s">
        <v>1067</v>
      </c>
      <c r="B154" s="1">
        <v>41403</v>
      </c>
      <c r="C154" t="s">
        <v>3228</v>
      </c>
      <c r="D154">
        <v>1</v>
      </c>
      <c r="E154" t="s">
        <v>1065</v>
      </c>
      <c r="F154" s="28" t="s">
        <v>943</v>
      </c>
      <c r="G154" s="28" t="s">
        <v>3371</v>
      </c>
      <c r="H154" s="3">
        <f t="shared" si="5"/>
        <v>40.0625</v>
      </c>
      <c r="I154" s="3">
        <v>6.41</v>
      </c>
    </row>
    <row r="155" spans="1:12">
      <c r="A155" t="s">
        <v>1161</v>
      </c>
      <c r="B155" s="1">
        <v>41412</v>
      </c>
      <c r="C155" t="s">
        <v>3247</v>
      </c>
      <c r="D155">
        <v>1</v>
      </c>
      <c r="E155" t="s">
        <v>1065</v>
      </c>
      <c r="F155" s="28" t="s">
        <v>943</v>
      </c>
      <c r="G155" s="28" t="s">
        <v>3371</v>
      </c>
      <c r="H155" s="3">
        <f t="shared" si="5"/>
        <v>530</v>
      </c>
      <c r="I155" s="3">
        <v>84.8</v>
      </c>
    </row>
    <row r="156" spans="1:12">
      <c r="A156" t="s">
        <v>2256</v>
      </c>
      <c r="B156" s="1">
        <v>41424</v>
      </c>
      <c r="C156" t="s">
        <v>3316</v>
      </c>
      <c r="D156">
        <v>1</v>
      </c>
      <c r="E156" t="s">
        <v>1065</v>
      </c>
      <c r="F156" s="28" t="s">
        <v>943</v>
      </c>
      <c r="G156" s="28" t="s">
        <v>3371</v>
      </c>
      <c r="H156" s="3">
        <f t="shared" si="5"/>
        <v>36.0625</v>
      </c>
      <c r="I156" s="3">
        <v>5.77</v>
      </c>
    </row>
    <row r="157" spans="1:12">
      <c r="A157" t="s">
        <v>203</v>
      </c>
      <c r="B157" s="1">
        <v>41412</v>
      </c>
      <c r="C157" t="s">
        <v>3249</v>
      </c>
      <c r="D157">
        <v>1</v>
      </c>
      <c r="E157" t="s">
        <v>83</v>
      </c>
      <c r="F157" s="28" t="s">
        <v>877</v>
      </c>
      <c r="G157" s="28" t="s">
        <v>223</v>
      </c>
      <c r="H157" s="3">
        <f t="shared" si="5"/>
        <v>14177.125</v>
      </c>
      <c r="I157" s="3">
        <v>2268.34</v>
      </c>
    </row>
    <row r="158" spans="1:12">
      <c r="A158" t="s">
        <v>2204</v>
      </c>
      <c r="B158" s="1">
        <v>41417</v>
      </c>
      <c r="C158" t="s">
        <v>3268</v>
      </c>
      <c r="D158">
        <v>1</v>
      </c>
      <c r="E158" t="s">
        <v>83</v>
      </c>
      <c r="F158" s="28" t="s">
        <v>877</v>
      </c>
      <c r="G158" s="28" t="s">
        <v>223</v>
      </c>
      <c r="H158" s="3">
        <f t="shared" si="5"/>
        <v>20221.5</v>
      </c>
      <c r="I158" s="3">
        <v>3235.44</v>
      </c>
    </row>
    <row r="159" spans="1:12">
      <c r="A159" t="s">
        <v>1561</v>
      </c>
      <c r="B159" s="1">
        <v>41424</v>
      </c>
      <c r="C159" t="s">
        <v>3308</v>
      </c>
      <c r="D159">
        <v>1</v>
      </c>
      <c r="E159" t="s">
        <v>83</v>
      </c>
      <c r="F159" s="28" t="s">
        <v>877</v>
      </c>
      <c r="G159" s="28" t="s">
        <v>223</v>
      </c>
      <c r="H159" s="3">
        <f t="shared" si="5"/>
        <v>16333.75</v>
      </c>
      <c r="I159" s="3">
        <v>2613.4</v>
      </c>
    </row>
    <row r="160" spans="1:12">
      <c r="A160" t="s">
        <v>371</v>
      </c>
      <c r="B160" s="1">
        <v>41425</v>
      </c>
      <c r="C160" t="s">
        <v>3333</v>
      </c>
      <c r="D160">
        <v>1</v>
      </c>
      <c r="E160" t="s">
        <v>26</v>
      </c>
      <c r="F160" s="67" t="s">
        <v>829</v>
      </c>
      <c r="G160" s="68" t="s">
        <v>6</v>
      </c>
      <c r="H160" s="3">
        <f t="shared" si="5"/>
        <v>530124.6875</v>
      </c>
      <c r="I160" s="3">
        <v>84819.95</v>
      </c>
    </row>
    <row r="161" spans="1:12">
      <c r="A161" t="s">
        <v>1721</v>
      </c>
      <c r="B161" s="1">
        <v>41424</v>
      </c>
      <c r="C161" t="s">
        <v>3211</v>
      </c>
      <c r="D161">
        <v>1</v>
      </c>
      <c r="E161" t="s">
        <v>3212</v>
      </c>
      <c r="F161" t="s">
        <v>946</v>
      </c>
      <c r="G161" s="134" t="s">
        <v>948</v>
      </c>
      <c r="H161" s="3">
        <f t="shared" si="5"/>
        <v>430.99999999999994</v>
      </c>
      <c r="I161" s="3">
        <v>68.959999999999994</v>
      </c>
      <c r="K161" s="135">
        <f t="shared" ref="K161:K162" si="7">+L161/0.16</f>
        <v>430.99999999999994</v>
      </c>
      <c r="L161" s="135">
        <v>68.959999999999994</v>
      </c>
    </row>
    <row r="162" spans="1:12">
      <c r="A162" t="s">
        <v>3336</v>
      </c>
      <c r="B162" s="1">
        <v>41403</v>
      </c>
      <c r="C162" t="s">
        <v>3337</v>
      </c>
      <c r="D162">
        <v>1</v>
      </c>
      <c r="E162" t="s">
        <v>3338</v>
      </c>
      <c r="F162" s="134" t="s">
        <v>7069</v>
      </c>
      <c r="G162" s="134" t="s">
        <v>7070</v>
      </c>
      <c r="H162" s="3">
        <f t="shared" si="5"/>
        <v>36810</v>
      </c>
      <c r="I162" s="3">
        <v>5889.6</v>
      </c>
      <c r="K162" s="135">
        <f t="shared" si="7"/>
        <v>36810</v>
      </c>
      <c r="L162" s="135">
        <v>5889.6</v>
      </c>
    </row>
    <row r="163" spans="1:12">
      <c r="A163" t="s">
        <v>2146</v>
      </c>
      <c r="B163" s="1">
        <v>41401</v>
      </c>
      <c r="C163" t="s">
        <v>3220</v>
      </c>
      <c r="D163">
        <v>1</v>
      </c>
      <c r="E163" t="s">
        <v>115</v>
      </c>
      <c r="F163" s="9" t="s">
        <v>952</v>
      </c>
      <c r="G163" s="9" t="s">
        <v>115</v>
      </c>
      <c r="H163" s="3">
        <f t="shared" si="5"/>
        <v>2025.4999999999998</v>
      </c>
      <c r="I163" s="3">
        <v>324.08</v>
      </c>
    </row>
    <row r="164" spans="1:12">
      <c r="A164" t="s">
        <v>234</v>
      </c>
      <c r="B164" s="1">
        <v>41414</v>
      </c>
      <c r="C164" t="s">
        <v>3261</v>
      </c>
      <c r="D164">
        <v>1</v>
      </c>
      <c r="E164" t="s">
        <v>115</v>
      </c>
      <c r="F164" s="9" t="s">
        <v>952</v>
      </c>
      <c r="G164" s="9" t="s">
        <v>115</v>
      </c>
      <c r="H164" s="3">
        <f t="shared" si="5"/>
        <v>1052</v>
      </c>
      <c r="I164" s="3">
        <v>168.32</v>
      </c>
    </row>
    <row r="165" spans="1:12">
      <c r="A165" t="s">
        <v>1498</v>
      </c>
      <c r="B165" s="1">
        <v>41425</v>
      </c>
      <c r="C165" t="s">
        <v>3195</v>
      </c>
      <c r="D165">
        <v>1</v>
      </c>
      <c r="E165" t="s">
        <v>3196</v>
      </c>
      <c r="F165" s="9" t="s">
        <v>3372</v>
      </c>
      <c r="G165" s="9" t="s">
        <v>3196</v>
      </c>
      <c r="H165" s="3">
        <f t="shared" si="5"/>
        <v>86.187499999999986</v>
      </c>
      <c r="I165" s="3">
        <v>13.79</v>
      </c>
    </row>
    <row r="166" spans="1:12">
      <c r="A166" t="s">
        <v>1470</v>
      </c>
      <c r="B166" s="1">
        <v>41425</v>
      </c>
      <c r="C166" t="s">
        <v>3163</v>
      </c>
      <c r="D166">
        <v>1</v>
      </c>
      <c r="E166" t="s">
        <v>1449</v>
      </c>
      <c r="F166" s="9" t="s">
        <v>1615</v>
      </c>
      <c r="G166" s="9" t="s">
        <v>1449</v>
      </c>
      <c r="H166" s="3">
        <f t="shared" si="5"/>
        <v>172.75</v>
      </c>
      <c r="I166" s="3">
        <v>27.64</v>
      </c>
    </row>
    <row r="167" spans="1:12">
      <c r="A167" t="s">
        <v>1483</v>
      </c>
      <c r="B167" s="1">
        <v>41425</v>
      </c>
      <c r="C167" t="s">
        <v>3183</v>
      </c>
      <c r="D167">
        <v>1</v>
      </c>
      <c r="E167" t="s">
        <v>1449</v>
      </c>
      <c r="F167" s="9" t="s">
        <v>1615</v>
      </c>
      <c r="G167" s="9" t="s">
        <v>1449</v>
      </c>
      <c r="H167" s="3">
        <f t="shared" si="5"/>
        <v>92.625</v>
      </c>
      <c r="I167" s="3">
        <v>14.82</v>
      </c>
    </row>
    <row r="168" spans="1:12">
      <c r="A168" t="s">
        <v>3187</v>
      </c>
      <c r="B168" s="1">
        <v>41425</v>
      </c>
      <c r="C168" t="s">
        <v>3188</v>
      </c>
      <c r="D168">
        <v>1</v>
      </c>
      <c r="E168" t="s">
        <v>1449</v>
      </c>
      <c r="F168" s="9" t="s">
        <v>1615</v>
      </c>
      <c r="G168" s="9" t="s">
        <v>1449</v>
      </c>
      <c r="H168" s="3">
        <f t="shared" si="5"/>
        <v>67.5</v>
      </c>
      <c r="I168" s="3">
        <v>10.8</v>
      </c>
    </row>
    <row r="169" spans="1:12">
      <c r="A169" t="s">
        <v>3174</v>
      </c>
      <c r="B169" s="1">
        <v>41425</v>
      </c>
      <c r="C169" t="s">
        <v>3175</v>
      </c>
      <c r="D169">
        <v>1</v>
      </c>
      <c r="E169" t="s">
        <v>584</v>
      </c>
      <c r="F169" s="9" t="s">
        <v>818</v>
      </c>
      <c r="G169" s="9" t="s">
        <v>584</v>
      </c>
      <c r="H169" s="3">
        <f t="shared" si="5"/>
        <v>75</v>
      </c>
      <c r="I169" s="3">
        <v>12</v>
      </c>
    </row>
    <row r="170" spans="1:12">
      <c r="A170" t="s">
        <v>1481</v>
      </c>
      <c r="B170" s="1">
        <v>41425</v>
      </c>
      <c r="C170" t="s">
        <v>3182</v>
      </c>
      <c r="D170">
        <v>1</v>
      </c>
      <c r="E170" t="s">
        <v>584</v>
      </c>
      <c r="F170" s="9" t="s">
        <v>818</v>
      </c>
      <c r="G170" s="9" t="s">
        <v>584</v>
      </c>
      <c r="H170" s="3">
        <f t="shared" si="5"/>
        <v>27.5</v>
      </c>
      <c r="I170" s="3">
        <v>4.4000000000000004</v>
      </c>
    </row>
    <row r="171" spans="1:12">
      <c r="A171" t="s">
        <v>3185</v>
      </c>
      <c r="B171" s="1">
        <v>41425</v>
      </c>
      <c r="C171" t="s">
        <v>3186</v>
      </c>
      <c r="D171">
        <v>1</v>
      </c>
      <c r="E171" t="s">
        <v>584</v>
      </c>
      <c r="F171" s="9" t="s">
        <v>818</v>
      </c>
      <c r="G171" s="9" t="s">
        <v>584</v>
      </c>
      <c r="H171" s="3">
        <f t="shared" si="5"/>
        <v>240</v>
      </c>
      <c r="I171" s="3">
        <v>38.4</v>
      </c>
    </row>
    <row r="172" spans="1:12">
      <c r="A172" t="s">
        <v>2202</v>
      </c>
      <c r="B172" s="1">
        <v>41417</v>
      </c>
      <c r="C172" t="s">
        <v>3267</v>
      </c>
      <c r="D172">
        <v>1</v>
      </c>
      <c r="E172" t="s">
        <v>97</v>
      </c>
      <c r="F172" s="9" t="s">
        <v>820</v>
      </c>
      <c r="G172" s="9" t="s">
        <v>97</v>
      </c>
      <c r="H172" s="3">
        <f t="shared" si="5"/>
        <v>3150</v>
      </c>
      <c r="I172" s="3">
        <v>504</v>
      </c>
    </row>
    <row r="173" spans="1:12">
      <c r="A173" t="s">
        <v>1524</v>
      </c>
      <c r="B173" s="1">
        <v>41425</v>
      </c>
      <c r="C173" t="s">
        <v>3089</v>
      </c>
      <c r="D173">
        <v>1</v>
      </c>
      <c r="E173" t="s">
        <v>3210</v>
      </c>
      <c r="F173" s="9" t="s">
        <v>2302</v>
      </c>
      <c r="G173" s="9" t="s">
        <v>3210</v>
      </c>
      <c r="H173" s="3">
        <f t="shared" si="5"/>
        <v>269.625</v>
      </c>
      <c r="I173" s="3">
        <v>43.14</v>
      </c>
    </row>
    <row r="174" spans="1:12">
      <c r="A174" t="s">
        <v>3083</v>
      </c>
      <c r="B174" s="1">
        <v>41425</v>
      </c>
      <c r="C174" t="s">
        <v>3084</v>
      </c>
      <c r="D174">
        <v>1</v>
      </c>
      <c r="E174" t="s">
        <v>466</v>
      </c>
      <c r="F174" s="9" t="s">
        <v>834</v>
      </c>
      <c r="G174" s="9" t="s">
        <v>466</v>
      </c>
      <c r="H174" s="3">
        <f t="shared" si="5"/>
        <v>263</v>
      </c>
      <c r="I174" s="3">
        <v>42.08</v>
      </c>
    </row>
    <row r="175" spans="1:12">
      <c r="A175" t="s">
        <v>3255</v>
      </c>
      <c r="B175" s="1">
        <v>41412</v>
      </c>
      <c r="C175" t="s">
        <v>3256</v>
      </c>
      <c r="D175">
        <v>1</v>
      </c>
      <c r="E175" t="s">
        <v>2157</v>
      </c>
      <c r="F175" s="9" t="s">
        <v>2305</v>
      </c>
      <c r="G175" s="9" t="s">
        <v>2157</v>
      </c>
      <c r="H175" s="3">
        <f t="shared" si="5"/>
        <v>6795.9999999999991</v>
      </c>
      <c r="I175" s="3">
        <v>1087.3599999999999</v>
      </c>
    </row>
    <row r="176" spans="1:12">
      <c r="A176" t="s">
        <v>2789</v>
      </c>
      <c r="B176" s="1">
        <v>41417</v>
      </c>
      <c r="C176" t="s">
        <v>3263</v>
      </c>
      <c r="D176">
        <v>1</v>
      </c>
      <c r="E176" t="s">
        <v>229</v>
      </c>
      <c r="F176" s="41" t="s">
        <v>839</v>
      </c>
      <c r="G176" t="s">
        <v>229</v>
      </c>
      <c r="H176" s="3">
        <f t="shared" si="5"/>
        <v>6062.5</v>
      </c>
      <c r="I176" s="3">
        <v>970</v>
      </c>
    </row>
    <row r="177" spans="1:12">
      <c r="A177" t="s">
        <v>344</v>
      </c>
      <c r="B177" s="1">
        <v>41422</v>
      </c>
      <c r="C177" t="s">
        <v>3289</v>
      </c>
      <c r="D177">
        <v>1</v>
      </c>
      <c r="E177" t="s">
        <v>3290</v>
      </c>
      <c r="F177" t="s">
        <v>3373</v>
      </c>
      <c r="G177" t="s">
        <v>3290</v>
      </c>
      <c r="H177" s="3">
        <f t="shared" si="5"/>
        <v>295</v>
      </c>
      <c r="I177" s="3">
        <v>47.2</v>
      </c>
    </row>
    <row r="178" spans="1:12">
      <c r="A178" t="s">
        <v>156</v>
      </c>
      <c r="B178" s="1">
        <v>41405</v>
      </c>
      <c r="C178" t="s">
        <v>3237</v>
      </c>
      <c r="D178">
        <v>2</v>
      </c>
      <c r="E178" t="s">
        <v>716</v>
      </c>
      <c r="F178" t="s">
        <v>842</v>
      </c>
      <c r="G178" t="s">
        <v>716</v>
      </c>
      <c r="H178" s="3">
        <f t="shared" si="5"/>
        <v>2155.1875</v>
      </c>
      <c r="I178" s="3">
        <v>344.83</v>
      </c>
    </row>
    <row r="179" spans="1:12">
      <c r="A179" t="s">
        <v>32</v>
      </c>
      <c r="B179" s="1">
        <v>41401</v>
      </c>
      <c r="C179" t="s">
        <v>3219</v>
      </c>
      <c r="D179">
        <v>1</v>
      </c>
      <c r="E179" t="s">
        <v>1186</v>
      </c>
      <c r="F179" s="9" t="s">
        <v>1620</v>
      </c>
      <c r="G179" s="9" t="s">
        <v>1186</v>
      </c>
      <c r="H179" s="3">
        <f t="shared" si="5"/>
        <v>300</v>
      </c>
      <c r="I179" s="3">
        <v>48</v>
      </c>
    </row>
    <row r="180" spans="1:12">
      <c r="A180" t="s">
        <v>2112</v>
      </c>
      <c r="B180" s="1">
        <v>41425</v>
      </c>
      <c r="C180" t="s">
        <v>3153</v>
      </c>
      <c r="D180">
        <v>1</v>
      </c>
      <c r="E180" t="s">
        <v>2626</v>
      </c>
      <c r="F180" s="9" t="s">
        <v>847</v>
      </c>
      <c r="G180" s="9" t="s">
        <v>848</v>
      </c>
      <c r="H180" s="3">
        <f t="shared" si="5"/>
        <v>245.6875</v>
      </c>
      <c r="I180" s="3">
        <v>39.31</v>
      </c>
    </row>
    <row r="181" spans="1:12">
      <c r="A181" t="s">
        <v>3159</v>
      </c>
      <c r="B181" s="1">
        <v>41425</v>
      </c>
      <c r="C181" t="s">
        <v>3160</v>
      </c>
      <c r="D181">
        <v>1</v>
      </c>
      <c r="E181" t="s">
        <v>2626</v>
      </c>
      <c r="F181" s="9" t="s">
        <v>847</v>
      </c>
      <c r="G181" s="9" t="s">
        <v>2626</v>
      </c>
      <c r="H181" s="3">
        <f t="shared" si="5"/>
        <v>295.5</v>
      </c>
      <c r="I181" s="3">
        <v>47.28</v>
      </c>
      <c r="J181" s="14" t="e">
        <f>+H181-#REF!</f>
        <v>#REF!</v>
      </c>
      <c r="K181" s="14" t="e">
        <f>+I181-#REF!</f>
        <v>#REF!</v>
      </c>
      <c r="L181" t="s">
        <v>900</v>
      </c>
    </row>
    <row r="182" spans="1:12">
      <c r="A182" t="s">
        <v>3164</v>
      </c>
      <c r="B182" s="1">
        <v>41425</v>
      </c>
      <c r="C182" t="s">
        <v>3165</v>
      </c>
      <c r="D182">
        <v>1</v>
      </c>
      <c r="E182" t="s">
        <v>2626</v>
      </c>
      <c r="F182" s="9" t="s">
        <v>847</v>
      </c>
      <c r="G182" s="9" t="s">
        <v>2626</v>
      </c>
      <c r="H182" s="3">
        <f t="shared" si="5"/>
        <v>30.9375</v>
      </c>
      <c r="I182" s="3">
        <v>4.95</v>
      </c>
    </row>
    <row r="183" spans="1:12">
      <c r="A183" t="s">
        <v>3166</v>
      </c>
      <c r="B183" s="1">
        <v>41425</v>
      </c>
      <c r="C183" t="s">
        <v>3167</v>
      </c>
      <c r="D183">
        <v>1</v>
      </c>
      <c r="E183" t="s">
        <v>2626</v>
      </c>
      <c r="F183" s="9" t="s">
        <v>847</v>
      </c>
      <c r="G183" s="9" t="s">
        <v>2626</v>
      </c>
      <c r="H183" s="3">
        <f t="shared" si="5"/>
        <v>147.5</v>
      </c>
      <c r="I183" s="3">
        <v>23.6</v>
      </c>
    </row>
    <row r="184" spans="1:12">
      <c r="A184" t="s">
        <v>3168</v>
      </c>
      <c r="B184" s="1">
        <v>41425</v>
      </c>
      <c r="C184" t="s">
        <v>3169</v>
      </c>
      <c r="D184">
        <v>1</v>
      </c>
      <c r="E184" t="s">
        <v>2626</v>
      </c>
      <c r="F184" s="9" t="s">
        <v>847</v>
      </c>
      <c r="G184" s="9" t="s">
        <v>2626</v>
      </c>
      <c r="H184" s="3">
        <f t="shared" si="5"/>
        <v>83.625</v>
      </c>
      <c r="I184" s="3">
        <v>13.38</v>
      </c>
    </row>
    <row r="185" spans="1:12">
      <c r="A185" t="s">
        <v>1190</v>
      </c>
      <c r="B185" s="1">
        <v>41414</v>
      </c>
      <c r="C185" t="s">
        <v>3259</v>
      </c>
      <c r="D185">
        <v>2</v>
      </c>
      <c r="E185" t="s">
        <v>127</v>
      </c>
      <c r="F185" s="12" t="s">
        <v>849</v>
      </c>
      <c r="G185" s="9" t="s">
        <v>127</v>
      </c>
      <c r="H185" s="3">
        <f t="shared" si="5"/>
        <v>1400</v>
      </c>
      <c r="I185" s="3">
        <v>224</v>
      </c>
    </row>
    <row r="186" spans="1:12">
      <c r="A186" t="s">
        <v>232</v>
      </c>
      <c r="B186" s="1">
        <v>41414</v>
      </c>
      <c r="C186" t="s">
        <v>3260</v>
      </c>
      <c r="D186">
        <v>1</v>
      </c>
      <c r="E186" t="s">
        <v>127</v>
      </c>
      <c r="F186" s="12" t="s">
        <v>849</v>
      </c>
      <c r="G186" s="9" t="s">
        <v>127</v>
      </c>
      <c r="H186" s="3">
        <f t="shared" si="5"/>
        <v>300</v>
      </c>
      <c r="I186" s="3">
        <v>48</v>
      </c>
    </row>
    <row r="187" spans="1:12">
      <c r="A187" t="s">
        <v>2209</v>
      </c>
      <c r="B187" s="1">
        <v>41417</v>
      </c>
      <c r="C187" t="s">
        <v>3271</v>
      </c>
      <c r="D187">
        <v>1</v>
      </c>
      <c r="E187" t="s">
        <v>89</v>
      </c>
      <c r="F187" s="9" t="s">
        <v>850</v>
      </c>
      <c r="G187" s="9" t="s">
        <v>89</v>
      </c>
      <c r="H187" s="3">
        <f t="shared" si="5"/>
        <v>2200</v>
      </c>
      <c r="I187" s="3">
        <v>352</v>
      </c>
    </row>
    <row r="188" spans="1:12">
      <c r="A188" t="s">
        <v>2211</v>
      </c>
      <c r="B188" s="1">
        <v>41417</v>
      </c>
      <c r="C188" t="s">
        <v>3272</v>
      </c>
      <c r="D188">
        <v>2</v>
      </c>
      <c r="E188" t="s">
        <v>89</v>
      </c>
      <c r="F188" s="9" t="s">
        <v>850</v>
      </c>
      <c r="G188" s="9" t="s">
        <v>89</v>
      </c>
      <c r="H188" s="3">
        <f t="shared" si="5"/>
        <v>3300</v>
      </c>
      <c r="I188" s="3">
        <v>528</v>
      </c>
    </row>
    <row r="189" spans="1:12">
      <c r="A189" t="s">
        <v>1564</v>
      </c>
      <c r="B189" s="1">
        <v>41424</v>
      </c>
      <c r="C189" t="s">
        <v>3313</v>
      </c>
      <c r="D189">
        <v>2</v>
      </c>
      <c r="E189" t="s">
        <v>89</v>
      </c>
      <c r="F189" s="9" t="s">
        <v>850</v>
      </c>
      <c r="G189" s="9" t="s">
        <v>89</v>
      </c>
      <c r="H189" s="3">
        <f t="shared" si="5"/>
        <v>1400</v>
      </c>
      <c r="I189" s="3">
        <v>224</v>
      </c>
    </row>
    <row r="190" spans="1:12">
      <c r="A190" t="s">
        <v>3178</v>
      </c>
      <c r="B190" s="1">
        <v>41425</v>
      </c>
      <c r="C190" t="s">
        <v>3179</v>
      </c>
      <c r="D190">
        <v>1</v>
      </c>
      <c r="E190" t="s">
        <v>3180</v>
      </c>
      <c r="F190" s="9" t="s">
        <v>851</v>
      </c>
      <c r="G190" s="9" t="s">
        <v>86</v>
      </c>
      <c r="H190" s="3">
        <f t="shared" si="5"/>
        <v>25.75</v>
      </c>
      <c r="I190" s="3">
        <v>4.12</v>
      </c>
    </row>
    <row r="191" spans="1:12">
      <c r="A191" t="s">
        <v>1073</v>
      </c>
      <c r="B191" s="1">
        <v>41403</v>
      </c>
      <c r="C191" t="s">
        <v>3231</v>
      </c>
      <c r="D191">
        <v>1</v>
      </c>
      <c r="E191" t="s">
        <v>86</v>
      </c>
      <c r="F191" s="9" t="s">
        <v>851</v>
      </c>
      <c r="G191" s="9" t="s">
        <v>86</v>
      </c>
      <c r="H191" s="3">
        <f t="shared" si="5"/>
        <v>787.6875</v>
      </c>
      <c r="I191" s="3">
        <v>126.03</v>
      </c>
    </row>
    <row r="192" spans="1:12">
      <c r="A192" t="s">
        <v>294</v>
      </c>
      <c r="B192" s="1">
        <v>41417</v>
      </c>
      <c r="C192" t="s">
        <v>3269</v>
      </c>
      <c r="D192">
        <v>1</v>
      </c>
      <c r="E192" t="s">
        <v>86</v>
      </c>
      <c r="F192" s="9" t="s">
        <v>851</v>
      </c>
      <c r="G192" s="9" t="s">
        <v>86</v>
      </c>
      <c r="H192" s="3">
        <f t="shared" si="5"/>
        <v>400.875</v>
      </c>
      <c r="I192" s="3">
        <v>64.14</v>
      </c>
    </row>
    <row r="193" spans="1:10">
      <c r="A193" t="s">
        <v>393</v>
      </c>
      <c r="B193" s="1">
        <v>41424</v>
      </c>
      <c r="C193" t="s">
        <v>3310</v>
      </c>
      <c r="D193">
        <v>1</v>
      </c>
      <c r="E193" t="s">
        <v>86</v>
      </c>
      <c r="F193" s="9" t="s">
        <v>851</v>
      </c>
      <c r="G193" s="9" t="s">
        <v>3180</v>
      </c>
      <c r="H193" s="3">
        <f t="shared" si="5"/>
        <v>1161.1875</v>
      </c>
      <c r="I193" s="3">
        <v>185.79</v>
      </c>
    </row>
    <row r="194" spans="1:10">
      <c r="A194" t="s">
        <v>2529</v>
      </c>
      <c r="B194" s="1">
        <v>41425</v>
      </c>
      <c r="C194" t="s">
        <v>3193</v>
      </c>
      <c r="D194">
        <v>1</v>
      </c>
      <c r="E194" t="s">
        <v>2023</v>
      </c>
      <c r="F194" s="9" t="s">
        <v>852</v>
      </c>
      <c r="G194" s="9" t="s">
        <v>2023</v>
      </c>
      <c r="H194" s="3">
        <f t="shared" si="5"/>
        <v>71.5625</v>
      </c>
      <c r="I194" s="3">
        <v>11.45</v>
      </c>
    </row>
    <row r="195" spans="1:10">
      <c r="A195" t="s">
        <v>2936</v>
      </c>
      <c r="B195" s="1">
        <v>41404</v>
      </c>
      <c r="C195" t="s">
        <v>2937</v>
      </c>
      <c r="D195">
        <v>1</v>
      </c>
      <c r="E195" t="s">
        <v>2938</v>
      </c>
      <c r="F195" t="s">
        <v>946</v>
      </c>
      <c r="G195" s="32" t="s">
        <v>2271</v>
      </c>
      <c r="H195" s="3">
        <f t="shared" si="5"/>
        <v>352770.8125</v>
      </c>
      <c r="I195" s="3">
        <v>56443.33</v>
      </c>
    </row>
    <row r="196" spans="1:10">
      <c r="A196" t="s">
        <v>1502</v>
      </c>
      <c r="B196" s="1">
        <v>41425</v>
      </c>
      <c r="C196" t="s">
        <v>3200</v>
      </c>
      <c r="D196">
        <v>1</v>
      </c>
      <c r="E196" t="s">
        <v>3201</v>
      </c>
      <c r="F196" s="9" t="s">
        <v>3374</v>
      </c>
      <c r="G196" s="9" t="s">
        <v>3201</v>
      </c>
      <c r="H196" s="3">
        <f t="shared" si="5"/>
        <v>436</v>
      </c>
      <c r="I196" s="3">
        <v>69.760000000000005</v>
      </c>
    </row>
    <row r="197" spans="1:10">
      <c r="A197" t="s">
        <v>2953</v>
      </c>
      <c r="B197" s="1">
        <v>41405</v>
      </c>
      <c r="C197" t="s">
        <v>2954</v>
      </c>
      <c r="D197">
        <v>1</v>
      </c>
      <c r="E197" t="s">
        <v>2955</v>
      </c>
      <c r="F197" s="12" t="s">
        <v>856</v>
      </c>
      <c r="G197" s="9" t="s">
        <v>2947</v>
      </c>
      <c r="H197" s="3">
        <f t="shared" si="5"/>
        <v>291468.0625</v>
      </c>
      <c r="I197" s="3">
        <v>46634.89</v>
      </c>
    </row>
    <row r="198" spans="1:10">
      <c r="A198" t="s">
        <v>2945</v>
      </c>
      <c r="B198" s="1">
        <v>41404</v>
      </c>
      <c r="C198" t="s">
        <v>2946</v>
      </c>
      <c r="D198">
        <v>1</v>
      </c>
      <c r="E198" t="s">
        <v>2947</v>
      </c>
      <c r="F198" s="9" t="s">
        <v>856</v>
      </c>
      <c r="G198" s="9" t="s">
        <v>2955</v>
      </c>
      <c r="H198" s="3">
        <f t="shared" si="5"/>
        <v>190157.5625</v>
      </c>
      <c r="I198" s="3">
        <v>30425.21</v>
      </c>
    </row>
    <row r="199" spans="1:10">
      <c r="A199" t="s">
        <v>2094</v>
      </c>
      <c r="B199" s="1">
        <v>41425</v>
      </c>
      <c r="C199" t="s">
        <v>3142</v>
      </c>
      <c r="D199">
        <v>1</v>
      </c>
      <c r="E199" t="s">
        <v>3143</v>
      </c>
      <c r="F199" s="9" t="s">
        <v>767</v>
      </c>
      <c r="G199" s="9" t="s">
        <v>549</v>
      </c>
      <c r="H199" s="3">
        <f t="shared" si="5"/>
        <v>944.81249999999989</v>
      </c>
      <c r="I199" s="3">
        <v>151.16999999999999</v>
      </c>
    </row>
    <row r="200" spans="1:10">
      <c r="A200" t="s">
        <v>3221</v>
      </c>
      <c r="B200" s="1">
        <v>41401</v>
      </c>
      <c r="C200" t="s">
        <v>3222</v>
      </c>
      <c r="D200">
        <v>2</v>
      </c>
      <c r="E200" t="s">
        <v>121</v>
      </c>
      <c r="F200" s="9" t="s">
        <v>858</v>
      </c>
      <c r="G200" s="9" t="s">
        <v>121</v>
      </c>
      <c r="H200" s="3">
        <f t="shared" si="5"/>
        <v>1750</v>
      </c>
      <c r="I200" s="3">
        <v>280</v>
      </c>
    </row>
    <row r="201" spans="1:10">
      <c r="A201" t="s">
        <v>387</v>
      </c>
      <c r="B201" s="1">
        <v>41425</v>
      </c>
      <c r="C201" t="s">
        <v>3067</v>
      </c>
      <c r="D201">
        <v>1</v>
      </c>
      <c r="E201" t="s">
        <v>3068</v>
      </c>
      <c r="F201" s="13" t="s">
        <v>862</v>
      </c>
      <c r="G201" s="9" t="s">
        <v>2394</v>
      </c>
      <c r="H201" s="3">
        <f t="shared" si="5"/>
        <v>277621.375</v>
      </c>
      <c r="I201" s="3">
        <v>44419.42</v>
      </c>
    </row>
    <row r="202" spans="1:10">
      <c r="A202" t="s">
        <v>2974</v>
      </c>
      <c r="B202" s="1">
        <v>41410</v>
      </c>
      <c r="C202" t="s">
        <v>2393</v>
      </c>
      <c r="D202">
        <v>1</v>
      </c>
      <c r="E202" t="s">
        <v>2394</v>
      </c>
      <c r="F202" s="8" t="s">
        <v>862</v>
      </c>
      <c r="G202" s="9" t="s">
        <v>3068</v>
      </c>
      <c r="H202" s="3">
        <f t="shared" si="5"/>
        <v>-233357.93749999997</v>
      </c>
      <c r="I202" s="3">
        <v>-37337.269999999997</v>
      </c>
      <c r="J202" s="2"/>
    </row>
    <row r="203" spans="1:10">
      <c r="A203" t="s">
        <v>426</v>
      </c>
      <c r="B203" s="1">
        <v>41425</v>
      </c>
      <c r="C203" t="s">
        <v>3154</v>
      </c>
      <c r="D203">
        <v>1</v>
      </c>
      <c r="E203" t="s">
        <v>1965</v>
      </c>
      <c r="F203" s="9" t="s">
        <v>740</v>
      </c>
      <c r="G203" s="9" t="s">
        <v>1965</v>
      </c>
      <c r="H203" s="3">
        <f t="shared" si="5"/>
        <v>88</v>
      </c>
      <c r="I203" s="3">
        <v>14.08</v>
      </c>
    </row>
    <row r="204" spans="1:10">
      <c r="A204" t="s">
        <v>432</v>
      </c>
      <c r="B204" s="1">
        <v>41425</v>
      </c>
      <c r="C204" t="s">
        <v>3184</v>
      </c>
      <c r="D204">
        <v>1</v>
      </c>
      <c r="E204" t="s">
        <v>1455</v>
      </c>
      <c r="F204" s="9" t="s">
        <v>869</v>
      </c>
      <c r="G204" s="9" t="s">
        <v>2142</v>
      </c>
      <c r="H204" s="3">
        <f t="shared" si="5"/>
        <v>27.187499999999996</v>
      </c>
      <c r="I204" s="3">
        <v>4.3499999999999996</v>
      </c>
    </row>
    <row r="205" spans="1:10">
      <c r="A205" t="s">
        <v>30</v>
      </c>
      <c r="B205" s="1">
        <v>41401</v>
      </c>
      <c r="C205" t="s">
        <v>3218</v>
      </c>
      <c r="D205">
        <v>1</v>
      </c>
      <c r="E205" t="s">
        <v>2142</v>
      </c>
      <c r="F205" s="9" t="s">
        <v>869</v>
      </c>
      <c r="G205" s="9" t="s">
        <v>1455</v>
      </c>
      <c r="H205" s="3">
        <f t="shared" si="5"/>
        <v>3932.3124999999995</v>
      </c>
      <c r="I205" s="3">
        <v>629.16999999999996</v>
      </c>
    </row>
    <row r="206" spans="1:10">
      <c r="A206" t="s">
        <v>2121</v>
      </c>
      <c r="B206" s="1">
        <v>41425</v>
      </c>
      <c r="C206" t="s">
        <v>3157</v>
      </c>
      <c r="D206">
        <v>1</v>
      </c>
      <c r="E206" t="s">
        <v>3158</v>
      </c>
      <c r="F206" s="9" t="s">
        <v>773</v>
      </c>
      <c r="G206" s="9" t="s">
        <v>774</v>
      </c>
      <c r="H206" s="3">
        <f t="shared" si="5"/>
        <v>387.9375</v>
      </c>
      <c r="I206" s="3">
        <v>62.07</v>
      </c>
    </row>
    <row r="207" spans="1:10">
      <c r="A207" t="s">
        <v>113</v>
      </c>
      <c r="B207" s="1">
        <v>41403</v>
      </c>
      <c r="C207" t="s">
        <v>3233</v>
      </c>
      <c r="D207">
        <v>2</v>
      </c>
      <c r="E207" t="s">
        <v>94</v>
      </c>
      <c r="F207" s="9" t="s">
        <v>868</v>
      </c>
      <c r="G207" s="9" t="s">
        <v>94</v>
      </c>
      <c r="H207" s="3">
        <f t="shared" si="5"/>
        <v>15500</v>
      </c>
      <c r="I207" s="3">
        <v>2480</v>
      </c>
    </row>
    <row r="208" spans="1:10">
      <c r="A208" t="s">
        <v>201</v>
      </c>
      <c r="B208" s="1">
        <v>41412</v>
      </c>
      <c r="C208" t="s">
        <v>3248</v>
      </c>
      <c r="D208">
        <v>2</v>
      </c>
      <c r="E208" t="s">
        <v>94</v>
      </c>
      <c r="F208" s="9" t="s">
        <v>868</v>
      </c>
      <c r="G208" s="9" t="s">
        <v>94</v>
      </c>
      <c r="H208" s="3">
        <f t="shared" si="5"/>
        <v>3000</v>
      </c>
      <c r="I208" s="3">
        <v>480</v>
      </c>
    </row>
    <row r="209" spans="1:11">
      <c r="A209" t="s">
        <v>1168</v>
      </c>
      <c r="B209" s="1">
        <v>41424</v>
      </c>
      <c r="C209" t="s">
        <v>3314</v>
      </c>
      <c r="D209">
        <v>2</v>
      </c>
      <c r="E209" t="s">
        <v>94</v>
      </c>
      <c r="F209" s="9" t="s">
        <v>868</v>
      </c>
      <c r="G209" s="9" t="s">
        <v>94</v>
      </c>
      <c r="H209" s="3">
        <f t="shared" si="5"/>
        <v>19500</v>
      </c>
      <c r="I209" s="3">
        <v>3120</v>
      </c>
    </row>
    <row r="210" spans="1:11">
      <c r="A210" t="s">
        <v>424</v>
      </c>
      <c r="B210" s="1">
        <v>41425</v>
      </c>
      <c r="C210" t="s">
        <v>3150</v>
      </c>
      <c r="D210">
        <v>1</v>
      </c>
      <c r="E210" t="s">
        <v>3151</v>
      </c>
      <c r="F210" s="9" t="s">
        <v>3375</v>
      </c>
      <c r="G210" s="9" t="s">
        <v>3151</v>
      </c>
      <c r="H210" s="3">
        <f t="shared" si="5"/>
        <v>450</v>
      </c>
      <c r="I210" s="3">
        <v>72</v>
      </c>
    </row>
    <row r="211" spans="1:11">
      <c r="A211" t="s">
        <v>1472</v>
      </c>
      <c r="B211" s="1">
        <v>41425</v>
      </c>
      <c r="C211" t="s">
        <v>3170</v>
      </c>
      <c r="D211">
        <v>1</v>
      </c>
      <c r="E211" t="s">
        <v>3171</v>
      </c>
      <c r="F211" s="9" t="s">
        <v>2864</v>
      </c>
      <c r="G211" s="9" t="s">
        <v>3171</v>
      </c>
      <c r="H211" s="3">
        <f t="shared" si="5"/>
        <v>125.875</v>
      </c>
      <c r="I211" s="3">
        <v>20.14</v>
      </c>
    </row>
    <row r="212" spans="1:11">
      <c r="A212" t="s">
        <v>2842</v>
      </c>
      <c r="B212" s="1">
        <v>41425</v>
      </c>
      <c r="C212" t="s">
        <v>3327</v>
      </c>
      <c r="D212">
        <v>1</v>
      </c>
      <c r="E212" t="s">
        <v>306</v>
      </c>
      <c r="F212" s="9" t="s">
        <v>876</v>
      </c>
      <c r="G212" s="9" t="s">
        <v>306</v>
      </c>
      <c r="H212" s="3">
        <f t="shared" ref="H212:H306" si="8">+I212/0.16</f>
        <v>32443.4375</v>
      </c>
      <c r="I212" s="3">
        <v>5190.95</v>
      </c>
    </row>
    <row r="213" spans="1:11">
      <c r="A213" t="s">
        <v>297</v>
      </c>
      <c r="B213" s="1">
        <v>41417</v>
      </c>
      <c r="C213" t="s">
        <v>3275</v>
      </c>
      <c r="D213">
        <v>1</v>
      </c>
      <c r="E213" t="s">
        <v>319</v>
      </c>
      <c r="F213" s="9" t="s">
        <v>878</v>
      </c>
      <c r="G213" s="9" t="s">
        <v>319</v>
      </c>
      <c r="H213" s="3">
        <f t="shared" si="8"/>
        <v>66476.25</v>
      </c>
      <c r="I213" s="3">
        <v>10636.2</v>
      </c>
    </row>
    <row r="214" spans="1:11">
      <c r="A214" t="s">
        <v>701</v>
      </c>
      <c r="B214" s="1">
        <v>41424</v>
      </c>
      <c r="C214" t="s">
        <v>3324</v>
      </c>
      <c r="D214">
        <v>1</v>
      </c>
      <c r="E214" t="s">
        <v>52</v>
      </c>
      <c r="F214" t="s">
        <v>879</v>
      </c>
      <c r="G214" t="s">
        <v>52</v>
      </c>
      <c r="H214" s="3">
        <f t="shared" si="8"/>
        <v>1897.4374999999998</v>
      </c>
      <c r="I214" s="3">
        <v>303.58999999999997</v>
      </c>
    </row>
    <row r="215" spans="1:11">
      <c r="A215" t="s">
        <v>304</v>
      </c>
      <c r="B215" s="1">
        <v>41421</v>
      </c>
      <c r="C215" t="s">
        <v>3277</v>
      </c>
      <c r="D215">
        <v>1</v>
      </c>
      <c r="E215" t="s">
        <v>968</v>
      </c>
      <c r="F215" s="41" t="s">
        <v>1632</v>
      </c>
      <c r="G215" t="s">
        <v>968</v>
      </c>
      <c r="H215" s="3">
        <f t="shared" si="8"/>
        <v>6445</v>
      </c>
      <c r="I215" s="3">
        <v>1031.2</v>
      </c>
    </row>
    <row r="216" spans="1:11">
      <c r="A216" t="s">
        <v>339</v>
      </c>
      <c r="B216" s="1">
        <v>41422</v>
      </c>
      <c r="C216" t="s">
        <v>3287</v>
      </c>
      <c r="D216">
        <v>1</v>
      </c>
      <c r="E216" t="s">
        <v>968</v>
      </c>
      <c r="F216" t="s">
        <v>1632</v>
      </c>
      <c r="G216" t="s">
        <v>968</v>
      </c>
      <c r="H216" s="3">
        <f t="shared" si="8"/>
        <v>13681.25</v>
      </c>
      <c r="I216" s="3">
        <v>2189</v>
      </c>
    </row>
    <row r="217" spans="1:11">
      <c r="A217" t="s">
        <v>1459</v>
      </c>
      <c r="B217" s="1">
        <v>41425</v>
      </c>
      <c r="C217" t="s">
        <v>3152</v>
      </c>
      <c r="D217">
        <v>1</v>
      </c>
      <c r="E217" t="s">
        <v>523</v>
      </c>
      <c r="F217" t="s">
        <v>880</v>
      </c>
      <c r="G217" t="s">
        <v>881</v>
      </c>
      <c r="H217" s="3">
        <f t="shared" si="8"/>
        <v>112.5</v>
      </c>
      <c r="I217" s="3">
        <v>18</v>
      </c>
    </row>
    <row r="218" spans="1:11">
      <c r="A218" t="s">
        <v>428</v>
      </c>
      <c r="B218" s="1">
        <v>41425</v>
      </c>
      <c r="C218" t="s">
        <v>3156</v>
      </c>
      <c r="D218">
        <v>1</v>
      </c>
      <c r="E218" t="s">
        <v>535</v>
      </c>
      <c r="F218" s="9" t="s">
        <v>884</v>
      </c>
      <c r="G218" s="9" t="s">
        <v>535</v>
      </c>
      <c r="H218" s="3">
        <f t="shared" si="8"/>
        <v>344.8125</v>
      </c>
      <c r="I218" s="3">
        <v>55.17</v>
      </c>
    </row>
    <row r="219" spans="1:11">
      <c r="A219" t="s">
        <v>3176</v>
      </c>
      <c r="B219" s="1">
        <v>41425</v>
      </c>
      <c r="C219" t="s">
        <v>3177</v>
      </c>
      <c r="D219">
        <v>1</v>
      </c>
      <c r="E219" t="s">
        <v>535</v>
      </c>
      <c r="F219" s="9" t="s">
        <v>884</v>
      </c>
      <c r="G219" s="9" t="s">
        <v>535</v>
      </c>
      <c r="H219" s="3">
        <f t="shared" si="8"/>
        <v>344.8125</v>
      </c>
      <c r="I219" s="3">
        <v>55.17</v>
      </c>
    </row>
    <row r="220" spans="1:11">
      <c r="A220" t="s">
        <v>441</v>
      </c>
      <c r="B220" s="1">
        <v>41425</v>
      </c>
      <c r="C220" t="s">
        <v>3207</v>
      </c>
      <c r="D220">
        <v>1</v>
      </c>
      <c r="E220" t="s">
        <v>535</v>
      </c>
      <c r="F220" s="9" t="s">
        <v>884</v>
      </c>
      <c r="G220" s="9" t="s">
        <v>535</v>
      </c>
      <c r="H220" s="3">
        <f t="shared" si="8"/>
        <v>344.8125</v>
      </c>
      <c r="I220" s="3">
        <v>55.17</v>
      </c>
    </row>
    <row r="221" spans="1:11">
      <c r="A221" t="s">
        <v>3054</v>
      </c>
      <c r="B221" s="1">
        <v>41423</v>
      </c>
      <c r="C221" t="s">
        <v>3055</v>
      </c>
      <c r="D221">
        <v>1</v>
      </c>
      <c r="E221" t="s">
        <v>3056</v>
      </c>
      <c r="F221" t="s">
        <v>3376</v>
      </c>
      <c r="G221" t="s">
        <v>3056</v>
      </c>
      <c r="H221" s="3">
        <f t="shared" si="8"/>
        <v>314170.875</v>
      </c>
      <c r="I221" s="3">
        <v>50267.34</v>
      </c>
    </row>
    <row r="222" spans="1:11">
      <c r="A222" t="s">
        <v>2975</v>
      </c>
      <c r="B222" s="1">
        <v>41410</v>
      </c>
      <c r="C222" t="s">
        <v>2976</v>
      </c>
      <c r="D222">
        <v>1</v>
      </c>
      <c r="E222" t="s">
        <v>2977</v>
      </c>
      <c r="F222" s="33" t="s">
        <v>1633</v>
      </c>
      <c r="G222" s="33" t="s">
        <v>1634</v>
      </c>
      <c r="H222" s="3">
        <f t="shared" si="8"/>
        <v>220622.625</v>
      </c>
      <c r="I222" s="3">
        <v>35299.620000000003</v>
      </c>
    </row>
    <row r="223" spans="1:11">
      <c r="A223" t="s">
        <v>2932</v>
      </c>
      <c r="B223" s="1">
        <v>41403</v>
      </c>
      <c r="C223" t="s">
        <v>2933</v>
      </c>
      <c r="D223">
        <v>1</v>
      </c>
      <c r="E223" t="s">
        <v>6</v>
      </c>
      <c r="F223" s="30" t="s">
        <v>886</v>
      </c>
      <c r="G223" s="31" t="s">
        <v>887</v>
      </c>
      <c r="H223" s="3">
        <f t="shared" si="8"/>
        <v>286904.5625</v>
      </c>
      <c r="I223" s="3">
        <v>45904.73</v>
      </c>
    </row>
    <row r="224" spans="1:11">
      <c r="A224" t="s">
        <v>2956</v>
      </c>
      <c r="B224" s="1">
        <v>41407</v>
      </c>
      <c r="C224" t="s">
        <v>2957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si="8"/>
        <v>215976.5625</v>
      </c>
      <c r="I224" s="3">
        <v>34556.25</v>
      </c>
      <c r="J224" s="3"/>
      <c r="K224" s="3"/>
    </row>
    <row r="225" spans="1:11">
      <c r="A225" t="s">
        <v>2958</v>
      </c>
      <c r="B225" s="1">
        <v>41407</v>
      </c>
      <c r="C225" t="s">
        <v>2959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8"/>
        <v>175267.5625</v>
      </c>
      <c r="I225" s="3">
        <v>28042.81</v>
      </c>
      <c r="J225" s="3"/>
      <c r="K225" s="3"/>
    </row>
    <row r="226" spans="1:11">
      <c r="A226" t="s">
        <v>2965</v>
      </c>
      <c r="B226" s="1">
        <v>41408</v>
      </c>
      <c r="C226" t="s">
        <v>2476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8"/>
        <v>-277751.8125</v>
      </c>
      <c r="I226" s="3">
        <v>-44440.29</v>
      </c>
      <c r="J226" s="3"/>
      <c r="K226" s="72"/>
    </row>
    <row r="227" spans="1:11">
      <c r="A227" t="s">
        <v>1771</v>
      </c>
      <c r="B227" s="1">
        <v>41408</v>
      </c>
      <c r="C227" t="s">
        <v>2973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8"/>
        <v>312408.625</v>
      </c>
      <c r="I227" s="3">
        <v>49985.38</v>
      </c>
      <c r="J227" s="3"/>
      <c r="K227" s="3"/>
    </row>
    <row r="228" spans="1:11">
      <c r="A228" t="s">
        <v>2984</v>
      </c>
      <c r="B228" s="1">
        <v>41414</v>
      </c>
      <c r="C228" t="s">
        <v>2985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8"/>
        <v>215976.5625</v>
      </c>
      <c r="I228" s="3">
        <v>34556.25</v>
      </c>
      <c r="J228" s="3"/>
      <c r="K228" s="3"/>
    </row>
    <row r="229" spans="1:11">
      <c r="A229" t="s">
        <v>2416</v>
      </c>
      <c r="B229" s="1">
        <v>41414</v>
      </c>
      <c r="C229" t="s">
        <v>2986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8"/>
        <v>352771.3125</v>
      </c>
      <c r="I229" s="3">
        <v>56443.41</v>
      </c>
      <c r="J229" s="3"/>
      <c r="K229" s="3"/>
    </row>
    <row r="230" spans="1:11">
      <c r="A230" t="s">
        <v>2987</v>
      </c>
      <c r="B230" s="1">
        <v>41414</v>
      </c>
      <c r="C230" t="s">
        <v>2988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8"/>
        <v>288927.5</v>
      </c>
      <c r="I230" s="3">
        <v>46228.4</v>
      </c>
      <c r="J230" s="3"/>
      <c r="K230" s="3"/>
    </row>
    <row r="231" spans="1:11">
      <c r="A231" t="s">
        <v>2989</v>
      </c>
      <c r="B231" s="1">
        <v>41414</v>
      </c>
      <c r="C231" t="s">
        <v>2990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8"/>
        <v>314431.625</v>
      </c>
      <c r="I231" s="3">
        <v>50309.06</v>
      </c>
      <c r="J231" s="3"/>
      <c r="K231" s="3"/>
    </row>
    <row r="232" spans="1:11">
      <c r="A232" t="s">
        <v>188</v>
      </c>
      <c r="B232" s="1">
        <v>41414</v>
      </c>
      <c r="C232" t="s">
        <v>2991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8"/>
        <v>221634.8125</v>
      </c>
      <c r="I232" s="3">
        <v>35461.57</v>
      </c>
      <c r="J232" s="3"/>
      <c r="K232" s="3"/>
    </row>
    <row r="233" spans="1:11">
      <c r="A233" t="s">
        <v>2992</v>
      </c>
      <c r="B233" s="1">
        <v>41414</v>
      </c>
      <c r="C233" t="s">
        <v>2993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8"/>
        <v>330512.6875</v>
      </c>
      <c r="I233" s="3">
        <v>52882.03</v>
      </c>
      <c r="J233" s="3"/>
      <c r="K233" s="3"/>
    </row>
    <row r="234" spans="1:11">
      <c r="A234" t="s">
        <v>199</v>
      </c>
      <c r="B234" s="1">
        <v>41414</v>
      </c>
      <c r="C234" t="s">
        <v>2994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8"/>
        <v>277751.8125</v>
      </c>
      <c r="I234" s="3">
        <v>44440.29</v>
      </c>
      <c r="J234" s="3"/>
      <c r="K234" s="3"/>
    </row>
    <row r="235" spans="1:11">
      <c r="A235" t="s">
        <v>3000</v>
      </c>
      <c r="B235" s="1">
        <v>41415</v>
      </c>
      <c r="C235" t="s">
        <v>3001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8"/>
        <v>190157.5625</v>
      </c>
      <c r="I235" s="3">
        <v>30425.21</v>
      </c>
      <c r="J235" s="3"/>
      <c r="K235" s="3"/>
    </row>
    <row r="236" spans="1:11">
      <c r="A236" t="s">
        <v>2424</v>
      </c>
      <c r="B236" s="1">
        <v>41415</v>
      </c>
      <c r="C236" t="s">
        <v>3002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8"/>
        <v>330512.6875</v>
      </c>
      <c r="I236" s="3">
        <v>52882.03</v>
      </c>
      <c r="J236" s="3"/>
      <c r="K236" s="3"/>
    </row>
    <row r="237" spans="1:11">
      <c r="A237" t="s">
        <v>2433</v>
      </c>
      <c r="B237" s="1">
        <v>41415</v>
      </c>
      <c r="C237" t="s">
        <v>1338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8"/>
        <v>-286904.5625</v>
      </c>
      <c r="I237" s="3">
        <v>-45904.73</v>
      </c>
      <c r="J237" s="3"/>
      <c r="K237" s="72"/>
    </row>
    <row r="238" spans="1:11">
      <c r="A238" t="s">
        <v>2454</v>
      </c>
      <c r="B238" s="1">
        <v>41417</v>
      </c>
      <c r="C238" t="s">
        <v>3014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8"/>
        <v>309184.5625</v>
      </c>
      <c r="I238" s="3">
        <v>49469.53</v>
      </c>
      <c r="J238" s="3"/>
      <c r="K238" s="3"/>
    </row>
    <row r="239" spans="1:11">
      <c r="A239" t="s">
        <v>3024</v>
      </c>
      <c r="B239" s="1">
        <v>41418</v>
      </c>
      <c r="C239" t="s">
        <v>3025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8"/>
        <v>221634.8125</v>
      </c>
      <c r="I239" s="3">
        <v>35461.57</v>
      </c>
      <c r="J239" s="3"/>
      <c r="K239" s="3"/>
    </row>
    <row r="240" spans="1:11">
      <c r="A240" t="s">
        <v>3026</v>
      </c>
      <c r="B240" s="1">
        <v>41418</v>
      </c>
      <c r="C240" t="s">
        <v>3027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8"/>
        <v>212747.3125</v>
      </c>
      <c r="I240" s="3">
        <v>34039.57</v>
      </c>
      <c r="J240" s="3"/>
      <c r="K240" s="3"/>
    </row>
    <row r="241" spans="1:12">
      <c r="A241" t="s">
        <v>3028</v>
      </c>
      <c r="B241" s="1">
        <v>41418</v>
      </c>
      <c r="C241" t="s">
        <v>3029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8"/>
        <v>288927.5</v>
      </c>
      <c r="I241" s="3">
        <v>46228.4</v>
      </c>
      <c r="J241" s="3"/>
      <c r="K241" s="3"/>
    </row>
    <row r="242" spans="1:12">
      <c r="A242" t="s">
        <v>3030</v>
      </c>
      <c r="B242" s="1">
        <v>41418</v>
      </c>
      <c r="C242" t="s">
        <v>3031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8"/>
        <v>314431.625</v>
      </c>
      <c r="I242" s="3">
        <v>50309.06</v>
      </c>
      <c r="J242" s="3"/>
      <c r="K242" s="3"/>
    </row>
    <row r="243" spans="1:12">
      <c r="A243" t="s">
        <v>3032</v>
      </c>
      <c r="B243" s="1">
        <v>41418</v>
      </c>
      <c r="C243" t="s">
        <v>3033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8"/>
        <v>221634.8125</v>
      </c>
      <c r="I243" s="3">
        <v>35461.57</v>
      </c>
      <c r="J243" s="3"/>
      <c r="K243" s="3"/>
    </row>
    <row r="244" spans="1:12">
      <c r="A244" t="s">
        <v>3034</v>
      </c>
      <c r="B244" s="1">
        <v>41418</v>
      </c>
      <c r="C244" t="s">
        <v>3035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8"/>
        <v>180602.62499999997</v>
      </c>
      <c r="I244" s="3">
        <v>28896.42</v>
      </c>
    </row>
    <row r="245" spans="1:12">
      <c r="A245" t="s">
        <v>3057</v>
      </c>
      <c r="B245" s="1">
        <v>41424</v>
      </c>
      <c r="C245" t="s">
        <v>3058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8"/>
        <v>277621.375</v>
      </c>
      <c r="I245" s="3">
        <v>44419.42</v>
      </c>
    </row>
    <row r="246" spans="1:12">
      <c r="A246" t="s">
        <v>3059</v>
      </c>
      <c r="B246" s="1">
        <v>41424</v>
      </c>
      <c r="C246" t="s">
        <v>3060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8"/>
        <v>277621.375</v>
      </c>
      <c r="I246" s="3">
        <v>44419.42</v>
      </c>
    </row>
    <row r="247" spans="1:12">
      <c r="A247" t="s">
        <v>3069</v>
      </c>
      <c r="B247" s="1">
        <v>41425</v>
      </c>
      <c r="C247" t="s">
        <v>3070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8"/>
        <v>277751.8125</v>
      </c>
      <c r="I247" s="3">
        <v>44440.29</v>
      </c>
    </row>
    <row r="248" spans="1:12">
      <c r="A248" t="s">
        <v>1118</v>
      </c>
      <c r="B248" s="1">
        <v>41407</v>
      </c>
      <c r="C248" t="s">
        <v>3239</v>
      </c>
      <c r="D248">
        <v>1</v>
      </c>
      <c r="E248" t="s">
        <v>6</v>
      </c>
      <c r="F248" s="67" t="s">
        <v>829</v>
      </c>
      <c r="G248" s="68" t="s">
        <v>6</v>
      </c>
      <c r="H248" s="3">
        <f t="shared" si="8"/>
        <v>370456.1875</v>
      </c>
      <c r="I248" s="3">
        <v>59272.99</v>
      </c>
    </row>
    <row r="249" spans="1:12">
      <c r="A249" t="s">
        <v>1445</v>
      </c>
      <c r="B249" s="1">
        <v>41425</v>
      </c>
      <c r="C249" t="s">
        <v>3129</v>
      </c>
      <c r="D249">
        <v>1</v>
      </c>
      <c r="E249" t="s">
        <v>3130</v>
      </c>
      <c r="F249" t="s">
        <v>946</v>
      </c>
      <c r="G249" s="33" t="s">
        <v>947</v>
      </c>
      <c r="H249" s="46">
        <f t="shared" ref="H249:H263" si="9">I249/0.16</f>
        <v>255.75</v>
      </c>
      <c r="I249" s="46">
        <f>39.18+1.74</f>
        <v>40.92</v>
      </c>
      <c r="J249" s="3"/>
      <c r="K249" s="3"/>
    </row>
    <row r="250" spans="1:12">
      <c r="A250" t="s">
        <v>1445</v>
      </c>
      <c r="B250" s="1">
        <v>41425</v>
      </c>
      <c r="C250" t="s">
        <v>3129</v>
      </c>
      <c r="D250">
        <v>1</v>
      </c>
      <c r="E250" t="s">
        <v>3130</v>
      </c>
      <c r="F250" s="9" t="s">
        <v>3377</v>
      </c>
      <c r="G250" s="9" t="s">
        <v>3378</v>
      </c>
      <c r="H250" s="65">
        <f t="shared" si="9"/>
        <v>333.875</v>
      </c>
      <c r="I250" s="65">
        <v>53.42</v>
      </c>
    </row>
    <row r="251" spans="1:12">
      <c r="A251" t="s">
        <v>1445</v>
      </c>
      <c r="B251" s="1">
        <v>41425</v>
      </c>
      <c r="C251" t="s">
        <v>3129</v>
      </c>
      <c r="D251">
        <v>1</v>
      </c>
      <c r="E251" t="s">
        <v>3130</v>
      </c>
      <c r="F251" s="9" t="s">
        <v>3379</v>
      </c>
      <c r="G251" s="9" t="s">
        <v>3380</v>
      </c>
      <c r="H251" s="65">
        <f t="shared" si="9"/>
        <v>81.9375</v>
      </c>
      <c r="I251" s="65">
        <v>13.11</v>
      </c>
      <c r="J251" s="14">
        <f>671.56-H249-H250-H251</f>
        <v>-2.5000000000545697E-3</v>
      </c>
      <c r="K251" s="14">
        <f>107.45-I249-I250-I251</f>
        <v>0</v>
      </c>
      <c r="L251" t="s">
        <v>900</v>
      </c>
    </row>
    <row r="252" spans="1:12">
      <c r="A252" t="s">
        <v>1452</v>
      </c>
      <c r="B252" s="1">
        <v>41425</v>
      </c>
      <c r="C252" t="s">
        <v>3133</v>
      </c>
      <c r="D252">
        <v>1</v>
      </c>
      <c r="E252" t="s">
        <v>3134</v>
      </c>
      <c r="F252" t="s">
        <v>946</v>
      </c>
      <c r="G252" t="s">
        <v>947</v>
      </c>
      <c r="H252" s="46">
        <f t="shared" si="9"/>
        <v>404.93749999999994</v>
      </c>
      <c r="I252" s="46">
        <f>63.05+1.74</f>
        <v>64.789999999999992</v>
      </c>
      <c r="J252" s="3"/>
      <c r="K252" s="3"/>
    </row>
    <row r="253" spans="1:12">
      <c r="A253" t="s">
        <v>1452</v>
      </c>
      <c r="B253" s="1">
        <v>41425</v>
      </c>
      <c r="C253" t="s">
        <v>3133</v>
      </c>
      <c r="D253">
        <v>1</v>
      </c>
      <c r="E253" t="s">
        <v>3134</v>
      </c>
      <c r="F253" s="28" t="s">
        <v>939</v>
      </c>
      <c r="G253" s="28" t="s">
        <v>3359</v>
      </c>
      <c r="H253" s="47">
        <f t="shared" si="9"/>
        <v>333.875</v>
      </c>
      <c r="I253" s="47">
        <v>53.42</v>
      </c>
    </row>
    <row r="254" spans="1:12">
      <c r="A254" t="s">
        <v>1452</v>
      </c>
      <c r="B254" s="1">
        <v>41425</v>
      </c>
      <c r="C254" t="s">
        <v>3133</v>
      </c>
      <c r="D254">
        <v>1</v>
      </c>
      <c r="E254" t="s">
        <v>3134</v>
      </c>
      <c r="F254" s="9" t="s">
        <v>933</v>
      </c>
      <c r="G254" s="9" t="s">
        <v>934</v>
      </c>
      <c r="H254" s="65">
        <f t="shared" si="9"/>
        <v>85</v>
      </c>
      <c r="I254" s="65">
        <v>13.6</v>
      </c>
      <c r="J254" s="14">
        <f>823.81-H252-H253-H254</f>
        <v>-2.4999999999977263E-3</v>
      </c>
      <c r="K254" s="14">
        <f>131.81-I252-I253-I254</f>
        <v>0</v>
      </c>
      <c r="L254" t="s">
        <v>900</v>
      </c>
    </row>
    <row r="255" spans="1:12">
      <c r="A255" t="s">
        <v>3111</v>
      </c>
      <c r="B255" s="1">
        <v>41425</v>
      </c>
      <c r="C255" t="s">
        <v>3112</v>
      </c>
      <c r="D255">
        <v>1</v>
      </c>
      <c r="E255" t="s">
        <v>3113</v>
      </c>
      <c r="F255" s="28" t="s">
        <v>939</v>
      </c>
      <c r="G255" s="28" t="s">
        <v>3359</v>
      </c>
      <c r="H255" s="47">
        <f t="shared" si="9"/>
        <v>333.875</v>
      </c>
      <c r="I255" s="47">
        <v>53.42</v>
      </c>
      <c r="J255" s="3"/>
      <c r="K255" s="3"/>
    </row>
    <row r="256" spans="1:12">
      <c r="A256" t="s">
        <v>3111</v>
      </c>
      <c r="B256" s="1">
        <v>41425</v>
      </c>
      <c r="C256" t="s">
        <v>3112</v>
      </c>
      <c r="D256">
        <v>1</v>
      </c>
      <c r="E256" t="s">
        <v>3113</v>
      </c>
      <c r="F256" s="9" t="s">
        <v>933</v>
      </c>
      <c r="G256" s="9" t="s">
        <v>934</v>
      </c>
      <c r="H256" s="65">
        <f t="shared" si="9"/>
        <v>75</v>
      </c>
      <c r="I256" s="65">
        <v>12</v>
      </c>
      <c r="J256" s="3"/>
      <c r="K256" s="3"/>
    </row>
    <row r="257" spans="1:12">
      <c r="A257" t="s">
        <v>3111</v>
      </c>
      <c r="B257" s="1">
        <v>41425</v>
      </c>
      <c r="C257" t="s">
        <v>3112</v>
      </c>
      <c r="D257">
        <v>1</v>
      </c>
      <c r="E257" t="s">
        <v>3113</v>
      </c>
      <c r="F257" t="s">
        <v>946</v>
      </c>
      <c r="G257" s="33" t="s">
        <v>947</v>
      </c>
      <c r="H257" s="46">
        <f t="shared" si="9"/>
        <v>348.875</v>
      </c>
      <c r="I257" s="46">
        <f>54.08+1.74</f>
        <v>55.82</v>
      </c>
      <c r="J257" s="14">
        <f>757.75-H255-H256-H257</f>
        <v>0</v>
      </c>
      <c r="K257" s="14">
        <f>121.24-I255-I256-I257</f>
        <v>0</v>
      </c>
      <c r="L257" t="s">
        <v>900</v>
      </c>
    </row>
    <row r="258" spans="1:12">
      <c r="A258" t="s">
        <v>1416</v>
      </c>
      <c r="B258" s="1">
        <v>41425</v>
      </c>
      <c r="C258" t="s">
        <v>3097</v>
      </c>
      <c r="D258">
        <v>1</v>
      </c>
      <c r="E258" t="s">
        <v>3098</v>
      </c>
      <c r="F258" s="9" t="s">
        <v>927</v>
      </c>
      <c r="G258" s="9" t="s">
        <v>3360</v>
      </c>
      <c r="H258" s="65">
        <f t="shared" si="9"/>
        <v>65</v>
      </c>
      <c r="I258" s="65">
        <v>10.4</v>
      </c>
      <c r="J258" s="3"/>
      <c r="K258" s="3"/>
    </row>
    <row r="259" spans="1:12">
      <c r="A259" t="s">
        <v>1416</v>
      </c>
      <c r="B259" s="1">
        <v>41425</v>
      </c>
      <c r="C259" t="s">
        <v>3097</v>
      </c>
      <c r="D259">
        <v>1</v>
      </c>
      <c r="E259" t="s">
        <v>3098</v>
      </c>
      <c r="F259" s="28" t="s">
        <v>913</v>
      </c>
      <c r="G259" s="28" t="s">
        <v>1584</v>
      </c>
      <c r="H259" s="47">
        <f t="shared" si="9"/>
        <v>535.125</v>
      </c>
      <c r="I259" s="47">
        <v>85.62</v>
      </c>
    </row>
    <row r="260" spans="1:12">
      <c r="A260" t="s">
        <v>1416</v>
      </c>
      <c r="B260" s="1">
        <v>41425</v>
      </c>
      <c r="C260" t="s">
        <v>3097</v>
      </c>
      <c r="D260">
        <v>1</v>
      </c>
      <c r="E260" t="s">
        <v>3098</v>
      </c>
      <c r="F260" t="s">
        <v>946</v>
      </c>
      <c r="G260" t="s">
        <v>947</v>
      </c>
      <c r="H260" s="46">
        <f t="shared" si="9"/>
        <v>401.81250000000006</v>
      </c>
      <c r="I260" s="46">
        <v>64.290000000000006</v>
      </c>
    </row>
    <row r="261" spans="1:12">
      <c r="A261" t="s">
        <v>1416</v>
      </c>
      <c r="B261" s="1">
        <v>41425</v>
      </c>
      <c r="C261" t="s">
        <v>3097</v>
      </c>
      <c r="D261">
        <v>1</v>
      </c>
      <c r="E261" t="s">
        <v>3098</v>
      </c>
      <c r="F261" t="s">
        <v>946</v>
      </c>
      <c r="G261" t="s">
        <v>947</v>
      </c>
      <c r="H261" s="46">
        <f t="shared" si="9"/>
        <v>286.75</v>
      </c>
      <c r="I261" s="46">
        <f>41.53+4.35</f>
        <v>45.88</v>
      </c>
    </row>
    <row r="262" spans="1:12">
      <c r="A262" t="s">
        <v>1416</v>
      </c>
      <c r="B262" s="1">
        <v>41425</v>
      </c>
      <c r="C262" t="s">
        <v>3097</v>
      </c>
      <c r="D262">
        <v>1</v>
      </c>
      <c r="E262" t="s">
        <v>3098</v>
      </c>
      <c r="F262" s="28" t="s">
        <v>939</v>
      </c>
      <c r="G262" s="28" t="s">
        <v>3359</v>
      </c>
      <c r="H262" s="47">
        <f t="shared" si="9"/>
        <v>292.0625</v>
      </c>
      <c r="I262" s="47">
        <v>46.73</v>
      </c>
      <c r="J262" s="14">
        <f>1580.75-H258-H259-H260-H261-H262</f>
        <v>0</v>
      </c>
      <c r="K262" s="14">
        <f>252.92-I258-I259-I260-I261-I262</f>
        <v>0</v>
      </c>
      <c r="L262" t="s">
        <v>900</v>
      </c>
    </row>
    <row r="263" spans="1:12">
      <c r="A263" t="s">
        <v>1426</v>
      </c>
      <c r="B263" s="1">
        <v>41425</v>
      </c>
      <c r="C263" t="s">
        <v>3104</v>
      </c>
      <c r="D263">
        <v>1</v>
      </c>
      <c r="E263" t="s">
        <v>3105</v>
      </c>
      <c r="F263" t="s">
        <v>946</v>
      </c>
      <c r="G263" s="33" t="s">
        <v>947</v>
      </c>
      <c r="H263" s="46">
        <f t="shared" si="9"/>
        <v>271.6875</v>
      </c>
      <c r="I263" s="46">
        <f>39.05+4.42</f>
        <v>43.47</v>
      </c>
      <c r="J263" s="3"/>
      <c r="K263" s="3"/>
    </row>
    <row r="264" spans="1:12">
      <c r="A264" t="s">
        <v>1426</v>
      </c>
      <c r="B264" s="1">
        <v>41425</v>
      </c>
      <c r="C264" t="s">
        <v>3104</v>
      </c>
      <c r="D264">
        <v>1</v>
      </c>
      <c r="E264" t="s">
        <v>3105</v>
      </c>
      <c r="F264" s="28" t="s">
        <v>2343</v>
      </c>
      <c r="G264" s="28" t="s">
        <v>2344</v>
      </c>
      <c r="H264" s="47">
        <f t="shared" ref="H264:H295" si="10">I264/0.16</f>
        <v>292.1875</v>
      </c>
      <c r="I264" s="47">
        <v>46.75</v>
      </c>
    </row>
    <row r="265" spans="1:12">
      <c r="A265" t="s">
        <v>1426</v>
      </c>
      <c r="B265" s="1">
        <v>41425</v>
      </c>
      <c r="C265" t="s">
        <v>3104</v>
      </c>
      <c r="D265">
        <v>1</v>
      </c>
      <c r="E265" t="s">
        <v>3105</v>
      </c>
      <c r="F265" s="28" t="s">
        <v>2277</v>
      </c>
      <c r="G265" s="28" t="s">
        <v>2278</v>
      </c>
      <c r="H265" s="47">
        <f t="shared" si="10"/>
        <v>62.0625</v>
      </c>
      <c r="I265" s="47">
        <v>9.93</v>
      </c>
      <c r="J265" s="14">
        <f>625.94-H263-H264-H265</f>
        <v>2.5000000000545697E-3</v>
      </c>
      <c r="K265" s="14">
        <f>100.15-I263-I264-I265</f>
        <v>0</v>
      </c>
      <c r="L265" t="s">
        <v>900</v>
      </c>
    </row>
    <row r="266" spans="1:12">
      <c r="A266" t="s">
        <v>1422</v>
      </c>
      <c r="B266" s="1">
        <v>41425</v>
      </c>
      <c r="C266" t="s">
        <v>3100</v>
      </c>
      <c r="D266">
        <v>1</v>
      </c>
      <c r="E266" t="s">
        <v>3101</v>
      </c>
      <c r="F266" t="s">
        <v>946</v>
      </c>
      <c r="G266" t="s">
        <v>947</v>
      </c>
      <c r="H266" s="46">
        <f t="shared" si="10"/>
        <v>579.5625</v>
      </c>
      <c r="I266" s="46">
        <f>88.15+4.58</f>
        <v>92.73</v>
      </c>
      <c r="J266" s="3"/>
      <c r="K266" s="3"/>
    </row>
    <row r="267" spans="1:12">
      <c r="A267" t="s">
        <v>1422</v>
      </c>
      <c r="B267" s="1">
        <v>41425</v>
      </c>
      <c r="C267" t="s">
        <v>3100</v>
      </c>
      <c r="D267">
        <v>1</v>
      </c>
      <c r="E267" t="s">
        <v>3101</v>
      </c>
      <c r="F267" s="9" t="s">
        <v>2878</v>
      </c>
      <c r="G267" s="9" t="s">
        <v>3381</v>
      </c>
      <c r="H267" s="65">
        <f t="shared" si="10"/>
        <v>87.875</v>
      </c>
      <c r="I267" s="65">
        <v>14.06</v>
      </c>
    </row>
    <row r="268" spans="1:12">
      <c r="A268" t="s">
        <v>1422</v>
      </c>
      <c r="B268" s="1">
        <v>41425</v>
      </c>
      <c r="C268" t="s">
        <v>3100</v>
      </c>
      <c r="D268">
        <v>1</v>
      </c>
      <c r="E268" t="s">
        <v>3101</v>
      </c>
      <c r="F268" s="28" t="s">
        <v>3382</v>
      </c>
      <c r="G268" s="28" t="s">
        <v>3383</v>
      </c>
      <c r="H268" s="47">
        <f t="shared" si="10"/>
        <v>625.875</v>
      </c>
      <c r="I268" s="47">
        <v>100.14</v>
      </c>
    </row>
    <row r="269" spans="1:12">
      <c r="A269" t="s">
        <v>1422</v>
      </c>
      <c r="B269" s="1">
        <v>41425</v>
      </c>
      <c r="C269" t="s">
        <v>3100</v>
      </c>
      <c r="D269">
        <v>1</v>
      </c>
      <c r="E269" t="s">
        <v>3101</v>
      </c>
      <c r="F269" s="9" t="s">
        <v>2882</v>
      </c>
      <c r="G269" s="9" t="s">
        <v>2883</v>
      </c>
      <c r="H269" s="65">
        <f t="shared" si="10"/>
        <v>250.4375</v>
      </c>
      <c r="I269" s="65">
        <v>40.07</v>
      </c>
      <c r="J269" s="14">
        <f>1543.75-H266-H267-H268-H269</f>
        <v>0</v>
      </c>
      <c r="K269" s="14">
        <f>247-I266-I267-I268-I269</f>
        <v>0</v>
      </c>
      <c r="L269" t="s">
        <v>900</v>
      </c>
    </row>
    <row r="270" spans="1:12">
      <c r="A270" t="s">
        <v>1420</v>
      </c>
      <c r="B270" s="1">
        <v>41425</v>
      </c>
      <c r="C270" t="s">
        <v>3097</v>
      </c>
      <c r="D270">
        <v>1</v>
      </c>
      <c r="E270" t="s">
        <v>3099</v>
      </c>
      <c r="F270" s="9" t="s">
        <v>933</v>
      </c>
      <c r="G270" s="9" t="s">
        <v>934</v>
      </c>
      <c r="H270" s="65">
        <f t="shared" si="10"/>
        <v>95</v>
      </c>
      <c r="I270" s="65">
        <v>15.2</v>
      </c>
      <c r="J270" s="3"/>
      <c r="K270" s="3"/>
    </row>
    <row r="271" spans="1:12">
      <c r="A271" t="s">
        <v>1420</v>
      </c>
      <c r="B271" s="1">
        <v>41425</v>
      </c>
      <c r="C271" t="s">
        <v>3097</v>
      </c>
      <c r="D271">
        <v>1</v>
      </c>
      <c r="E271" t="s">
        <v>3099</v>
      </c>
      <c r="F271" t="s">
        <v>946</v>
      </c>
      <c r="G271" t="s">
        <v>947</v>
      </c>
      <c r="H271" s="46">
        <f t="shared" si="10"/>
        <v>404.74999999999994</v>
      </c>
      <c r="I271" s="46">
        <f>63.05+1.71</f>
        <v>64.759999999999991</v>
      </c>
    </row>
    <row r="272" spans="1:12">
      <c r="A272" t="s">
        <v>1420</v>
      </c>
      <c r="B272" s="1">
        <v>41425</v>
      </c>
      <c r="C272" t="s">
        <v>3097</v>
      </c>
      <c r="D272">
        <v>1</v>
      </c>
      <c r="E272" t="s">
        <v>3099</v>
      </c>
      <c r="F272" s="9" t="s">
        <v>1687</v>
      </c>
      <c r="G272" s="9" t="s">
        <v>1688</v>
      </c>
      <c r="H272" s="65">
        <f t="shared" si="10"/>
        <v>333.875</v>
      </c>
      <c r="I272" s="65">
        <v>53.42</v>
      </c>
      <c r="J272" s="14">
        <f>833.63-H270-H271-H272</f>
        <v>5.0000000000522959E-3</v>
      </c>
      <c r="K272" s="14">
        <f>133.38-I270-I271-I272</f>
        <v>0</v>
      </c>
      <c r="L272" t="s">
        <v>900</v>
      </c>
    </row>
    <row r="273" spans="1:12">
      <c r="A273" t="s">
        <v>414</v>
      </c>
      <c r="B273" s="1">
        <v>41425</v>
      </c>
      <c r="C273" t="s">
        <v>3125</v>
      </c>
      <c r="D273">
        <v>1</v>
      </c>
      <c r="E273" t="s">
        <v>3126</v>
      </c>
      <c r="F273" t="s">
        <v>946</v>
      </c>
      <c r="G273" t="s">
        <v>947</v>
      </c>
      <c r="H273" s="3">
        <f t="shared" si="10"/>
        <v>695.74999999999989</v>
      </c>
      <c r="I273" s="46">
        <f>105.02+6.3</f>
        <v>111.32</v>
      </c>
      <c r="J273" s="3"/>
      <c r="K273" s="3"/>
    </row>
    <row r="274" spans="1:12">
      <c r="A274" t="s">
        <v>414</v>
      </c>
      <c r="B274" s="1">
        <v>41425</v>
      </c>
      <c r="C274" t="s">
        <v>3125</v>
      </c>
      <c r="D274">
        <v>1</v>
      </c>
      <c r="E274" t="s">
        <v>3126</v>
      </c>
      <c r="F274" s="28" t="s">
        <v>939</v>
      </c>
      <c r="G274" s="28" t="s">
        <v>3359</v>
      </c>
      <c r="H274" s="47">
        <f t="shared" si="10"/>
        <v>333.875</v>
      </c>
      <c r="I274" s="47">
        <v>53.42</v>
      </c>
      <c r="J274" s="3"/>
      <c r="K274" s="3"/>
    </row>
    <row r="275" spans="1:12">
      <c r="A275" t="s">
        <v>414</v>
      </c>
      <c r="B275" s="1">
        <v>41425</v>
      </c>
      <c r="C275" t="s">
        <v>3125</v>
      </c>
      <c r="D275">
        <v>1</v>
      </c>
      <c r="E275" t="s">
        <v>3126</v>
      </c>
      <c r="F275" s="9" t="s">
        <v>3384</v>
      </c>
      <c r="G275" s="9" t="s">
        <v>3385</v>
      </c>
      <c r="H275" s="65">
        <f t="shared" si="10"/>
        <v>70.6875</v>
      </c>
      <c r="I275" s="65">
        <v>11.31</v>
      </c>
    </row>
    <row r="276" spans="1:12">
      <c r="A276" t="s">
        <v>414</v>
      </c>
      <c r="B276" s="1">
        <v>41425</v>
      </c>
      <c r="C276" t="s">
        <v>3125</v>
      </c>
      <c r="D276">
        <v>1</v>
      </c>
      <c r="E276" t="s">
        <v>3126</v>
      </c>
      <c r="F276" s="28" t="s">
        <v>913</v>
      </c>
      <c r="G276" s="28" t="s">
        <v>1584</v>
      </c>
      <c r="H276" s="47">
        <f t="shared" si="10"/>
        <v>721</v>
      </c>
      <c r="I276" s="47">
        <v>115.36</v>
      </c>
      <c r="J276" s="14">
        <f>1821.31-H273-H274-H275-H276</f>
        <v>-2.5000000000545697E-3</v>
      </c>
      <c r="K276" s="14">
        <f>291.41-I273-I274-I275-I276</f>
        <v>0</v>
      </c>
      <c r="L276" t="s">
        <v>900</v>
      </c>
    </row>
    <row r="277" spans="1:12">
      <c r="A277" t="s">
        <v>3114</v>
      </c>
      <c r="B277" s="1">
        <v>41425</v>
      </c>
      <c r="C277" t="s">
        <v>3115</v>
      </c>
      <c r="D277">
        <v>1</v>
      </c>
      <c r="E277" t="s">
        <v>3116</v>
      </c>
      <c r="F277" s="9" t="s">
        <v>2901</v>
      </c>
      <c r="G277" s="9" t="s">
        <v>3386</v>
      </c>
      <c r="H277" s="65">
        <f t="shared" si="10"/>
        <v>77.5625</v>
      </c>
      <c r="I277" s="65">
        <v>12.41</v>
      </c>
      <c r="J277" s="3"/>
      <c r="K277" s="3"/>
    </row>
    <row r="278" spans="1:12">
      <c r="A278" t="s">
        <v>3114</v>
      </c>
      <c r="B278" s="1">
        <v>41425</v>
      </c>
      <c r="C278" t="s">
        <v>3115</v>
      </c>
      <c r="D278">
        <v>1</v>
      </c>
      <c r="E278" t="s">
        <v>3116</v>
      </c>
      <c r="F278" s="28" t="s">
        <v>913</v>
      </c>
      <c r="G278" s="28" t="s">
        <v>1584</v>
      </c>
      <c r="H278" s="47">
        <f t="shared" si="10"/>
        <v>751.3125</v>
      </c>
      <c r="I278" s="47">
        <v>120.21</v>
      </c>
    </row>
    <row r="279" spans="1:12">
      <c r="A279" t="s">
        <v>3114</v>
      </c>
      <c r="B279" s="1">
        <v>41425</v>
      </c>
      <c r="C279" t="s">
        <v>3115</v>
      </c>
      <c r="D279">
        <v>1</v>
      </c>
      <c r="E279" t="s">
        <v>3116</v>
      </c>
      <c r="F279" t="s">
        <v>946</v>
      </c>
      <c r="G279" s="33" t="s">
        <v>947</v>
      </c>
      <c r="H279" s="46">
        <f t="shared" si="10"/>
        <v>304.06250000000006</v>
      </c>
      <c r="I279" s="46">
        <f>42.77+5.88</f>
        <v>48.650000000000006</v>
      </c>
    </row>
    <row r="280" spans="1:12">
      <c r="A280" t="s">
        <v>3114</v>
      </c>
      <c r="B280" s="1">
        <v>41425</v>
      </c>
      <c r="C280" t="s">
        <v>3115</v>
      </c>
      <c r="D280">
        <v>1</v>
      </c>
      <c r="E280" t="s">
        <v>3116</v>
      </c>
      <c r="F280" t="s">
        <v>946</v>
      </c>
      <c r="G280" s="33" t="s">
        <v>947</v>
      </c>
      <c r="H280" s="46">
        <f t="shared" si="10"/>
        <v>338</v>
      </c>
      <c r="I280" s="46">
        <v>54.08</v>
      </c>
    </row>
    <row r="281" spans="1:12">
      <c r="A281" t="s">
        <v>3114</v>
      </c>
      <c r="B281" s="1">
        <v>41425</v>
      </c>
      <c r="C281" t="s">
        <v>3115</v>
      </c>
      <c r="D281">
        <v>1</v>
      </c>
      <c r="E281" t="s">
        <v>3116</v>
      </c>
      <c r="F281" s="28" t="s">
        <v>939</v>
      </c>
      <c r="G281" s="28" t="s">
        <v>3359</v>
      </c>
      <c r="H281" s="47">
        <f t="shared" si="10"/>
        <v>375.625</v>
      </c>
      <c r="I281" s="47">
        <v>60.1</v>
      </c>
      <c r="J281" s="14">
        <f>1846.56-H277-H278-H279-H280-H281</f>
        <v>-2.5000000000545697E-3</v>
      </c>
      <c r="K281" s="14">
        <f>295.45-I277-I278-I279-I280-I281</f>
        <v>0</v>
      </c>
      <c r="L281" t="s">
        <v>900</v>
      </c>
    </row>
    <row r="282" spans="1:12">
      <c r="A282" t="s">
        <v>3117</v>
      </c>
      <c r="B282" s="1">
        <v>41425</v>
      </c>
      <c r="C282" t="s">
        <v>3118</v>
      </c>
      <c r="D282">
        <v>1</v>
      </c>
      <c r="E282" t="s">
        <v>3119</v>
      </c>
      <c r="F282" t="s">
        <v>946</v>
      </c>
      <c r="G282" s="33" t="s">
        <v>947</v>
      </c>
      <c r="H282" s="3">
        <f t="shared" si="10"/>
        <v>398.875</v>
      </c>
      <c r="I282" s="46">
        <f>62.08+1.74</f>
        <v>63.82</v>
      </c>
      <c r="J282" s="3"/>
      <c r="K282" s="3"/>
    </row>
    <row r="283" spans="1:12">
      <c r="A283" t="s">
        <v>3117</v>
      </c>
      <c r="B283" s="1">
        <v>41425</v>
      </c>
      <c r="C283" t="s">
        <v>3118</v>
      </c>
      <c r="D283">
        <v>1</v>
      </c>
      <c r="E283" t="s">
        <v>3119</v>
      </c>
      <c r="F283" s="9" t="s">
        <v>1649</v>
      </c>
      <c r="G283" s="9" t="s">
        <v>3387</v>
      </c>
      <c r="H283" s="65">
        <f t="shared" si="10"/>
        <v>72.4375</v>
      </c>
      <c r="I283" s="65">
        <v>11.59</v>
      </c>
    </row>
    <row r="284" spans="1:12">
      <c r="A284" t="s">
        <v>3117</v>
      </c>
      <c r="B284" s="1">
        <v>41425</v>
      </c>
      <c r="C284" t="s">
        <v>3118</v>
      </c>
      <c r="D284">
        <v>1</v>
      </c>
      <c r="E284" t="s">
        <v>3119</v>
      </c>
      <c r="F284" s="9" t="s">
        <v>1676</v>
      </c>
      <c r="G284" s="9" t="s">
        <v>3388</v>
      </c>
      <c r="H284" s="65">
        <f t="shared" si="10"/>
        <v>333.9375</v>
      </c>
      <c r="I284" s="65">
        <v>53.43</v>
      </c>
      <c r="J284" s="14">
        <f>805.25-H282-H283-H284</f>
        <v>0</v>
      </c>
      <c r="K284" s="14">
        <f>128.84-I282-I283-I284</f>
        <v>0</v>
      </c>
      <c r="L284" t="s">
        <v>900</v>
      </c>
    </row>
    <row r="285" spans="1:12">
      <c r="A285" t="s">
        <v>2078</v>
      </c>
      <c r="B285" s="1">
        <v>41425</v>
      </c>
      <c r="C285" t="s">
        <v>3127</v>
      </c>
      <c r="D285">
        <v>1</v>
      </c>
      <c r="E285" t="s">
        <v>3128</v>
      </c>
      <c r="F285" s="9" t="s">
        <v>3389</v>
      </c>
      <c r="G285" s="9" t="s">
        <v>3390</v>
      </c>
      <c r="H285" s="65">
        <f t="shared" si="10"/>
        <v>45.625</v>
      </c>
      <c r="I285" s="65">
        <v>7.3</v>
      </c>
      <c r="J285" s="3"/>
      <c r="K285" s="3"/>
    </row>
    <row r="286" spans="1:12">
      <c r="A286" t="s">
        <v>2078</v>
      </c>
      <c r="B286" s="1">
        <v>41425</v>
      </c>
      <c r="C286" t="s">
        <v>3127</v>
      </c>
      <c r="D286">
        <v>1</v>
      </c>
      <c r="E286" t="s">
        <v>3128</v>
      </c>
      <c r="F286" s="28" t="s">
        <v>913</v>
      </c>
      <c r="G286" s="28" t="s">
        <v>1584</v>
      </c>
      <c r="H286" s="47">
        <f t="shared" si="10"/>
        <v>445.6875</v>
      </c>
      <c r="I286" s="47">
        <v>71.31</v>
      </c>
    </row>
    <row r="287" spans="1:12">
      <c r="A287" t="s">
        <v>2078</v>
      </c>
      <c r="B287" s="1">
        <v>41425</v>
      </c>
      <c r="C287" t="s">
        <v>3127</v>
      </c>
      <c r="D287">
        <v>1</v>
      </c>
      <c r="E287" t="s">
        <v>3128</v>
      </c>
      <c r="F287" t="s">
        <v>946</v>
      </c>
      <c r="G287" t="s">
        <v>947</v>
      </c>
      <c r="H287" s="3">
        <f t="shared" si="10"/>
        <v>695.18749999999989</v>
      </c>
      <c r="I287" s="46">
        <f>105.82+5.41</f>
        <v>111.22999999999999</v>
      </c>
    </row>
    <row r="288" spans="1:12">
      <c r="A288" t="s">
        <v>2078</v>
      </c>
      <c r="B288" s="1">
        <v>41425</v>
      </c>
      <c r="C288" t="s">
        <v>3127</v>
      </c>
      <c r="D288">
        <v>1</v>
      </c>
      <c r="E288" t="s">
        <v>3128</v>
      </c>
      <c r="F288" s="28" t="s">
        <v>939</v>
      </c>
      <c r="G288" s="28" t="s">
        <v>3359</v>
      </c>
      <c r="H288" s="47">
        <f t="shared" si="10"/>
        <v>250.4375</v>
      </c>
      <c r="I288" s="47">
        <v>40.07</v>
      </c>
      <c r="J288" s="14">
        <f>1436.94-H285-H286-H287-H288</f>
        <v>2.5000000001682565E-3</v>
      </c>
      <c r="K288" s="14">
        <f>229.91-I285-I286-I287-I288</f>
        <v>0</v>
      </c>
      <c r="L288" t="s">
        <v>900</v>
      </c>
    </row>
    <row r="289" spans="1:12">
      <c r="A289" t="s">
        <v>3120</v>
      </c>
      <c r="B289" s="1">
        <v>41425</v>
      </c>
      <c r="C289" t="s">
        <v>3118</v>
      </c>
      <c r="D289">
        <v>1</v>
      </c>
      <c r="E289" t="s">
        <v>3121</v>
      </c>
      <c r="F289" s="9" t="s">
        <v>3391</v>
      </c>
      <c r="G289" s="9" t="s">
        <v>3392</v>
      </c>
      <c r="H289" s="65">
        <f t="shared" si="10"/>
        <v>100</v>
      </c>
      <c r="I289" s="65">
        <v>16</v>
      </c>
      <c r="J289" s="3"/>
      <c r="K289" s="3"/>
    </row>
    <row r="290" spans="1:12">
      <c r="A290" t="s">
        <v>3120</v>
      </c>
      <c r="B290" s="1">
        <v>41425</v>
      </c>
      <c r="C290" t="s">
        <v>3118</v>
      </c>
      <c r="D290">
        <v>1</v>
      </c>
      <c r="E290" t="s">
        <v>3121</v>
      </c>
      <c r="F290" s="9" t="s">
        <v>2356</v>
      </c>
      <c r="G290" s="9" t="s">
        <v>2357</v>
      </c>
      <c r="H290" s="65">
        <f t="shared" si="10"/>
        <v>542.625</v>
      </c>
      <c r="I290" s="65">
        <v>86.82</v>
      </c>
    </row>
    <row r="291" spans="1:12">
      <c r="A291" t="s">
        <v>3120</v>
      </c>
      <c r="B291" s="1">
        <v>41425</v>
      </c>
      <c r="C291" t="s">
        <v>3118</v>
      </c>
      <c r="D291">
        <v>1</v>
      </c>
      <c r="E291" t="s">
        <v>3121</v>
      </c>
      <c r="F291" t="s">
        <v>946</v>
      </c>
      <c r="G291" t="s">
        <v>947</v>
      </c>
      <c r="H291" s="46">
        <f t="shared" si="10"/>
        <v>276.375</v>
      </c>
      <c r="I291" s="46">
        <f>41.39+2.83</f>
        <v>44.22</v>
      </c>
      <c r="J291" s="14">
        <f>919-H289-H290-H291</f>
        <v>0</v>
      </c>
      <c r="K291" s="14">
        <f>147.04-I289-I290-I291</f>
        <v>0</v>
      </c>
      <c r="L291" t="s">
        <v>900</v>
      </c>
    </row>
    <row r="292" spans="1:12">
      <c r="A292" t="s">
        <v>1448</v>
      </c>
      <c r="B292" s="1">
        <v>41425</v>
      </c>
      <c r="C292" t="s">
        <v>3131</v>
      </c>
      <c r="D292">
        <v>1</v>
      </c>
      <c r="E292" t="s">
        <v>3132</v>
      </c>
      <c r="F292" t="s">
        <v>946</v>
      </c>
      <c r="G292" s="33" t="s">
        <v>947</v>
      </c>
      <c r="H292" s="46">
        <f t="shared" si="10"/>
        <v>348.875</v>
      </c>
      <c r="I292" s="46">
        <f>54.08+1.74</f>
        <v>55.82</v>
      </c>
      <c r="J292" s="3"/>
      <c r="K292" s="3"/>
    </row>
    <row r="293" spans="1:12">
      <c r="A293" t="s">
        <v>1448</v>
      </c>
      <c r="B293" s="1">
        <v>41425</v>
      </c>
      <c r="C293" t="s">
        <v>3131</v>
      </c>
      <c r="D293">
        <v>1</v>
      </c>
      <c r="E293" t="s">
        <v>3132</v>
      </c>
      <c r="F293" s="28" t="s">
        <v>939</v>
      </c>
      <c r="G293" s="28" t="s">
        <v>3359</v>
      </c>
      <c r="H293" s="47">
        <f t="shared" si="10"/>
        <v>333.875</v>
      </c>
      <c r="I293" s="47">
        <v>53.42</v>
      </c>
    </row>
    <row r="294" spans="1:12">
      <c r="A294" t="s">
        <v>1448</v>
      </c>
      <c r="B294" s="1">
        <v>41425</v>
      </c>
      <c r="C294" t="s">
        <v>3131</v>
      </c>
      <c r="D294">
        <v>1</v>
      </c>
      <c r="E294" t="s">
        <v>3132</v>
      </c>
      <c r="F294" s="9" t="s">
        <v>3393</v>
      </c>
      <c r="G294" s="9" t="s">
        <v>3394</v>
      </c>
      <c r="H294" s="65">
        <f t="shared" si="10"/>
        <v>96.5</v>
      </c>
      <c r="I294" s="65">
        <v>15.44</v>
      </c>
      <c r="J294" s="14">
        <f>779.25-H292-H293-H294</f>
        <v>0</v>
      </c>
      <c r="K294" s="14">
        <f>124.68-I292-I293-I294</f>
        <v>0</v>
      </c>
      <c r="L294" t="s">
        <v>900</v>
      </c>
    </row>
    <row r="295" spans="1:12">
      <c r="A295" t="s">
        <v>3122</v>
      </c>
      <c r="B295" s="1">
        <v>41425</v>
      </c>
      <c r="C295" t="s">
        <v>3123</v>
      </c>
      <c r="D295">
        <v>1</v>
      </c>
      <c r="E295" t="s">
        <v>3124</v>
      </c>
      <c r="F295" s="28" t="s">
        <v>939</v>
      </c>
      <c r="G295" s="28" t="s">
        <v>3359</v>
      </c>
      <c r="H295" s="47">
        <f t="shared" si="10"/>
        <v>292.1875</v>
      </c>
      <c r="I295" s="47">
        <v>46.75</v>
      </c>
      <c r="J295" s="3"/>
      <c r="K295" s="3"/>
    </row>
    <row r="296" spans="1:12">
      <c r="A296" t="s">
        <v>3122</v>
      </c>
      <c r="B296" s="1">
        <v>41425</v>
      </c>
      <c r="C296" t="s">
        <v>3123</v>
      </c>
      <c r="D296">
        <v>1</v>
      </c>
      <c r="E296" t="s">
        <v>3124</v>
      </c>
      <c r="F296" s="9" t="s">
        <v>3384</v>
      </c>
      <c r="G296" s="9" t="s">
        <v>3385</v>
      </c>
      <c r="H296" s="65">
        <v>71.55</v>
      </c>
      <c r="I296" s="65">
        <v>11.45</v>
      </c>
    </row>
    <row r="297" spans="1:12">
      <c r="A297" t="s">
        <v>3122</v>
      </c>
      <c r="B297" s="1">
        <v>41425</v>
      </c>
      <c r="C297" t="s">
        <v>3123</v>
      </c>
      <c r="D297">
        <v>1</v>
      </c>
      <c r="E297" t="s">
        <v>3124</v>
      </c>
      <c r="F297" s="28" t="s">
        <v>913</v>
      </c>
      <c r="G297" s="28" t="s">
        <v>1584</v>
      </c>
      <c r="H297" s="47">
        <f t="shared" ref="H297:H303" si="11">I297/0.16</f>
        <v>398.25</v>
      </c>
      <c r="I297" s="47">
        <v>63.72</v>
      </c>
    </row>
    <row r="298" spans="1:12">
      <c r="A298" t="s">
        <v>3122</v>
      </c>
      <c r="B298" s="1">
        <v>41425</v>
      </c>
      <c r="C298" t="s">
        <v>3123</v>
      </c>
      <c r="D298">
        <v>1</v>
      </c>
      <c r="E298" t="s">
        <v>3124</v>
      </c>
      <c r="F298" t="s">
        <v>946</v>
      </c>
      <c r="G298" t="s">
        <v>947</v>
      </c>
      <c r="H298" s="46">
        <f t="shared" si="11"/>
        <v>683.8125</v>
      </c>
      <c r="I298" s="46">
        <f>105.82+3.59</f>
        <v>109.41</v>
      </c>
      <c r="J298" s="14">
        <f>1445.81-H295-H296-H297-H298</f>
        <v>9.9999999999909051E-3</v>
      </c>
      <c r="K298" s="14">
        <f>231.33-I295-I296-I297-I298</f>
        <v>0</v>
      </c>
      <c r="L298" t="s">
        <v>900</v>
      </c>
    </row>
    <row r="299" spans="1:12">
      <c r="A299" t="s">
        <v>418</v>
      </c>
      <c r="B299" s="1">
        <v>41425</v>
      </c>
      <c r="C299" t="s">
        <v>3137</v>
      </c>
      <c r="D299">
        <v>1</v>
      </c>
      <c r="E299" t="s">
        <v>3138</v>
      </c>
      <c r="F299" t="s">
        <v>946</v>
      </c>
      <c r="G299" t="s">
        <v>947</v>
      </c>
      <c r="H299" s="3">
        <f t="shared" si="11"/>
        <v>308.5625</v>
      </c>
      <c r="I299" s="46">
        <f>42.08+7.29</f>
        <v>49.37</v>
      </c>
      <c r="J299" s="3"/>
      <c r="K299" s="3"/>
    </row>
    <row r="300" spans="1:12">
      <c r="A300" t="s">
        <v>418</v>
      </c>
      <c r="B300" s="1">
        <v>41425</v>
      </c>
      <c r="C300" t="s">
        <v>3137</v>
      </c>
      <c r="D300">
        <v>1</v>
      </c>
      <c r="E300" t="s">
        <v>3138</v>
      </c>
      <c r="F300" s="28" t="s">
        <v>3395</v>
      </c>
      <c r="G300" s="28" t="s">
        <v>3396</v>
      </c>
      <c r="H300" s="47">
        <f t="shared" si="11"/>
        <v>379.3125</v>
      </c>
      <c r="I300" s="47">
        <v>60.69</v>
      </c>
    </row>
    <row r="301" spans="1:12">
      <c r="A301" t="s">
        <v>418</v>
      </c>
      <c r="B301" s="1">
        <v>41425</v>
      </c>
      <c r="C301" t="s">
        <v>3137</v>
      </c>
      <c r="D301">
        <v>1</v>
      </c>
      <c r="E301" t="s">
        <v>3138</v>
      </c>
      <c r="F301" s="9" t="s">
        <v>919</v>
      </c>
      <c r="G301" s="9" t="s">
        <v>3397</v>
      </c>
      <c r="H301" s="65">
        <f t="shared" si="11"/>
        <v>72.4375</v>
      </c>
      <c r="I301" s="65">
        <v>11.59</v>
      </c>
      <c r="J301" s="14">
        <f>760.31-H299-H300-H301</f>
        <v>-2.5000000000545697E-3</v>
      </c>
      <c r="K301" s="14">
        <f>121.65-I299-I300-I301</f>
        <v>0</v>
      </c>
      <c r="L301" t="s">
        <v>900</v>
      </c>
    </row>
    <row r="302" spans="1:12">
      <c r="A302" t="s">
        <v>3139</v>
      </c>
      <c r="B302" s="1">
        <v>41425</v>
      </c>
      <c r="C302" t="s">
        <v>3140</v>
      </c>
      <c r="D302">
        <v>1</v>
      </c>
      <c r="E302" t="s">
        <v>3141</v>
      </c>
      <c r="F302" t="s">
        <v>946</v>
      </c>
      <c r="G302" t="s">
        <v>947</v>
      </c>
      <c r="H302" s="3">
        <f t="shared" si="11"/>
        <v>230.8125</v>
      </c>
      <c r="I302" s="46">
        <f>36.29+0.64</f>
        <v>36.93</v>
      </c>
      <c r="J302" s="3"/>
      <c r="K302" s="3"/>
    </row>
    <row r="303" spans="1:12">
      <c r="A303" t="s">
        <v>3139</v>
      </c>
      <c r="B303" s="1">
        <v>41425</v>
      </c>
      <c r="C303" t="s">
        <v>3140</v>
      </c>
      <c r="D303">
        <v>1</v>
      </c>
      <c r="E303" t="s">
        <v>3141</v>
      </c>
      <c r="F303" s="9" t="s">
        <v>3398</v>
      </c>
      <c r="G303" s="9" t="s">
        <v>3399</v>
      </c>
      <c r="H303" s="65">
        <f t="shared" si="11"/>
        <v>125.37499999999999</v>
      </c>
      <c r="I303" s="65">
        <v>20.059999999999999</v>
      </c>
      <c r="J303" s="14">
        <f>356.19-H302-H303</f>
        <v>2.5000000000119371E-3</v>
      </c>
      <c r="K303" s="14">
        <f>56.99-I302-I303</f>
        <v>0</v>
      </c>
      <c r="L303" t="s">
        <v>900</v>
      </c>
    </row>
    <row r="304" spans="1:12">
      <c r="A304" t="s">
        <v>2963</v>
      </c>
      <c r="B304" s="1">
        <v>41408</v>
      </c>
      <c r="C304" t="s">
        <v>2964</v>
      </c>
      <c r="D304">
        <v>1</v>
      </c>
      <c r="E304" t="s">
        <v>1089</v>
      </c>
      <c r="F304" s="32" t="s">
        <v>890</v>
      </c>
      <c r="G304" s="33" t="s">
        <v>891</v>
      </c>
      <c r="H304" s="3">
        <f t="shared" si="8"/>
        <v>277751.8125</v>
      </c>
      <c r="I304" s="3">
        <v>44440.29</v>
      </c>
    </row>
    <row r="305" spans="1:10">
      <c r="A305" t="s">
        <v>3036</v>
      </c>
      <c r="B305" s="1">
        <v>41418</v>
      </c>
      <c r="C305" t="s">
        <v>3037</v>
      </c>
      <c r="D305">
        <v>1</v>
      </c>
      <c r="E305" t="s">
        <v>3038</v>
      </c>
      <c r="F305" s="41" t="s">
        <v>2317</v>
      </c>
      <c r="G305" s="33" t="s">
        <v>1808</v>
      </c>
      <c r="H305" s="3">
        <f t="shared" si="8"/>
        <v>215976.5625</v>
      </c>
      <c r="I305" s="3">
        <v>34556.25</v>
      </c>
    </row>
    <row r="306" spans="1:10">
      <c r="A306" t="s">
        <v>253</v>
      </c>
      <c r="B306" s="1">
        <v>41414</v>
      </c>
      <c r="C306" t="s">
        <v>3262</v>
      </c>
      <c r="D306">
        <v>2</v>
      </c>
      <c r="E306" t="s">
        <v>1332</v>
      </c>
      <c r="F306" s="41" t="s">
        <v>1711</v>
      </c>
      <c r="G306" t="s">
        <v>1332</v>
      </c>
      <c r="H306" s="3">
        <f t="shared" si="8"/>
        <v>1500</v>
      </c>
      <c r="I306" s="3">
        <v>240</v>
      </c>
    </row>
    <row r="307" spans="1:10">
      <c r="A307" t="s">
        <v>3047</v>
      </c>
      <c r="B307" s="1">
        <v>41422</v>
      </c>
      <c r="C307" t="s">
        <v>436</v>
      </c>
      <c r="D307">
        <v>1</v>
      </c>
      <c r="E307" t="s">
        <v>3048</v>
      </c>
      <c r="F307" s="12" t="s">
        <v>2922</v>
      </c>
      <c r="G307" s="9" t="s">
        <v>2923</v>
      </c>
      <c r="H307" s="3">
        <f>+I307/0.16</f>
        <v>554.625</v>
      </c>
      <c r="I307" s="3">
        <v>88.74</v>
      </c>
    </row>
    <row r="308" spans="1:10">
      <c r="B308" s="1"/>
      <c r="F308" s="134"/>
    </row>
    <row r="309" spans="1:10">
      <c r="B309" s="1"/>
      <c r="H309" s="3">
        <f>SUM(H11:H307)</f>
        <v>15319470.737500001</v>
      </c>
      <c r="I309" s="3">
        <f>SUM(I11:I307)</f>
        <v>2451115.3199999994</v>
      </c>
    </row>
    <row r="310" spans="1:10">
      <c r="H310" s="3">
        <f>3302536.34-851421.02</f>
        <v>2451115.3199999998</v>
      </c>
      <c r="I310" s="3">
        <f>+I309-H310</f>
        <v>0</v>
      </c>
    </row>
    <row r="313" spans="1:10">
      <c r="A313" s="151"/>
      <c r="B313" s="151"/>
      <c r="C313" s="151"/>
      <c r="D313" s="151"/>
      <c r="E313" s="151"/>
      <c r="F313" s="151" t="s">
        <v>724</v>
      </c>
      <c r="G313" s="151" t="s">
        <v>725</v>
      </c>
      <c r="H313" s="152" t="s">
        <v>732</v>
      </c>
      <c r="I313" s="151" t="s">
        <v>726</v>
      </c>
      <c r="J313" s="151" t="s">
        <v>7073</v>
      </c>
    </row>
    <row r="314" spans="1:10">
      <c r="A314" s="174" t="s">
        <v>7099</v>
      </c>
      <c r="B314">
        <v>85</v>
      </c>
      <c r="F314" s="9" t="s">
        <v>3368</v>
      </c>
      <c r="G314" s="9" t="s">
        <v>3369</v>
      </c>
      <c r="H314" s="3">
        <f>+I314/0.16</f>
        <v>1511.75</v>
      </c>
      <c r="I314" s="3">
        <f>+SUMIF($F$11:$F$307,F314,$I$11:$I$307)</f>
        <v>241.88</v>
      </c>
    </row>
    <row r="315" spans="1:10">
      <c r="A315" s="174" t="s">
        <v>7099</v>
      </c>
      <c r="B315">
        <v>85</v>
      </c>
      <c r="F315" s="9" t="s">
        <v>3349</v>
      </c>
      <c r="G315" s="9" t="s">
        <v>3286</v>
      </c>
      <c r="H315" s="3">
        <f t="shared" ref="H315:H378" si="12">+I315/0.16</f>
        <v>1975</v>
      </c>
      <c r="I315" s="3">
        <f t="shared" ref="I315:I378" si="13">+SUMIF($F$11:$F$307,F315,$I$11:$I$307)</f>
        <v>316</v>
      </c>
    </row>
    <row r="316" spans="1:10">
      <c r="A316" s="174" t="s">
        <v>7099</v>
      </c>
      <c r="B316">
        <v>85</v>
      </c>
      <c r="F316" s="9" t="s">
        <v>3346</v>
      </c>
      <c r="G316" s="9" t="s">
        <v>3283</v>
      </c>
      <c r="H316" s="3">
        <f t="shared" si="12"/>
        <v>1379.3125</v>
      </c>
      <c r="I316" s="3">
        <f t="shared" si="13"/>
        <v>220.69</v>
      </c>
    </row>
    <row r="317" spans="1:10">
      <c r="A317" s="174" t="s">
        <v>7099</v>
      </c>
      <c r="B317">
        <v>85</v>
      </c>
      <c r="F317" s="9" t="s">
        <v>747</v>
      </c>
      <c r="G317" s="9" t="s">
        <v>3096</v>
      </c>
      <c r="H317" s="3">
        <f t="shared" si="12"/>
        <v>63.5625</v>
      </c>
      <c r="I317" s="3">
        <f t="shared" si="13"/>
        <v>10.17</v>
      </c>
    </row>
    <row r="318" spans="1:10">
      <c r="A318" s="174" t="s">
        <v>7099</v>
      </c>
      <c r="B318">
        <v>85</v>
      </c>
      <c r="F318" s="9" t="s">
        <v>1571</v>
      </c>
      <c r="G318" s="9" t="s">
        <v>1285</v>
      </c>
      <c r="H318" s="3">
        <f t="shared" si="12"/>
        <v>22262.562499999996</v>
      </c>
      <c r="I318" s="3">
        <f t="shared" si="13"/>
        <v>3562.0099999999998</v>
      </c>
    </row>
    <row r="319" spans="1:10">
      <c r="A319" s="174" t="s">
        <v>7099</v>
      </c>
      <c r="B319">
        <v>85</v>
      </c>
      <c r="F319" s="12" t="s">
        <v>2846</v>
      </c>
      <c r="G319" s="9" t="s">
        <v>991</v>
      </c>
      <c r="H319" s="3">
        <f t="shared" si="12"/>
        <v>199344.9375</v>
      </c>
      <c r="I319" s="3">
        <f t="shared" si="13"/>
        <v>31895.19</v>
      </c>
    </row>
    <row r="320" spans="1:10">
      <c r="A320" s="174" t="s">
        <v>7099</v>
      </c>
      <c r="B320">
        <v>85</v>
      </c>
      <c r="F320" s="13" t="s">
        <v>1578</v>
      </c>
      <c r="G320" s="75" t="s">
        <v>1579</v>
      </c>
      <c r="H320" s="3">
        <f t="shared" si="12"/>
        <v>1260.875</v>
      </c>
      <c r="I320" s="3">
        <f t="shared" si="13"/>
        <v>201.74</v>
      </c>
    </row>
    <row r="321" spans="1:9">
      <c r="A321" s="174" t="s">
        <v>7099</v>
      </c>
      <c r="B321">
        <v>85</v>
      </c>
      <c r="F321" s="28" t="s">
        <v>939</v>
      </c>
      <c r="G321" s="28" t="s">
        <v>3359</v>
      </c>
      <c r="H321" s="3">
        <f t="shared" si="12"/>
        <v>2879.6875</v>
      </c>
      <c r="I321" s="3">
        <f t="shared" si="13"/>
        <v>460.75</v>
      </c>
    </row>
    <row r="322" spans="1:9">
      <c r="A322" s="174" t="s">
        <v>7099</v>
      </c>
      <c r="B322">
        <v>85</v>
      </c>
      <c r="F322" s="9" t="s">
        <v>1649</v>
      </c>
      <c r="G322" s="9" t="s">
        <v>3387</v>
      </c>
      <c r="H322" s="3">
        <f t="shared" si="12"/>
        <v>72.4375</v>
      </c>
      <c r="I322" s="3">
        <f t="shared" si="13"/>
        <v>11.59</v>
      </c>
    </row>
    <row r="323" spans="1:9">
      <c r="A323" s="174" t="s">
        <v>7099</v>
      </c>
      <c r="B323">
        <v>85</v>
      </c>
      <c r="F323" s="9" t="s">
        <v>3348</v>
      </c>
      <c r="G323" s="9" t="s">
        <v>3281</v>
      </c>
      <c r="H323" s="3">
        <f t="shared" si="12"/>
        <v>19935</v>
      </c>
      <c r="I323" s="3">
        <f t="shared" si="13"/>
        <v>3189.6</v>
      </c>
    </row>
    <row r="324" spans="1:9">
      <c r="A324" s="174" t="s">
        <v>7099</v>
      </c>
      <c r="B324">
        <v>85</v>
      </c>
      <c r="F324" s="12" t="s">
        <v>745</v>
      </c>
      <c r="G324" s="13" t="s">
        <v>746</v>
      </c>
      <c r="H324" s="3">
        <f t="shared" si="12"/>
        <v>221635.6875</v>
      </c>
      <c r="I324" s="3">
        <f t="shared" si="13"/>
        <v>35461.71</v>
      </c>
    </row>
    <row r="325" spans="1:9">
      <c r="A325" s="174" t="s">
        <v>7099</v>
      </c>
      <c r="B325">
        <v>85</v>
      </c>
      <c r="F325" s="9" t="s">
        <v>736</v>
      </c>
      <c r="G325" s="9" t="s">
        <v>3053</v>
      </c>
      <c r="H325" s="3">
        <f t="shared" si="12"/>
        <v>259912.62499999997</v>
      </c>
      <c r="I325" s="3">
        <f t="shared" si="13"/>
        <v>41586.019999999997</v>
      </c>
    </row>
    <row r="326" spans="1:9">
      <c r="A326" s="174" t="s">
        <v>7099</v>
      </c>
      <c r="B326">
        <v>85</v>
      </c>
      <c r="F326" s="12" t="s">
        <v>821</v>
      </c>
      <c r="G326" s="12" t="s">
        <v>2272</v>
      </c>
      <c r="H326" s="3">
        <f t="shared" si="12"/>
        <v>320</v>
      </c>
      <c r="I326" s="3">
        <f t="shared" si="13"/>
        <v>51.2</v>
      </c>
    </row>
    <row r="327" spans="1:9">
      <c r="A327" s="174" t="s">
        <v>7099</v>
      </c>
      <c r="B327">
        <v>85</v>
      </c>
      <c r="F327" s="21" t="s">
        <v>827</v>
      </c>
      <c r="G327" s="22" t="s">
        <v>828</v>
      </c>
      <c r="H327" s="3">
        <f t="shared" si="12"/>
        <v>10378.8125</v>
      </c>
      <c r="I327" s="3">
        <f t="shared" si="13"/>
        <v>1660.61</v>
      </c>
    </row>
    <row r="328" spans="1:9">
      <c r="A328" s="174" t="s">
        <v>7099</v>
      </c>
      <c r="B328">
        <v>85</v>
      </c>
      <c r="F328" s="9" t="s">
        <v>3351</v>
      </c>
      <c r="G328" s="9" t="s">
        <v>3323</v>
      </c>
      <c r="H328" s="3">
        <f t="shared" si="12"/>
        <v>27450</v>
      </c>
      <c r="I328" s="3">
        <f t="shared" si="13"/>
        <v>4392</v>
      </c>
    </row>
    <row r="329" spans="1:9">
      <c r="A329" s="174" t="s">
        <v>7099</v>
      </c>
      <c r="B329">
        <v>85</v>
      </c>
      <c r="F329" s="12" t="s">
        <v>823</v>
      </c>
      <c r="G329" s="20" t="s">
        <v>824</v>
      </c>
      <c r="H329" s="3">
        <f t="shared" si="12"/>
        <v>182</v>
      </c>
      <c r="I329" s="3">
        <f t="shared" si="13"/>
        <v>29.12</v>
      </c>
    </row>
    <row r="330" spans="1:9">
      <c r="A330" s="174" t="s">
        <v>7099</v>
      </c>
      <c r="B330">
        <v>85</v>
      </c>
      <c r="F330" s="12" t="s">
        <v>950</v>
      </c>
      <c r="G330" s="20" t="s">
        <v>951</v>
      </c>
      <c r="H330" s="3">
        <f t="shared" si="12"/>
        <v>6109.5</v>
      </c>
      <c r="I330" s="3">
        <f t="shared" si="13"/>
        <v>977.52</v>
      </c>
    </row>
    <row r="331" spans="1:9">
      <c r="A331" s="174" t="s">
        <v>7099</v>
      </c>
      <c r="B331">
        <v>85</v>
      </c>
      <c r="F331" s="9" t="s">
        <v>3352</v>
      </c>
      <c r="G331" s="9" t="s">
        <v>3192</v>
      </c>
      <c r="H331" s="3">
        <f t="shared" si="12"/>
        <v>90.25</v>
      </c>
      <c r="I331" s="3">
        <f t="shared" si="13"/>
        <v>14.44</v>
      </c>
    </row>
    <row r="332" spans="1:9">
      <c r="A332" s="174" t="s">
        <v>7099</v>
      </c>
      <c r="B332">
        <v>85</v>
      </c>
      <c r="F332" s="9" t="s">
        <v>751</v>
      </c>
      <c r="G332" s="9" t="s">
        <v>555</v>
      </c>
      <c r="H332" s="3">
        <f t="shared" si="12"/>
        <v>69</v>
      </c>
      <c r="I332" s="3">
        <f t="shared" si="13"/>
        <v>11.04</v>
      </c>
    </row>
    <row r="333" spans="1:9">
      <c r="A333" s="174" t="s">
        <v>7099</v>
      </c>
      <c r="B333">
        <v>85</v>
      </c>
      <c r="F333" s="12" t="s">
        <v>825</v>
      </c>
      <c r="G333" s="20" t="s">
        <v>826</v>
      </c>
      <c r="H333" s="3">
        <f t="shared" si="12"/>
        <v>112.99999999999999</v>
      </c>
      <c r="I333" s="3">
        <f t="shared" si="13"/>
        <v>18.079999999999998</v>
      </c>
    </row>
    <row r="334" spans="1:9">
      <c r="A334" s="174" t="s">
        <v>7099</v>
      </c>
      <c r="B334">
        <v>85</v>
      </c>
      <c r="F334" s="64" t="s">
        <v>772</v>
      </c>
      <c r="G334" s="9" t="s">
        <v>29</v>
      </c>
      <c r="H334" s="3">
        <f t="shared" si="12"/>
        <v>1102112.8125</v>
      </c>
      <c r="I334" s="3">
        <f t="shared" si="13"/>
        <v>176338.05000000002</v>
      </c>
    </row>
    <row r="335" spans="1:9">
      <c r="A335" s="174" t="s">
        <v>7099</v>
      </c>
      <c r="B335">
        <v>85</v>
      </c>
      <c r="F335" s="28" t="s">
        <v>3395</v>
      </c>
      <c r="G335" s="28" t="s">
        <v>3396</v>
      </c>
      <c r="H335" s="3">
        <f t="shared" si="12"/>
        <v>379.3125</v>
      </c>
      <c r="I335" s="3">
        <f t="shared" si="13"/>
        <v>60.69</v>
      </c>
    </row>
    <row r="336" spans="1:9">
      <c r="A336" s="174" t="s">
        <v>7099</v>
      </c>
      <c r="B336">
        <v>85</v>
      </c>
      <c r="F336" s="12" t="s">
        <v>755</v>
      </c>
      <c r="G336" s="9" t="s">
        <v>756</v>
      </c>
      <c r="H336" s="3">
        <f t="shared" si="12"/>
        <v>1177472.9374999998</v>
      </c>
      <c r="I336" s="3">
        <f t="shared" si="13"/>
        <v>188395.66999999998</v>
      </c>
    </row>
    <row r="337" spans="1:9">
      <c r="A337" s="174" t="s">
        <v>7099</v>
      </c>
      <c r="B337">
        <v>85</v>
      </c>
      <c r="F337" s="9" t="s">
        <v>2878</v>
      </c>
      <c r="G337" s="9" t="s">
        <v>3381</v>
      </c>
      <c r="H337" s="3">
        <f t="shared" si="12"/>
        <v>87.875</v>
      </c>
      <c r="I337" s="3">
        <f t="shared" si="13"/>
        <v>14.06</v>
      </c>
    </row>
    <row r="338" spans="1:9">
      <c r="A338" s="174" t="s">
        <v>7099</v>
      </c>
      <c r="B338">
        <v>85</v>
      </c>
      <c r="F338" s="9" t="s">
        <v>3389</v>
      </c>
      <c r="G338" s="9" t="s">
        <v>3390</v>
      </c>
      <c r="H338" s="3">
        <f t="shared" si="12"/>
        <v>45.625</v>
      </c>
      <c r="I338" s="3">
        <f t="shared" si="13"/>
        <v>7.3</v>
      </c>
    </row>
    <row r="339" spans="1:9">
      <c r="A339" s="174" t="s">
        <v>7099</v>
      </c>
      <c r="B339">
        <v>85</v>
      </c>
      <c r="F339" s="9" t="s">
        <v>1575</v>
      </c>
      <c r="G339" s="9" t="s">
        <v>1421</v>
      </c>
      <c r="H339" s="3">
        <f t="shared" si="12"/>
        <v>1368.125</v>
      </c>
      <c r="I339" s="3">
        <f t="shared" si="13"/>
        <v>218.9</v>
      </c>
    </row>
    <row r="340" spans="1:9">
      <c r="A340" s="174" t="s">
        <v>7099</v>
      </c>
      <c r="B340">
        <v>85</v>
      </c>
      <c r="F340" s="9" t="s">
        <v>764</v>
      </c>
      <c r="G340" s="9" t="s">
        <v>100</v>
      </c>
      <c r="H340" s="3">
        <f t="shared" si="12"/>
        <v>21718.8125</v>
      </c>
      <c r="I340" s="3">
        <f t="shared" si="13"/>
        <v>3475.01</v>
      </c>
    </row>
    <row r="341" spans="1:9">
      <c r="A341" s="174" t="s">
        <v>7099</v>
      </c>
      <c r="B341">
        <v>85</v>
      </c>
      <c r="F341" s="9" t="s">
        <v>770</v>
      </c>
      <c r="G341" s="9" t="s">
        <v>1142</v>
      </c>
      <c r="H341" s="3">
        <f t="shared" si="12"/>
        <v>12171</v>
      </c>
      <c r="I341" s="3">
        <f t="shared" si="13"/>
        <v>1947.36</v>
      </c>
    </row>
    <row r="342" spans="1:9">
      <c r="A342" s="174" t="s">
        <v>7099</v>
      </c>
      <c r="B342">
        <v>85</v>
      </c>
      <c r="F342" s="9" t="s">
        <v>1585</v>
      </c>
      <c r="G342" s="9" t="s">
        <v>999</v>
      </c>
      <c r="H342" s="3">
        <f t="shared" si="12"/>
        <v>10752.9375</v>
      </c>
      <c r="I342" s="3">
        <f t="shared" si="13"/>
        <v>1720.47</v>
      </c>
    </row>
    <row r="343" spans="1:9">
      <c r="A343" s="174" t="s">
        <v>7099</v>
      </c>
      <c r="B343">
        <v>85</v>
      </c>
      <c r="F343" s="9" t="s">
        <v>773</v>
      </c>
      <c r="G343" s="9" t="s">
        <v>3162</v>
      </c>
      <c r="H343" s="3">
        <f t="shared" si="12"/>
        <v>445.6875</v>
      </c>
      <c r="I343" s="3">
        <f t="shared" si="13"/>
        <v>71.31</v>
      </c>
    </row>
    <row r="344" spans="1:9">
      <c r="A344" s="174" t="s">
        <v>7099</v>
      </c>
      <c r="B344">
        <v>85</v>
      </c>
      <c r="F344" s="9" t="s">
        <v>765</v>
      </c>
      <c r="G344" s="9" t="s">
        <v>575</v>
      </c>
      <c r="H344" s="3">
        <f t="shared" si="12"/>
        <v>103.4375</v>
      </c>
      <c r="I344" s="3">
        <f t="shared" si="13"/>
        <v>16.55</v>
      </c>
    </row>
    <row r="345" spans="1:9">
      <c r="A345" s="174" t="s">
        <v>7099</v>
      </c>
      <c r="B345">
        <v>85</v>
      </c>
      <c r="F345" s="9" t="s">
        <v>767</v>
      </c>
      <c r="G345" s="9" t="s">
        <v>549</v>
      </c>
      <c r="H345" s="3">
        <f t="shared" si="12"/>
        <v>944.81249999999989</v>
      </c>
      <c r="I345" s="3">
        <f t="shared" si="13"/>
        <v>151.16999999999999</v>
      </c>
    </row>
    <row r="346" spans="1:9">
      <c r="A346" s="174" t="s">
        <v>7099</v>
      </c>
      <c r="B346">
        <v>85</v>
      </c>
      <c r="F346" s="9" t="s">
        <v>1587</v>
      </c>
      <c r="G346" s="9" t="s">
        <v>1239</v>
      </c>
      <c r="H346" s="3">
        <f t="shared" si="12"/>
        <v>204</v>
      </c>
      <c r="I346" s="3">
        <f t="shared" si="13"/>
        <v>32.64</v>
      </c>
    </row>
    <row r="347" spans="1:9">
      <c r="A347" s="174" t="s">
        <v>7099</v>
      </c>
      <c r="B347">
        <v>85</v>
      </c>
      <c r="F347" s="9" t="s">
        <v>1576</v>
      </c>
      <c r="G347" s="9" t="s">
        <v>1059</v>
      </c>
      <c r="H347" s="3">
        <f t="shared" si="12"/>
        <v>827.62499999999989</v>
      </c>
      <c r="I347" s="3">
        <f t="shared" si="13"/>
        <v>132.41999999999999</v>
      </c>
    </row>
    <row r="348" spans="1:9">
      <c r="A348" s="174" t="s">
        <v>7099</v>
      </c>
      <c r="B348">
        <v>85</v>
      </c>
      <c r="F348" s="28" t="s">
        <v>3355</v>
      </c>
      <c r="G348" s="28" t="s">
        <v>3356</v>
      </c>
      <c r="H348" s="3">
        <f t="shared" si="12"/>
        <v>150.25</v>
      </c>
      <c r="I348" s="3">
        <f t="shared" si="13"/>
        <v>24.04</v>
      </c>
    </row>
    <row r="349" spans="1:9">
      <c r="A349" s="174" t="s">
        <v>7099</v>
      </c>
      <c r="B349">
        <v>85</v>
      </c>
      <c r="F349" s="8" t="s">
        <v>761</v>
      </c>
      <c r="G349" s="9" t="s">
        <v>762</v>
      </c>
      <c r="H349" s="3">
        <f t="shared" si="12"/>
        <v>630392.6875</v>
      </c>
      <c r="I349" s="3">
        <f t="shared" si="13"/>
        <v>100862.83</v>
      </c>
    </row>
    <row r="350" spans="1:9">
      <c r="A350" s="174" t="s">
        <v>7099</v>
      </c>
      <c r="B350">
        <v>85</v>
      </c>
      <c r="F350" s="9" t="s">
        <v>3393</v>
      </c>
      <c r="G350" s="9" t="s">
        <v>3394</v>
      </c>
      <c r="H350" s="3">
        <f t="shared" si="12"/>
        <v>96.5</v>
      </c>
      <c r="I350" s="3">
        <f t="shared" si="13"/>
        <v>15.44</v>
      </c>
    </row>
    <row r="351" spans="1:9">
      <c r="A351" s="174" t="s">
        <v>7099</v>
      </c>
      <c r="B351">
        <v>85</v>
      </c>
      <c r="F351" s="9" t="s">
        <v>3363</v>
      </c>
      <c r="G351" s="9" t="s">
        <v>3088</v>
      </c>
      <c r="H351" s="3">
        <f t="shared" si="12"/>
        <v>120</v>
      </c>
      <c r="I351" s="3">
        <f t="shared" si="13"/>
        <v>19.2</v>
      </c>
    </row>
    <row r="352" spans="1:9">
      <c r="A352" s="174" t="s">
        <v>7099</v>
      </c>
      <c r="B352">
        <v>85</v>
      </c>
      <c r="F352" s="9" t="s">
        <v>2290</v>
      </c>
      <c r="G352" s="9" t="s">
        <v>2291</v>
      </c>
      <c r="H352" s="3">
        <f t="shared" si="12"/>
        <v>425</v>
      </c>
      <c r="I352" s="3">
        <f t="shared" si="13"/>
        <v>68</v>
      </c>
    </row>
    <row r="353" spans="1:10">
      <c r="A353" s="174" t="s">
        <v>7099</v>
      </c>
      <c r="B353">
        <v>85</v>
      </c>
      <c r="F353" s="9" t="s">
        <v>3391</v>
      </c>
      <c r="G353" s="9" t="s">
        <v>3392</v>
      </c>
      <c r="H353" s="3">
        <f t="shared" si="12"/>
        <v>100</v>
      </c>
      <c r="I353" s="3">
        <f t="shared" si="13"/>
        <v>16</v>
      </c>
    </row>
    <row r="354" spans="1:10">
      <c r="A354" s="174" t="s">
        <v>7099</v>
      </c>
      <c r="B354">
        <v>85</v>
      </c>
      <c r="F354" s="12" t="s">
        <v>775</v>
      </c>
      <c r="G354" s="9" t="s">
        <v>776</v>
      </c>
      <c r="H354" s="3">
        <f t="shared" si="12"/>
        <v>560103.9375</v>
      </c>
      <c r="I354" s="3">
        <f t="shared" si="13"/>
        <v>89616.63</v>
      </c>
    </row>
    <row r="355" spans="1:10">
      <c r="A355" s="174" t="s">
        <v>7099</v>
      </c>
      <c r="B355">
        <v>85</v>
      </c>
      <c r="F355" s="9" t="s">
        <v>1595</v>
      </c>
      <c r="G355" s="9" t="s">
        <v>1596</v>
      </c>
      <c r="H355" s="3">
        <f t="shared" si="12"/>
        <v>277751.8125</v>
      </c>
      <c r="I355" s="3">
        <f t="shared" si="13"/>
        <v>44440.29</v>
      </c>
    </row>
    <row r="356" spans="1:10">
      <c r="A356" s="174" t="s">
        <v>7099</v>
      </c>
      <c r="B356">
        <v>85</v>
      </c>
      <c r="F356" s="9" t="s">
        <v>2849</v>
      </c>
      <c r="G356" s="9" t="s">
        <v>983</v>
      </c>
      <c r="H356" s="3">
        <f t="shared" si="12"/>
        <v>50000</v>
      </c>
      <c r="I356" s="3">
        <f t="shared" si="13"/>
        <v>8000</v>
      </c>
    </row>
    <row r="357" spans="1:10">
      <c r="A357" s="174" t="s">
        <v>7099</v>
      </c>
      <c r="B357">
        <v>85</v>
      </c>
      <c r="F357" s="9" t="s">
        <v>1594</v>
      </c>
      <c r="G357" s="9" t="s">
        <v>973</v>
      </c>
      <c r="H357" s="3">
        <f t="shared" si="12"/>
        <v>17863.6875</v>
      </c>
      <c r="I357" s="3">
        <f t="shared" si="13"/>
        <v>2858.19</v>
      </c>
    </row>
    <row r="358" spans="1:10">
      <c r="A358" s="174" t="s">
        <v>7099</v>
      </c>
      <c r="B358">
        <v>85</v>
      </c>
      <c r="F358" s="9" t="s">
        <v>781</v>
      </c>
      <c r="G358" s="9" t="s">
        <v>80</v>
      </c>
      <c r="H358" s="3">
        <f t="shared" si="12"/>
        <v>4886.9375</v>
      </c>
      <c r="I358" s="3">
        <f t="shared" si="13"/>
        <v>781.91000000000008</v>
      </c>
    </row>
    <row r="359" spans="1:10">
      <c r="A359" s="174" t="s">
        <v>7099</v>
      </c>
      <c r="B359">
        <v>85</v>
      </c>
      <c r="F359" s="9" t="s">
        <v>3362</v>
      </c>
      <c r="G359" s="9" t="s">
        <v>3312</v>
      </c>
      <c r="H359" s="3">
        <f t="shared" si="12"/>
        <v>1344</v>
      </c>
      <c r="I359" s="3">
        <f t="shared" si="13"/>
        <v>215.04</v>
      </c>
    </row>
    <row r="360" spans="1:10">
      <c r="A360" s="174" t="s">
        <v>7099</v>
      </c>
      <c r="B360">
        <v>85</v>
      </c>
      <c r="F360" t="s">
        <v>4346</v>
      </c>
      <c r="G360" t="s">
        <v>4318</v>
      </c>
      <c r="H360" s="3">
        <f t="shared" si="12"/>
        <v>1487.125</v>
      </c>
      <c r="I360" s="3">
        <f t="shared" si="13"/>
        <v>237.94</v>
      </c>
    </row>
    <row r="361" spans="1:10">
      <c r="A361" s="174" t="s">
        <v>7099</v>
      </c>
      <c r="B361">
        <v>85</v>
      </c>
      <c r="F361" s="9" t="s">
        <v>780</v>
      </c>
      <c r="G361" s="9" t="s">
        <v>373</v>
      </c>
      <c r="H361" s="3">
        <f t="shared" si="12"/>
        <v>41813.312500000007</v>
      </c>
      <c r="I361" s="3">
        <f t="shared" si="13"/>
        <v>6690.130000000001</v>
      </c>
    </row>
    <row r="362" spans="1:10">
      <c r="A362" s="174" t="s">
        <v>7099</v>
      </c>
      <c r="B362">
        <v>85</v>
      </c>
      <c r="F362" s="9" t="s">
        <v>784</v>
      </c>
      <c r="G362" s="9" t="s">
        <v>618</v>
      </c>
      <c r="H362" s="3">
        <f t="shared" si="12"/>
        <v>172.4375</v>
      </c>
      <c r="I362" s="3">
        <f t="shared" si="13"/>
        <v>27.59</v>
      </c>
    </row>
    <row r="363" spans="1:10">
      <c r="A363" s="174" t="s">
        <v>7099</v>
      </c>
      <c r="B363">
        <v>85</v>
      </c>
      <c r="F363" s="9" t="s">
        <v>739</v>
      </c>
      <c r="G363" s="9" t="s">
        <v>469</v>
      </c>
      <c r="H363" s="3">
        <f t="shared" si="12"/>
        <v>430.99999999999994</v>
      </c>
      <c r="I363" s="3">
        <f t="shared" si="13"/>
        <v>68.959999999999994</v>
      </c>
    </row>
    <row r="364" spans="1:10">
      <c r="A364" s="174" t="s">
        <v>7099</v>
      </c>
      <c r="B364">
        <v>85</v>
      </c>
      <c r="F364" s="9" t="s">
        <v>789</v>
      </c>
      <c r="G364" s="9" t="s">
        <v>1444</v>
      </c>
      <c r="H364" s="3">
        <f t="shared" si="12"/>
        <v>65.5</v>
      </c>
      <c r="I364" s="3">
        <f t="shared" si="13"/>
        <v>10.48</v>
      </c>
    </row>
    <row r="365" spans="1:10">
      <c r="A365" s="174" t="s">
        <v>7099</v>
      </c>
      <c r="B365">
        <v>85</v>
      </c>
      <c r="F365" s="9" t="s">
        <v>3377</v>
      </c>
      <c r="G365" s="9" t="s">
        <v>3378</v>
      </c>
      <c r="H365" s="3">
        <f t="shared" si="12"/>
        <v>333.875</v>
      </c>
      <c r="I365" s="3">
        <f t="shared" si="13"/>
        <v>53.42</v>
      </c>
    </row>
    <row r="366" spans="1:10">
      <c r="A366" s="174" t="s">
        <v>7099</v>
      </c>
      <c r="B366">
        <v>6</v>
      </c>
      <c r="F366" s="9" t="s">
        <v>2302</v>
      </c>
      <c r="G366" s="9" t="s">
        <v>3210</v>
      </c>
      <c r="H366" s="3">
        <f t="shared" si="12"/>
        <v>269.625</v>
      </c>
      <c r="I366" s="3">
        <f t="shared" si="13"/>
        <v>43.14</v>
      </c>
      <c r="J366">
        <v>10.79</v>
      </c>
    </row>
    <row r="367" spans="1:10">
      <c r="A367" s="174" t="s">
        <v>7099</v>
      </c>
      <c r="B367">
        <v>85</v>
      </c>
      <c r="F367" s="9" t="s">
        <v>794</v>
      </c>
      <c r="G367" s="9" t="s">
        <v>612</v>
      </c>
      <c r="H367" s="3">
        <f t="shared" si="12"/>
        <v>240.00000000000003</v>
      </c>
      <c r="I367" s="3">
        <f t="shared" si="13"/>
        <v>38.400000000000006</v>
      </c>
    </row>
    <row r="368" spans="1:10">
      <c r="A368" s="174" t="s">
        <v>7099</v>
      </c>
      <c r="B368">
        <v>85</v>
      </c>
      <c r="F368" s="9" t="s">
        <v>834</v>
      </c>
      <c r="G368" s="9" t="s">
        <v>466</v>
      </c>
      <c r="H368" s="3">
        <f t="shared" si="12"/>
        <v>263</v>
      </c>
      <c r="I368" s="3">
        <f t="shared" si="13"/>
        <v>42.08</v>
      </c>
    </row>
    <row r="369" spans="1:9">
      <c r="A369" s="174" t="s">
        <v>7099</v>
      </c>
      <c r="B369">
        <v>85</v>
      </c>
      <c r="F369" s="13" t="s">
        <v>1598</v>
      </c>
      <c r="G369" s="9" t="s">
        <v>1599</v>
      </c>
      <c r="H369" s="3">
        <f t="shared" si="12"/>
        <v>205379.4375</v>
      </c>
      <c r="I369" s="3">
        <f t="shared" si="13"/>
        <v>32860.71</v>
      </c>
    </row>
    <row r="370" spans="1:9">
      <c r="A370" s="174" t="s">
        <v>7099</v>
      </c>
      <c r="B370">
        <v>85</v>
      </c>
      <c r="F370" s="9" t="s">
        <v>3364</v>
      </c>
      <c r="G370" s="9" t="s">
        <v>3279</v>
      </c>
      <c r="H370" s="3">
        <f t="shared" si="12"/>
        <v>4022</v>
      </c>
      <c r="I370" s="3">
        <f t="shared" si="13"/>
        <v>643.52</v>
      </c>
    </row>
    <row r="371" spans="1:9">
      <c r="A371" s="174" t="s">
        <v>7099</v>
      </c>
      <c r="B371">
        <v>85</v>
      </c>
      <c r="F371" s="9" t="s">
        <v>3347</v>
      </c>
      <c r="G371" s="9" t="s">
        <v>3206</v>
      </c>
      <c r="H371" s="3">
        <f t="shared" si="12"/>
        <v>168.125</v>
      </c>
      <c r="I371" s="3">
        <f t="shared" si="13"/>
        <v>26.9</v>
      </c>
    </row>
    <row r="372" spans="1:9">
      <c r="A372" s="174" t="s">
        <v>7099</v>
      </c>
      <c r="B372">
        <v>85</v>
      </c>
      <c r="F372" s="9" t="s">
        <v>798</v>
      </c>
      <c r="G372" s="9" t="s">
        <v>77</v>
      </c>
      <c r="H372" s="3">
        <f t="shared" si="12"/>
        <v>3326.375</v>
      </c>
      <c r="I372" s="3">
        <f t="shared" si="13"/>
        <v>532.22</v>
      </c>
    </row>
    <row r="373" spans="1:9">
      <c r="A373" s="174" t="s">
        <v>7099</v>
      </c>
      <c r="B373">
        <v>85</v>
      </c>
      <c r="F373" s="9" t="s">
        <v>2901</v>
      </c>
      <c r="G373" s="9" t="s">
        <v>3386</v>
      </c>
      <c r="H373" s="3">
        <f t="shared" si="12"/>
        <v>77.5625</v>
      </c>
      <c r="I373" s="3">
        <f t="shared" si="13"/>
        <v>12.41</v>
      </c>
    </row>
    <row r="374" spans="1:9">
      <c r="A374" s="174" t="s">
        <v>7099</v>
      </c>
      <c r="B374">
        <v>85</v>
      </c>
      <c r="F374" s="9" t="s">
        <v>3365</v>
      </c>
      <c r="G374" s="9" t="s">
        <v>3366</v>
      </c>
      <c r="H374" s="3">
        <f t="shared" si="12"/>
        <v>8552.5625</v>
      </c>
      <c r="I374" s="3">
        <f t="shared" si="13"/>
        <v>1368.41</v>
      </c>
    </row>
    <row r="375" spans="1:9">
      <c r="A375" s="174" t="s">
        <v>7099</v>
      </c>
      <c r="B375">
        <v>85</v>
      </c>
      <c r="F375" t="s">
        <v>946</v>
      </c>
      <c r="G375" t="s">
        <v>947</v>
      </c>
      <c r="H375" s="3">
        <f t="shared" si="12"/>
        <v>362218.00000000012</v>
      </c>
      <c r="I375" s="3">
        <f t="shared" si="13"/>
        <v>57954.880000000019</v>
      </c>
    </row>
    <row r="376" spans="1:9">
      <c r="A376" s="174" t="s">
        <v>7099</v>
      </c>
      <c r="B376">
        <v>85</v>
      </c>
      <c r="F376" s="9" t="s">
        <v>1687</v>
      </c>
      <c r="G376" s="9" t="s">
        <v>1688</v>
      </c>
      <c r="H376" s="3">
        <f t="shared" si="12"/>
        <v>333.875</v>
      </c>
      <c r="I376" s="3">
        <f t="shared" si="13"/>
        <v>53.42</v>
      </c>
    </row>
    <row r="377" spans="1:9">
      <c r="A377" s="174" t="s">
        <v>7099</v>
      </c>
      <c r="B377">
        <v>85</v>
      </c>
      <c r="F377" s="9" t="s">
        <v>797</v>
      </c>
      <c r="G377" s="9" t="s">
        <v>220</v>
      </c>
      <c r="H377" s="3">
        <f t="shared" si="12"/>
        <v>9995</v>
      </c>
      <c r="I377" s="3">
        <f t="shared" si="13"/>
        <v>1599.2</v>
      </c>
    </row>
    <row r="378" spans="1:9">
      <c r="A378" s="174" t="s">
        <v>7099</v>
      </c>
      <c r="B378">
        <v>85</v>
      </c>
      <c r="F378" s="28" t="s">
        <v>3382</v>
      </c>
      <c r="G378" s="28" t="s">
        <v>3383</v>
      </c>
      <c r="H378" s="3">
        <f t="shared" si="12"/>
        <v>625.875</v>
      </c>
      <c r="I378" s="3">
        <f t="shared" si="13"/>
        <v>100.14</v>
      </c>
    </row>
    <row r="379" spans="1:9">
      <c r="A379" s="174" t="s">
        <v>7099</v>
      </c>
      <c r="B379">
        <v>85</v>
      </c>
      <c r="F379" s="41" t="s">
        <v>2285</v>
      </c>
      <c r="G379" s="33" t="s">
        <v>1800</v>
      </c>
      <c r="H379" s="3">
        <f t="shared" ref="H379:H442" si="14">+I379/0.16</f>
        <v>474604.5</v>
      </c>
      <c r="I379" s="3">
        <f t="shared" ref="I379:I442" si="15">+SUMIF($F$11:$F$307,F379,$I$11:$I$307)</f>
        <v>75936.72</v>
      </c>
    </row>
    <row r="380" spans="1:9">
      <c r="A380" s="174" t="s">
        <v>7099</v>
      </c>
      <c r="B380">
        <v>85</v>
      </c>
      <c r="F380" s="28" t="s">
        <v>2277</v>
      </c>
      <c r="G380" s="28" t="s">
        <v>2278</v>
      </c>
      <c r="H380" s="3">
        <f t="shared" si="14"/>
        <v>62.0625</v>
      </c>
      <c r="I380" s="3">
        <f t="shared" si="15"/>
        <v>9.93</v>
      </c>
    </row>
    <row r="381" spans="1:9">
      <c r="A381" s="174" t="s">
        <v>7099</v>
      </c>
      <c r="B381">
        <v>85</v>
      </c>
      <c r="F381" s="9" t="s">
        <v>1600</v>
      </c>
      <c r="G381" s="9" t="s">
        <v>1011</v>
      </c>
      <c r="H381" s="3">
        <f t="shared" si="14"/>
        <v>10379.375</v>
      </c>
      <c r="I381" s="3">
        <f t="shared" si="15"/>
        <v>1660.7</v>
      </c>
    </row>
    <row r="382" spans="1:9">
      <c r="A382" s="174" t="s">
        <v>7099</v>
      </c>
      <c r="B382">
        <v>85</v>
      </c>
      <c r="F382" s="9" t="s">
        <v>3357</v>
      </c>
      <c r="G382" s="9" t="s">
        <v>3358</v>
      </c>
      <c r="H382" s="3">
        <f t="shared" si="14"/>
        <v>75.875</v>
      </c>
      <c r="I382" s="3">
        <f t="shared" si="15"/>
        <v>12.14</v>
      </c>
    </row>
    <row r="383" spans="1:9">
      <c r="A383" s="174" t="s">
        <v>7099</v>
      </c>
      <c r="B383">
        <v>85</v>
      </c>
      <c r="F383" s="12" t="s">
        <v>830</v>
      </c>
      <c r="G383" s="20" t="s">
        <v>831</v>
      </c>
      <c r="H383" s="3">
        <f t="shared" si="14"/>
        <v>490</v>
      </c>
      <c r="I383" s="3">
        <f t="shared" si="15"/>
        <v>78.400000000000006</v>
      </c>
    </row>
    <row r="384" spans="1:9">
      <c r="A384" s="174" t="s">
        <v>7099</v>
      </c>
      <c r="B384">
        <v>85</v>
      </c>
      <c r="F384" s="9" t="s">
        <v>803</v>
      </c>
      <c r="G384" s="9" t="s">
        <v>74</v>
      </c>
      <c r="H384" s="3">
        <f t="shared" si="14"/>
        <v>27317.8125</v>
      </c>
      <c r="I384" s="3">
        <f t="shared" si="15"/>
        <v>4370.8500000000004</v>
      </c>
    </row>
    <row r="385" spans="1:10">
      <c r="A385" s="174" t="s">
        <v>7099</v>
      </c>
      <c r="B385">
        <v>85</v>
      </c>
      <c r="F385" s="9" t="s">
        <v>2854</v>
      </c>
      <c r="G385" s="9" t="s">
        <v>2731</v>
      </c>
      <c r="H385" s="3">
        <f t="shared" si="14"/>
        <v>438.81249999999994</v>
      </c>
      <c r="I385" s="3">
        <f t="shared" si="15"/>
        <v>70.209999999999994</v>
      </c>
    </row>
    <row r="386" spans="1:10">
      <c r="A386" s="174" t="s">
        <v>7099</v>
      </c>
      <c r="B386">
        <v>85</v>
      </c>
      <c r="F386" s="9" t="s">
        <v>805</v>
      </c>
      <c r="G386" s="9" t="s">
        <v>112</v>
      </c>
      <c r="H386" s="3">
        <f t="shared" si="14"/>
        <v>25000</v>
      </c>
      <c r="I386" s="3">
        <f t="shared" si="15"/>
        <v>4000</v>
      </c>
    </row>
    <row r="387" spans="1:10">
      <c r="A387" s="174" t="s">
        <v>7099</v>
      </c>
      <c r="B387">
        <v>85</v>
      </c>
      <c r="F387" s="12" t="s">
        <v>2922</v>
      </c>
      <c r="G387" s="9" t="s">
        <v>2923</v>
      </c>
      <c r="H387" s="3">
        <f t="shared" si="14"/>
        <v>554.625</v>
      </c>
      <c r="I387" s="3">
        <f t="shared" si="15"/>
        <v>88.74</v>
      </c>
    </row>
    <row r="388" spans="1:10">
      <c r="A388" s="174" t="s">
        <v>7099</v>
      </c>
      <c r="B388">
        <v>6</v>
      </c>
      <c r="F388" s="11" t="s">
        <v>802</v>
      </c>
      <c r="G388" s="11" t="s">
        <v>3370</v>
      </c>
      <c r="H388" s="3">
        <f t="shared" si="14"/>
        <v>819.99999999999989</v>
      </c>
      <c r="I388" s="3">
        <f t="shared" si="15"/>
        <v>131.19999999999999</v>
      </c>
      <c r="J388">
        <v>18.013999999999999</v>
      </c>
    </row>
    <row r="389" spans="1:10">
      <c r="A389" s="174" t="s">
        <v>7099</v>
      </c>
      <c r="B389">
        <v>85</v>
      </c>
      <c r="F389" s="9" t="s">
        <v>806</v>
      </c>
      <c r="G389" s="9" t="s">
        <v>207</v>
      </c>
      <c r="H389" s="3">
        <f t="shared" si="14"/>
        <v>3738</v>
      </c>
      <c r="I389" s="3">
        <f t="shared" si="15"/>
        <v>598.08000000000004</v>
      </c>
    </row>
    <row r="390" spans="1:10">
      <c r="A390" s="174" t="s">
        <v>7099</v>
      </c>
      <c r="B390">
        <v>85</v>
      </c>
      <c r="F390" s="9" t="s">
        <v>3379</v>
      </c>
      <c r="G390" s="9" t="s">
        <v>3380</v>
      </c>
      <c r="H390" s="3">
        <f t="shared" si="14"/>
        <v>81.9375</v>
      </c>
      <c r="I390" s="3">
        <f t="shared" si="15"/>
        <v>13.11</v>
      </c>
    </row>
    <row r="391" spans="1:10">
      <c r="A391" s="174" t="s">
        <v>7099</v>
      </c>
      <c r="B391">
        <v>85</v>
      </c>
      <c r="F391" s="9" t="s">
        <v>811</v>
      </c>
      <c r="G391" s="9" t="s">
        <v>3145</v>
      </c>
      <c r="H391" s="3">
        <f t="shared" si="14"/>
        <v>18.3125</v>
      </c>
      <c r="I391" s="3">
        <f t="shared" si="15"/>
        <v>2.93</v>
      </c>
    </row>
    <row r="392" spans="1:10">
      <c r="A392" s="174" t="s">
        <v>7099</v>
      </c>
      <c r="B392">
        <v>85</v>
      </c>
      <c r="F392" s="9" t="s">
        <v>814</v>
      </c>
      <c r="G392" s="9" t="s">
        <v>2949</v>
      </c>
      <c r="H392" s="3">
        <f t="shared" si="14"/>
        <v>761086.5625</v>
      </c>
      <c r="I392" s="3">
        <f t="shared" si="15"/>
        <v>121773.85</v>
      </c>
    </row>
    <row r="393" spans="1:10">
      <c r="A393" s="174" t="s">
        <v>7099</v>
      </c>
      <c r="B393">
        <v>6</v>
      </c>
      <c r="F393" s="18" t="s">
        <v>816</v>
      </c>
      <c r="G393" s="19" t="s">
        <v>5</v>
      </c>
      <c r="H393" s="3">
        <f t="shared" si="14"/>
        <v>107142.875</v>
      </c>
      <c r="I393" s="3">
        <f t="shared" si="15"/>
        <v>17142.86</v>
      </c>
      <c r="J393">
        <v>11428.57</v>
      </c>
    </row>
    <row r="394" spans="1:10">
      <c r="A394" s="174" t="s">
        <v>7099</v>
      </c>
      <c r="B394">
        <v>85</v>
      </c>
      <c r="F394" s="9" t="s">
        <v>3361</v>
      </c>
      <c r="G394" s="9" t="s">
        <v>1641</v>
      </c>
      <c r="H394" s="3">
        <f t="shared" si="14"/>
        <v>77.5625</v>
      </c>
      <c r="I394" s="3">
        <f t="shared" si="15"/>
        <v>12.41</v>
      </c>
    </row>
    <row r="395" spans="1:10">
      <c r="A395" s="174" t="s">
        <v>7099</v>
      </c>
      <c r="B395">
        <v>85</v>
      </c>
      <c r="F395" s="9" t="s">
        <v>738</v>
      </c>
      <c r="G395" s="9" t="s">
        <v>3345</v>
      </c>
      <c r="H395" s="3">
        <f t="shared" si="14"/>
        <v>214.6875</v>
      </c>
      <c r="I395" s="3">
        <f t="shared" si="15"/>
        <v>34.35</v>
      </c>
    </row>
    <row r="396" spans="1:10">
      <c r="A396" s="174" t="s">
        <v>7099</v>
      </c>
      <c r="B396">
        <v>85</v>
      </c>
      <c r="F396" s="9" t="s">
        <v>952</v>
      </c>
      <c r="G396" s="9" t="s">
        <v>115</v>
      </c>
      <c r="H396" s="3">
        <f t="shared" si="14"/>
        <v>3077.5</v>
      </c>
      <c r="I396" s="3">
        <f t="shared" si="15"/>
        <v>492.4</v>
      </c>
    </row>
    <row r="397" spans="1:10">
      <c r="A397" s="174" t="s">
        <v>7099</v>
      </c>
      <c r="B397">
        <v>85</v>
      </c>
      <c r="F397" s="9" t="s">
        <v>3375</v>
      </c>
      <c r="G397" s="9" t="s">
        <v>3151</v>
      </c>
      <c r="H397" s="3">
        <f t="shared" si="14"/>
        <v>450</v>
      </c>
      <c r="I397" s="3">
        <f t="shared" si="15"/>
        <v>72</v>
      </c>
    </row>
    <row r="398" spans="1:10">
      <c r="A398" s="174" t="s">
        <v>7099</v>
      </c>
      <c r="B398">
        <v>85</v>
      </c>
      <c r="F398" s="9" t="s">
        <v>2305</v>
      </c>
      <c r="G398" s="9" t="s">
        <v>2157</v>
      </c>
      <c r="H398" s="3">
        <f t="shared" si="14"/>
        <v>6795.9999999999991</v>
      </c>
      <c r="I398" s="3">
        <f t="shared" si="15"/>
        <v>1087.3599999999999</v>
      </c>
    </row>
    <row r="399" spans="1:10">
      <c r="A399" s="174" t="s">
        <v>7099</v>
      </c>
      <c r="B399">
        <v>85</v>
      </c>
      <c r="F399" s="9" t="s">
        <v>820</v>
      </c>
      <c r="G399" s="9" t="s">
        <v>97</v>
      </c>
      <c r="H399" s="3">
        <f t="shared" si="14"/>
        <v>3150</v>
      </c>
      <c r="I399" s="3">
        <f t="shared" si="15"/>
        <v>504</v>
      </c>
    </row>
    <row r="400" spans="1:10">
      <c r="A400" s="174" t="s">
        <v>7099</v>
      </c>
      <c r="B400">
        <v>85</v>
      </c>
      <c r="F400" s="9" t="s">
        <v>1615</v>
      </c>
      <c r="G400" s="9" t="s">
        <v>1449</v>
      </c>
      <c r="H400" s="3">
        <f t="shared" si="14"/>
        <v>332.875</v>
      </c>
      <c r="I400" s="3">
        <f t="shared" si="15"/>
        <v>53.260000000000005</v>
      </c>
    </row>
    <row r="401" spans="1:10">
      <c r="A401" s="174" t="s">
        <v>7099</v>
      </c>
      <c r="B401">
        <v>85</v>
      </c>
      <c r="F401" s="9" t="s">
        <v>818</v>
      </c>
      <c r="G401" s="9" t="s">
        <v>584</v>
      </c>
      <c r="H401" s="3">
        <f t="shared" si="14"/>
        <v>342.5</v>
      </c>
      <c r="I401" s="3">
        <f t="shared" si="15"/>
        <v>54.8</v>
      </c>
    </row>
    <row r="402" spans="1:10">
      <c r="A402" s="174" t="s">
        <v>7099</v>
      </c>
      <c r="B402">
        <v>85</v>
      </c>
      <c r="F402" t="s">
        <v>3373</v>
      </c>
      <c r="G402" t="s">
        <v>3290</v>
      </c>
      <c r="H402" s="3">
        <f t="shared" si="14"/>
        <v>295</v>
      </c>
      <c r="I402" s="3">
        <f t="shared" si="15"/>
        <v>47.2</v>
      </c>
    </row>
    <row r="403" spans="1:10">
      <c r="A403" s="174" t="s">
        <v>7099</v>
      </c>
      <c r="B403">
        <v>85</v>
      </c>
      <c r="F403" s="41" t="s">
        <v>839</v>
      </c>
      <c r="G403" t="s">
        <v>229</v>
      </c>
      <c r="H403" s="3">
        <f t="shared" si="14"/>
        <v>6062.5</v>
      </c>
      <c r="I403" s="3">
        <f t="shared" si="15"/>
        <v>970</v>
      </c>
    </row>
    <row r="404" spans="1:10">
      <c r="A404" s="174" t="s">
        <v>7099</v>
      </c>
      <c r="B404">
        <v>85</v>
      </c>
      <c r="F404" t="s">
        <v>842</v>
      </c>
      <c r="G404" t="s">
        <v>716</v>
      </c>
      <c r="H404" s="3">
        <f t="shared" si="14"/>
        <v>2155.1875</v>
      </c>
      <c r="I404" s="3">
        <f t="shared" si="15"/>
        <v>344.83</v>
      </c>
    </row>
    <row r="405" spans="1:10">
      <c r="A405" s="174" t="s">
        <v>7099</v>
      </c>
      <c r="B405">
        <v>6</v>
      </c>
      <c r="F405" s="18" t="s">
        <v>843</v>
      </c>
      <c r="G405" s="19" t="s">
        <v>844</v>
      </c>
      <c r="H405" s="3">
        <f t="shared" si="14"/>
        <v>107142.875</v>
      </c>
      <c r="I405" s="3">
        <f t="shared" si="15"/>
        <v>17142.86</v>
      </c>
      <c r="J405">
        <v>11428.57</v>
      </c>
    </row>
    <row r="406" spans="1:10">
      <c r="A406" s="174" t="s">
        <v>7099</v>
      </c>
      <c r="B406">
        <v>85</v>
      </c>
      <c r="F406" s="9" t="s">
        <v>1620</v>
      </c>
      <c r="G406" s="9" t="s">
        <v>1186</v>
      </c>
      <c r="H406" s="3">
        <f t="shared" si="14"/>
        <v>300</v>
      </c>
      <c r="I406" s="3">
        <f t="shared" si="15"/>
        <v>48</v>
      </c>
    </row>
    <row r="407" spans="1:10">
      <c r="A407" s="174" t="s">
        <v>7099</v>
      </c>
      <c r="B407">
        <v>85</v>
      </c>
      <c r="F407" s="9" t="s">
        <v>847</v>
      </c>
      <c r="G407" s="9" t="s">
        <v>2626</v>
      </c>
      <c r="H407" s="3">
        <f t="shared" si="14"/>
        <v>803.25</v>
      </c>
      <c r="I407" s="3">
        <f t="shared" si="15"/>
        <v>128.52000000000001</v>
      </c>
    </row>
    <row r="408" spans="1:10">
      <c r="A408" s="174" t="s">
        <v>7099</v>
      </c>
      <c r="B408">
        <v>85</v>
      </c>
      <c r="F408" s="9" t="s">
        <v>852</v>
      </c>
      <c r="G408" s="9" t="s">
        <v>2023</v>
      </c>
      <c r="H408" s="3">
        <f t="shared" si="14"/>
        <v>71.5625</v>
      </c>
      <c r="I408" s="3">
        <f t="shared" si="15"/>
        <v>11.45</v>
      </c>
    </row>
    <row r="409" spans="1:10">
      <c r="A409" s="174" t="s">
        <v>7099</v>
      </c>
      <c r="B409">
        <v>85</v>
      </c>
      <c r="F409" s="12" t="s">
        <v>856</v>
      </c>
      <c r="G409" s="9" t="s">
        <v>2947</v>
      </c>
      <c r="H409" s="3">
        <f t="shared" si="14"/>
        <v>481625.625</v>
      </c>
      <c r="I409" s="3">
        <f t="shared" si="15"/>
        <v>77060.100000000006</v>
      </c>
    </row>
    <row r="410" spans="1:10">
      <c r="A410" s="174" t="s">
        <v>7099</v>
      </c>
      <c r="B410">
        <v>85</v>
      </c>
      <c r="F410" s="9" t="s">
        <v>851</v>
      </c>
      <c r="G410" s="9" t="s">
        <v>86</v>
      </c>
      <c r="H410" s="3">
        <f t="shared" si="14"/>
        <v>2375.5</v>
      </c>
      <c r="I410" s="3">
        <f t="shared" si="15"/>
        <v>380.08000000000004</v>
      </c>
    </row>
    <row r="411" spans="1:10">
      <c r="A411" s="174" t="s">
        <v>7099</v>
      </c>
      <c r="B411">
        <v>85</v>
      </c>
      <c r="F411" s="9" t="s">
        <v>3374</v>
      </c>
      <c r="G411" s="9" t="s">
        <v>3201</v>
      </c>
      <c r="H411" s="3">
        <f t="shared" si="14"/>
        <v>436</v>
      </c>
      <c r="I411" s="3">
        <f t="shared" si="15"/>
        <v>69.760000000000005</v>
      </c>
    </row>
    <row r="412" spans="1:10">
      <c r="A412" s="174" t="s">
        <v>7099</v>
      </c>
      <c r="B412">
        <v>85</v>
      </c>
      <c r="F412" s="12" t="s">
        <v>849</v>
      </c>
      <c r="G412" s="9" t="s">
        <v>127</v>
      </c>
      <c r="H412" s="3">
        <f t="shared" si="14"/>
        <v>1700</v>
      </c>
      <c r="I412" s="3">
        <f t="shared" si="15"/>
        <v>272</v>
      </c>
    </row>
    <row r="413" spans="1:10">
      <c r="A413" s="174" t="s">
        <v>7099</v>
      </c>
      <c r="B413">
        <v>85</v>
      </c>
      <c r="F413" s="9" t="s">
        <v>850</v>
      </c>
      <c r="G413" s="9" t="s">
        <v>89</v>
      </c>
      <c r="H413" s="3">
        <f t="shared" si="14"/>
        <v>6900</v>
      </c>
      <c r="I413" s="3">
        <f t="shared" si="15"/>
        <v>1104</v>
      </c>
    </row>
    <row r="414" spans="1:10">
      <c r="A414" s="174" t="s">
        <v>7099</v>
      </c>
      <c r="B414">
        <v>85</v>
      </c>
      <c r="F414" s="9" t="s">
        <v>2882</v>
      </c>
      <c r="G414" s="9" t="s">
        <v>2883</v>
      </c>
      <c r="H414" s="3">
        <f t="shared" si="14"/>
        <v>250.4375</v>
      </c>
      <c r="I414" s="3">
        <f t="shared" si="15"/>
        <v>40.07</v>
      </c>
    </row>
    <row r="415" spans="1:10">
      <c r="A415" s="174" t="s">
        <v>7099</v>
      </c>
      <c r="B415">
        <v>85</v>
      </c>
      <c r="F415" s="9" t="s">
        <v>858</v>
      </c>
      <c r="G415" s="9" t="s">
        <v>121</v>
      </c>
      <c r="H415" s="3">
        <f t="shared" si="14"/>
        <v>1750</v>
      </c>
      <c r="I415" s="3">
        <f t="shared" si="15"/>
        <v>280</v>
      </c>
    </row>
    <row r="416" spans="1:10">
      <c r="A416" s="174" t="s">
        <v>7099</v>
      </c>
      <c r="B416">
        <v>85</v>
      </c>
      <c r="F416" s="9" t="s">
        <v>927</v>
      </c>
      <c r="G416" s="9" t="s">
        <v>3360</v>
      </c>
      <c r="H416" s="3">
        <f t="shared" si="14"/>
        <v>130</v>
      </c>
      <c r="I416" s="3">
        <f t="shared" si="15"/>
        <v>20.8</v>
      </c>
    </row>
    <row r="417" spans="1:9">
      <c r="A417" s="174" t="s">
        <v>7099</v>
      </c>
      <c r="B417">
        <v>85</v>
      </c>
      <c r="F417" s="8" t="s">
        <v>862</v>
      </c>
      <c r="G417" s="9" t="s">
        <v>3068</v>
      </c>
      <c r="H417" s="3">
        <f t="shared" si="14"/>
        <v>44263.437500000007</v>
      </c>
      <c r="I417" s="3">
        <f t="shared" si="15"/>
        <v>7082.1500000000015</v>
      </c>
    </row>
    <row r="418" spans="1:9">
      <c r="A418" s="174" t="s">
        <v>7099</v>
      </c>
      <c r="B418">
        <v>85</v>
      </c>
      <c r="F418" s="8" t="s">
        <v>921</v>
      </c>
      <c r="G418" s="9" t="s">
        <v>922</v>
      </c>
      <c r="H418" s="3">
        <f t="shared" si="14"/>
        <v>223908.37499999997</v>
      </c>
      <c r="I418" s="3">
        <f t="shared" si="15"/>
        <v>35825.339999999997</v>
      </c>
    </row>
    <row r="419" spans="1:9">
      <c r="A419" s="174" t="s">
        <v>7099</v>
      </c>
      <c r="B419">
        <v>85</v>
      </c>
      <c r="F419" s="9" t="s">
        <v>2313</v>
      </c>
      <c r="G419" s="9" t="s">
        <v>3090</v>
      </c>
      <c r="H419" s="3">
        <f t="shared" si="14"/>
        <v>200</v>
      </c>
      <c r="I419" s="3">
        <f t="shared" si="15"/>
        <v>32</v>
      </c>
    </row>
    <row r="420" spans="1:9">
      <c r="A420" s="174" t="s">
        <v>7099</v>
      </c>
      <c r="B420">
        <v>85</v>
      </c>
      <c r="F420" s="9" t="s">
        <v>869</v>
      </c>
      <c r="G420" s="9" t="s">
        <v>2142</v>
      </c>
      <c r="H420" s="3">
        <f t="shared" si="14"/>
        <v>3959.5</v>
      </c>
      <c r="I420" s="3">
        <f t="shared" si="15"/>
        <v>633.52</v>
      </c>
    </row>
    <row r="421" spans="1:9">
      <c r="A421" s="174" t="s">
        <v>7099</v>
      </c>
      <c r="B421">
        <v>85</v>
      </c>
      <c r="F421" s="9" t="s">
        <v>868</v>
      </c>
      <c r="G421" s="9" t="s">
        <v>94</v>
      </c>
      <c r="H421" s="3">
        <f t="shared" si="14"/>
        <v>38000</v>
      </c>
      <c r="I421" s="3">
        <f t="shared" si="15"/>
        <v>6080</v>
      </c>
    </row>
    <row r="422" spans="1:9">
      <c r="A422" s="174" t="s">
        <v>7099</v>
      </c>
      <c r="B422">
        <v>85</v>
      </c>
      <c r="F422" s="9" t="s">
        <v>2864</v>
      </c>
      <c r="G422" s="9" t="s">
        <v>3171</v>
      </c>
      <c r="H422" s="3">
        <f t="shared" si="14"/>
        <v>125.875</v>
      </c>
      <c r="I422" s="3">
        <f t="shared" si="15"/>
        <v>20.14</v>
      </c>
    </row>
    <row r="423" spans="1:9">
      <c r="A423" s="174" t="s">
        <v>7099</v>
      </c>
      <c r="B423">
        <v>85</v>
      </c>
      <c r="F423" s="9" t="s">
        <v>919</v>
      </c>
      <c r="G423" s="9" t="s">
        <v>3397</v>
      </c>
      <c r="H423" s="3">
        <f t="shared" si="14"/>
        <v>72.4375</v>
      </c>
      <c r="I423" s="3">
        <f t="shared" si="15"/>
        <v>11.59</v>
      </c>
    </row>
    <row r="424" spans="1:9">
      <c r="A424" s="174" t="s">
        <v>7099</v>
      </c>
      <c r="B424">
        <v>85</v>
      </c>
      <c r="F424" s="9" t="s">
        <v>3343</v>
      </c>
      <c r="G424" s="9" t="s">
        <v>3344</v>
      </c>
      <c r="H424" s="3">
        <f t="shared" si="14"/>
        <v>1077.5625</v>
      </c>
      <c r="I424" s="3">
        <f t="shared" si="15"/>
        <v>172.41</v>
      </c>
    </row>
    <row r="425" spans="1:9">
      <c r="A425" s="174" t="s">
        <v>7099</v>
      </c>
      <c r="B425">
        <v>85</v>
      </c>
      <c r="F425" s="9" t="s">
        <v>3384</v>
      </c>
      <c r="G425" s="9" t="s">
        <v>3385</v>
      </c>
      <c r="H425" s="3">
        <f t="shared" si="14"/>
        <v>142.24999999999997</v>
      </c>
      <c r="I425" s="3">
        <f t="shared" si="15"/>
        <v>22.759999999999998</v>
      </c>
    </row>
    <row r="426" spans="1:9">
      <c r="A426" s="174" t="s">
        <v>7099</v>
      </c>
      <c r="B426">
        <v>85</v>
      </c>
      <c r="F426" s="9" t="s">
        <v>3350</v>
      </c>
      <c r="G426" s="9" t="s">
        <v>3204</v>
      </c>
      <c r="H426" s="3">
        <f t="shared" si="14"/>
        <v>173.3125</v>
      </c>
      <c r="I426" s="3">
        <f t="shared" si="15"/>
        <v>27.73</v>
      </c>
    </row>
    <row r="427" spans="1:9">
      <c r="A427" s="174" t="s">
        <v>7099</v>
      </c>
      <c r="B427">
        <v>85</v>
      </c>
      <c r="F427" s="28" t="s">
        <v>943</v>
      </c>
      <c r="G427" s="28" t="s">
        <v>3371</v>
      </c>
      <c r="H427" s="3">
        <f t="shared" si="14"/>
        <v>775.125</v>
      </c>
      <c r="I427" s="3">
        <f t="shared" si="15"/>
        <v>124.02</v>
      </c>
    </row>
    <row r="428" spans="1:9">
      <c r="A428" s="174" t="s">
        <v>7099</v>
      </c>
      <c r="B428">
        <v>85</v>
      </c>
      <c r="F428" s="9" t="s">
        <v>3398</v>
      </c>
      <c r="G428" s="9" t="s">
        <v>3399</v>
      </c>
      <c r="H428" s="3">
        <f t="shared" si="14"/>
        <v>125.37499999999999</v>
      </c>
      <c r="I428" s="3">
        <f t="shared" si="15"/>
        <v>20.059999999999999</v>
      </c>
    </row>
    <row r="429" spans="1:9">
      <c r="A429" s="174" t="s">
        <v>7099</v>
      </c>
      <c r="B429">
        <v>85</v>
      </c>
      <c r="F429" s="9" t="s">
        <v>3353</v>
      </c>
      <c r="G429" s="9" t="s">
        <v>3354</v>
      </c>
      <c r="H429" s="3">
        <f t="shared" si="14"/>
        <v>83.4375</v>
      </c>
      <c r="I429" s="3">
        <f t="shared" si="15"/>
        <v>13.35</v>
      </c>
    </row>
    <row r="430" spans="1:9">
      <c r="A430" s="174" t="s">
        <v>7099</v>
      </c>
      <c r="B430">
        <v>85</v>
      </c>
      <c r="F430" s="9" t="s">
        <v>878</v>
      </c>
      <c r="G430" s="9" t="s">
        <v>319</v>
      </c>
      <c r="H430" s="3">
        <f t="shared" si="14"/>
        <v>66476.25</v>
      </c>
      <c r="I430" s="3">
        <f t="shared" si="15"/>
        <v>10636.2</v>
      </c>
    </row>
    <row r="431" spans="1:9">
      <c r="A431" s="174" t="s">
        <v>7099</v>
      </c>
      <c r="B431">
        <v>85</v>
      </c>
      <c r="F431" s="28" t="s">
        <v>877</v>
      </c>
      <c r="G431" s="28" t="s">
        <v>223</v>
      </c>
      <c r="H431" s="3">
        <f t="shared" si="14"/>
        <v>50732.375</v>
      </c>
      <c r="I431" s="3">
        <f t="shared" si="15"/>
        <v>8117.18</v>
      </c>
    </row>
    <row r="432" spans="1:9">
      <c r="A432" s="174" t="s">
        <v>7099</v>
      </c>
      <c r="B432">
        <v>85</v>
      </c>
      <c r="F432" s="9" t="s">
        <v>2356</v>
      </c>
      <c r="G432" s="9" t="s">
        <v>2357</v>
      </c>
      <c r="H432" s="3">
        <f t="shared" si="14"/>
        <v>542.625</v>
      </c>
      <c r="I432" s="3">
        <f t="shared" si="15"/>
        <v>86.82</v>
      </c>
    </row>
    <row r="433" spans="1:9">
      <c r="A433" s="174" t="s">
        <v>7099</v>
      </c>
      <c r="B433">
        <v>85</v>
      </c>
      <c r="F433" s="9" t="s">
        <v>3372</v>
      </c>
      <c r="G433" s="9" t="s">
        <v>3196</v>
      </c>
      <c r="H433" s="3">
        <f t="shared" si="14"/>
        <v>86.187499999999986</v>
      </c>
      <c r="I433" s="3">
        <f t="shared" si="15"/>
        <v>13.79</v>
      </c>
    </row>
    <row r="434" spans="1:9">
      <c r="A434" s="174" t="s">
        <v>7099</v>
      </c>
      <c r="B434">
        <v>85</v>
      </c>
      <c r="F434" s="28" t="s">
        <v>913</v>
      </c>
      <c r="G434" s="28" t="s">
        <v>1584</v>
      </c>
      <c r="H434" s="3">
        <f t="shared" si="14"/>
        <v>2851.375</v>
      </c>
      <c r="I434" s="3">
        <f t="shared" si="15"/>
        <v>456.22</v>
      </c>
    </row>
    <row r="435" spans="1:9">
      <c r="A435" s="174" t="s">
        <v>7099</v>
      </c>
      <c r="B435">
        <v>85</v>
      </c>
      <c r="F435" s="9" t="s">
        <v>740</v>
      </c>
      <c r="G435" s="9" t="s">
        <v>1965</v>
      </c>
      <c r="H435" s="3">
        <f t="shared" si="14"/>
        <v>88</v>
      </c>
      <c r="I435" s="3">
        <f t="shared" si="15"/>
        <v>14.08</v>
      </c>
    </row>
    <row r="436" spans="1:9">
      <c r="A436" s="174" t="s">
        <v>7099</v>
      </c>
      <c r="B436">
        <v>85</v>
      </c>
      <c r="F436" s="9" t="s">
        <v>884</v>
      </c>
      <c r="G436" s="9" t="s">
        <v>535</v>
      </c>
      <c r="H436" s="3">
        <f t="shared" si="14"/>
        <v>1034.4375</v>
      </c>
      <c r="I436" s="3">
        <f t="shared" si="15"/>
        <v>165.51</v>
      </c>
    </row>
    <row r="437" spans="1:9">
      <c r="A437" s="174" t="s">
        <v>7099</v>
      </c>
      <c r="B437">
        <v>85</v>
      </c>
      <c r="F437" s="9" t="s">
        <v>933</v>
      </c>
      <c r="G437" s="9" t="s">
        <v>934</v>
      </c>
      <c r="H437" s="3">
        <f t="shared" si="14"/>
        <v>254.99999999999997</v>
      </c>
      <c r="I437" s="3">
        <f t="shared" si="15"/>
        <v>40.799999999999997</v>
      </c>
    </row>
    <row r="438" spans="1:9">
      <c r="A438" s="174" t="s">
        <v>7099</v>
      </c>
      <c r="B438">
        <v>85</v>
      </c>
      <c r="F438" s="9" t="s">
        <v>876</v>
      </c>
      <c r="G438" s="9" t="s">
        <v>306</v>
      </c>
      <c r="H438" s="3">
        <f t="shared" si="14"/>
        <v>32443.4375</v>
      </c>
      <c r="I438" s="3">
        <f t="shared" si="15"/>
        <v>5190.95</v>
      </c>
    </row>
    <row r="439" spans="1:9">
      <c r="A439" s="174" t="s">
        <v>7099</v>
      </c>
      <c r="B439">
        <v>85</v>
      </c>
      <c r="F439" s="9" t="s">
        <v>901</v>
      </c>
      <c r="G439" s="9" t="s">
        <v>902</v>
      </c>
      <c r="H439" s="3">
        <f t="shared" si="14"/>
        <v>292.0625</v>
      </c>
      <c r="I439" s="3">
        <f t="shared" si="15"/>
        <v>46.73</v>
      </c>
    </row>
    <row r="440" spans="1:9">
      <c r="A440" s="174" t="s">
        <v>7099</v>
      </c>
      <c r="B440">
        <v>85</v>
      </c>
      <c r="F440" s="9" t="s">
        <v>1676</v>
      </c>
      <c r="G440" s="9" t="s">
        <v>3388</v>
      </c>
      <c r="H440" s="3">
        <f t="shared" si="14"/>
        <v>333.9375</v>
      </c>
      <c r="I440" s="3">
        <f t="shared" si="15"/>
        <v>53.43</v>
      </c>
    </row>
    <row r="441" spans="1:9">
      <c r="A441" s="174" t="s">
        <v>7099</v>
      </c>
      <c r="B441">
        <v>85</v>
      </c>
      <c r="F441" s="28" t="s">
        <v>2343</v>
      </c>
      <c r="G441" s="28" t="s">
        <v>2344</v>
      </c>
      <c r="H441" s="3">
        <f t="shared" si="14"/>
        <v>584.43749999999989</v>
      </c>
      <c r="I441" s="3">
        <f t="shared" si="15"/>
        <v>93.509999999999991</v>
      </c>
    </row>
    <row r="442" spans="1:9">
      <c r="A442" s="174" t="s">
        <v>7099</v>
      </c>
      <c r="B442">
        <v>85</v>
      </c>
      <c r="F442" t="s">
        <v>3376</v>
      </c>
      <c r="G442" t="s">
        <v>3056</v>
      </c>
      <c r="H442" s="3">
        <f t="shared" si="14"/>
        <v>314170.875</v>
      </c>
      <c r="I442" s="3">
        <f t="shared" si="15"/>
        <v>50267.34</v>
      </c>
    </row>
    <row r="443" spans="1:9">
      <c r="A443" s="174" t="s">
        <v>7099</v>
      </c>
      <c r="B443">
        <v>85</v>
      </c>
      <c r="F443" t="s">
        <v>880</v>
      </c>
      <c r="G443" t="s">
        <v>881</v>
      </c>
      <c r="H443" s="3">
        <f t="shared" ref="H443:H453" si="16">+I443/0.16</f>
        <v>112.5</v>
      </c>
      <c r="I443" s="3">
        <f t="shared" ref="I443:I453" si="17">+SUMIF($F$11:$F$307,F443,$I$11:$I$307)</f>
        <v>18</v>
      </c>
    </row>
    <row r="444" spans="1:9">
      <c r="A444" s="174" t="s">
        <v>7099</v>
      </c>
      <c r="B444">
        <v>85</v>
      </c>
      <c r="F444" s="67" t="s">
        <v>829</v>
      </c>
      <c r="G444" s="68" t="s">
        <v>6</v>
      </c>
      <c r="H444" s="3">
        <f t="shared" si="16"/>
        <v>904162.3125</v>
      </c>
      <c r="I444" s="3">
        <f t="shared" si="17"/>
        <v>144665.97</v>
      </c>
    </row>
    <row r="445" spans="1:9">
      <c r="A445" s="174" t="s">
        <v>7099</v>
      </c>
      <c r="B445">
        <v>85</v>
      </c>
      <c r="F445" s="41" t="s">
        <v>1632</v>
      </c>
      <c r="G445" t="s">
        <v>968</v>
      </c>
      <c r="H445" s="3">
        <f t="shared" si="16"/>
        <v>20126.25</v>
      </c>
      <c r="I445" s="3">
        <f t="shared" si="17"/>
        <v>3220.2</v>
      </c>
    </row>
    <row r="446" spans="1:9">
      <c r="A446" s="174" t="s">
        <v>7099</v>
      </c>
      <c r="B446">
        <v>85</v>
      </c>
      <c r="F446" s="33" t="s">
        <v>1633</v>
      </c>
      <c r="G446" s="33" t="s">
        <v>1634</v>
      </c>
      <c r="H446" s="3">
        <f t="shared" si="16"/>
        <v>220622.625</v>
      </c>
      <c r="I446" s="3">
        <f t="shared" si="17"/>
        <v>35299.620000000003</v>
      </c>
    </row>
    <row r="447" spans="1:9">
      <c r="A447" s="174" t="s">
        <v>7099</v>
      </c>
      <c r="B447">
        <v>85</v>
      </c>
      <c r="F447" s="30" t="s">
        <v>886</v>
      </c>
      <c r="G447" s="31" t="s">
        <v>887</v>
      </c>
      <c r="H447" s="3">
        <f t="shared" si="16"/>
        <v>5530735.3125000009</v>
      </c>
      <c r="I447" s="3">
        <f t="shared" si="17"/>
        <v>884917.65000000014</v>
      </c>
    </row>
    <row r="448" spans="1:9">
      <c r="A448" s="174" t="s">
        <v>7099</v>
      </c>
      <c r="B448">
        <v>85</v>
      </c>
      <c r="F448" t="s">
        <v>879</v>
      </c>
      <c r="G448" t="s">
        <v>52</v>
      </c>
      <c r="H448" s="3">
        <f t="shared" si="16"/>
        <v>1897.4374999999998</v>
      </c>
      <c r="I448" s="3">
        <f t="shared" si="17"/>
        <v>303.58999999999997</v>
      </c>
    </row>
    <row r="449" spans="1:10">
      <c r="A449" s="174" t="s">
        <v>7099</v>
      </c>
      <c r="B449">
        <v>85</v>
      </c>
      <c r="F449" s="32" t="s">
        <v>890</v>
      </c>
      <c r="G449" s="33" t="s">
        <v>891</v>
      </c>
      <c r="H449" s="3">
        <f t="shared" si="16"/>
        <v>277751.8125</v>
      </c>
      <c r="I449" s="3">
        <f t="shared" si="17"/>
        <v>44440.29</v>
      </c>
    </row>
    <row r="450" spans="1:10">
      <c r="A450" s="174" t="s">
        <v>7099</v>
      </c>
      <c r="B450">
        <v>85</v>
      </c>
      <c r="F450" t="s">
        <v>3367</v>
      </c>
      <c r="G450" t="s">
        <v>3190</v>
      </c>
      <c r="H450" s="3">
        <f t="shared" si="16"/>
        <v>137.9375</v>
      </c>
      <c r="I450" s="3">
        <f t="shared" si="17"/>
        <v>22.07</v>
      </c>
    </row>
    <row r="451" spans="1:10">
      <c r="A451" s="174" t="s">
        <v>7099</v>
      </c>
      <c r="B451">
        <v>85</v>
      </c>
      <c r="F451" s="41" t="s">
        <v>1711</v>
      </c>
      <c r="G451" t="s">
        <v>1332</v>
      </c>
      <c r="H451" s="3">
        <f t="shared" si="16"/>
        <v>1500</v>
      </c>
      <c r="I451" s="3">
        <f t="shared" si="17"/>
        <v>240</v>
      </c>
    </row>
    <row r="452" spans="1:10">
      <c r="A452" s="174" t="s">
        <v>7099</v>
      </c>
      <c r="B452">
        <v>85</v>
      </c>
      <c r="F452" s="41" t="s">
        <v>2317</v>
      </c>
      <c r="G452" s="33" t="s">
        <v>1808</v>
      </c>
      <c r="H452" s="3">
        <f t="shared" si="16"/>
        <v>215976.5625</v>
      </c>
      <c r="I452" s="3">
        <f t="shared" si="17"/>
        <v>34556.25</v>
      </c>
    </row>
    <row r="453" spans="1:10">
      <c r="A453" s="174" t="s">
        <v>7099</v>
      </c>
      <c r="B453">
        <v>85</v>
      </c>
      <c r="F453" s="134" t="s">
        <v>7069</v>
      </c>
      <c r="G453" s="134" t="s">
        <v>7070</v>
      </c>
      <c r="H453" s="3">
        <f t="shared" si="16"/>
        <v>36810</v>
      </c>
      <c r="I453" s="3">
        <f t="shared" si="17"/>
        <v>5889.6</v>
      </c>
    </row>
    <row r="454" spans="1:10">
      <c r="H454" s="153">
        <f>SUM(H314:H453)</f>
        <v>15319470.75</v>
      </c>
      <c r="I454" s="3">
        <f>SUM(I314:I453)</f>
        <v>2451115.3200000003</v>
      </c>
      <c r="J454" s="3">
        <f>SUM(J314:J453)</f>
        <v>22885.944</v>
      </c>
    </row>
    <row r="455" spans="1:10">
      <c r="H455" s="3">
        <f>+H309</f>
        <v>15319470.737500001</v>
      </c>
      <c r="I455" s="3">
        <f>+I309</f>
        <v>2451115.3199999994</v>
      </c>
      <c r="J455" s="3">
        <f>22857.14+10.79</f>
        <v>22867.93</v>
      </c>
    </row>
    <row r="456" spans="1:10">
      <c r="J456" s="3">
        <f>+J455-J454</f>
        <v>-18.013999999999214</v>
      </c>
    </row>
    <row r="457" spans="1:10">
      <c r="H457" s="3">
        <f>+H454-H455</f>
        <v>1.249999925494194E-2</v>
      </c>
      <c r="I457" s="3">
        <f>+I454-I455</f>
        <v>0</v>
      </c>
    </row>
  </sheetData>
  <autoFilter ref="A10:I307"/>
  <sortState ref="A11:L261">
    <sortCondition ref="E11:E261"/>
  </sortState>
  <conditionalFormatting sqref="F314:G374 F376:G453 G375">
    <cfRule type="duplicateValues" dxfId="1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L440"/>
  <sheetViews>
    <sheetView zoomScale="80" zoomScaleNormal="80" workbookViewId="0">
      <pane ySplit="10" topLeftCell="A411" activePane="bottomLeft" state="frozen"/>
      <selection pane="bottomLeft" activeCell="A309" sqref="A309:A436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.28515625" bestFit="1" customWidth="1"/>
    <col min="4" max="4" width="6.140625" customWidth="1"/>
    <col min="5" max="5" width="40.42578125" bestFit="1" customWidth="1"/>
    <col min="6" max="6" width="24.7109375" customWidth="1"/>
    <col min="7" max="7" width="48.5703125" bestFit="1" customWidth="1"/>
    <col min="8" max="8" width="18.85546875" style="3" customWidth="1"/>
    <col min="9" max="9" width="13.140625" style="3" bestFit="1" customWidth="1"/>
    <col min="10" max="10" width="11.42578125" customWidth="1"/>
  </cols>
  <sheetData>
    <row r="1" spans="1:9">
      <c r="A1" t="s">
        <v>729</v>
      </c>
    </row>
    <row r="2" spans="1:9">
      <c r="A2" t="s">
        <v>3748</v>
      </c>
      <c r="B2">
        <v>2013</v>
      </c>
    </row>
    <row r="3" spans="1:9">
      <c r="A3" t="s">
        <v>731</v>
      </c>
    </row>
    <row r="10" spans="1:9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9">
      <c r="A11" t="s">
        <v>2196</v>
      </c>
      <c r="B11" s="1">
        <v>41451</v>
      </c>
      <c r="C11" t="s">
        <v>3708</v>
      </c>
      <c r="D11">
        <v>1</v>
      </c>
      <c r="E11" t="s">
        <v>124</v>
      </c>
      <c r="F11" s="9" t="s">
        <v>733</v>
      </c>
      <c r="G11" s="9" t="s">
        <v>124</v>
      </c>
      <c r="H11" s="3">
        <f t="shared" ref="H11:H36" si="0">+I11/0.16</f>
        <v>6614.6874999999991</v>
      </c>
      <c r="I11" s="3">
        <v>1058.3499999999999</v>
      </c>
    </row>
    <row r="12" spans="1:9">
      <c r="A12" t="s">
        <v>1445</v>
      </c>
      <c r="B12" s="1">
        <v>41455</v>
      </c>
      <c r="C12" t="s">
        <v>3635</v>
      </c>
      <c r="D12">
        <v>1</v>
      </c>
      <c r="E12" t="s">
        <v>3636</v>
      </c>
      <c r="F12" s="77" t="s">
        <v>3749</v>
      </c>
      <c r="G12" s="77" t="s">
        <v>3636</v>
      </c>
      <c r="H12" s="3">
        <f t="shared" si="0"/>
        <v>887.93749999999989</v>
      </c>
      <c r="I12" s="3">
        <v>142.07</v>
      </c>
    </row>
    <row r="13" spans="1:9">
      <c r="A13" t="s">
        <v>3493</v>
      </c>
      <c r="B13" s="1">
        <v>41450</v>
      </c>
      <c r="C13" t="s">
        <v>3494</v>
      </c>
      <c r="D13">
        <v>1</v>
      </c>
      <c r="E13" t="s">
        <v>3495</v>
      </c>
      <c r="F13" s="8" t="s">
        <v>734</v>
      </c>
      <c r="G13" s="9" t="s">
        <v>735</v>
      </c>
      <c r="H13" s="3">
        <f t="shared" si="0"/>
        <v>291469.8125</v>
      </c>
      <c r="I13" s="3">
        <v>46635.17</v>
      </c>
    </row>
    <row r="14" spans="1:9">
      <c r="A14" t="s">
        <v>3473</v>
      </c>
      <c r="B14" s="1">
        <v>41445</v>
      </c>
      <c r="C14" t="s">
        <v>3474</v>
      </c>
      <c r="D14">
        <v>1</v>
      </c>
      <c r="E14" t="s">
        <v>3475</v>
      </c>
      <c r="F14" s="9" t="s">
        <v>736</v>
      </c>
      <c r="G14" s="9" t="s">
        <v>3053</v>
      </c>
      <c r="H14" s="3">
        <f t="shared" si="0"/>
        <v>259912.62499999997</v>
      </c>
      <c r="I14" s="3">
        <v>41586.019999999997</v>
      </c>
    </row>
    <row r="15" spans="1:9">
      <c r="A15" t="s">
        <v>3106</v>
      </c>
      <c r="B15" s="1">
        <v>41455</v>
      </c>
      <c r="C15" t="s">
        <v>3619</v>
      </c>
      <c r="D15">
        <v>1</v>
      </c>
      <c r="E15" t="s">
        <v>517</v>
      </c>
      <c r="F15" s="9" t="s">
        <v>738</v>
      </c>
      <c r="G15" s="9" t="s">
        <v>517</v>
      </c>
      <c r="H15" s="3">
        <f t="shared" si="0"/>
        <v>182.25</v>
      </c>
      <c r="I15" s="3">
        <v>29.16</v>
      </c>
    </row>
    <row r="16" spans="1:9">
      <c r="A16" t="s">
        <v>1448</v>
      </c>
      <c r="B16" s="1">
        <v>41455</v>
      </c>
      <c r="C16" t="s">
        <v>3638</v>
      </c>
      <c r="D16">
        <v>1</v>
      </c>
      <c r="E16" t="s">
        <v>3090</v>
      </c>
      <c r="F16" s="9" t="s">
        <v>2313</v>
      </c>
      <c r="G16" s="9" t="s">
        <v>3090</v>
      </c>
      <c r="H16" s="3">
        <f t="shared" si="0"/>
        <v>600</v>
      </c>
      <c r="I16" s="3">
        <v>96</v>
      </c>
    </row>
    <row r="17" spans="1:10">
      <c r="A17" t="s">
        <v>3086</v>
      </c>
      <c r="B17" s="1">
        <v>41455</v>
      </c>
      <c r="C17" t="s">
        <v>3605</v>
      </c>
      <c r="D17">
        <v>1</v>
      </c>
      <c r="E17" t="s">
        <v>3606</v>
      </c>
      <c r="F17" s="9" t="s">
        <v>3347</v>
      </c>
      <c r="G17" s="9" t="s">
        <v>3606</v>
      </c>
      <c r="H17" s="3">
        <f t="shared" si="0"/>
        <v>447.49999999999994</v>
      </c>
      <c r="I17" s="3">
        <v>71.599999999999994</v>
      </c>
    </row>
    <row r="18" spans="1:10">
      <c r="A18" t="s">
        <v>1452</v>
      </c>
      <c r="B18" s="1">
        <v>41455</v>
      </c>
      <c r="C18" t="s">
        <v>3640</v>
      </c>
      <c r="D18">
        <v>1</v>
      </c>
      <c r="E18" t="s">
        <v>469</v>
      </c>
      <c r="F18" s="9" t="s">
        <v>739</v>
      </c>
      <c r="G18" s="9" t="s">
        <v>469</v>
      </c>
      <c r="H18" s="3">
        <f t="shared" si="0"/>
        <v>215.49999999999997</v>
      </c>
      <c r="I18" s="3">
        <v>34.479999999999997</v>
      </c>
    </row>
    <row r="19" spans="1:10">
      <c r="A19" t="s">
        <v>1456</v>
      </c>
      <c r="B19" s="1">
        <v>41455</v>
      </c>
      <c r="C19" t="s">
        <v>3642</v>
      </c>
      <c r="D19">
        <v>1</v>
      </c>
      <c r="E19" t="s">
        <v>469</v>
      </c>
      <c r="F19" s="9" t="s">
        <v>739</v>
      </c>
      <c r="G19" s="9" t="s">
        <v>469</v>
      </c>
      <c r="H19" s="3">
        <f t="shared" si="0"/>
        <v>430.99999999999994</v>
      </c>
      <c r="I19" s="3">
        <v>68.959999999999994</v>
      </c>
    </row>
    <row r="20" spans="1:10">
      <c r="A20" t="s">
        <v>2013</v>
      </c>
      <c r="B20" s="1">
        <v>41455</v>
      </c>
      <c r="C20" t="s">
        <v>3578</v>
      </c>
      <c r="D20">
        <v>1</v>
      </c>
      <c r="E20" t="s">
        <v>3579</v>
      </c>
      <c r="F20" s="9" t="s">
        <v>847</v>
      </c>
      <c r="G20" s="9" t="s">
        <v>3750</v>
      </c>
      <c r="H20" s="3">
        <f t="shared" si="0"/>
        <v>168.875</v>
      </c>
      <c r="I20" s="3">
        <v>27.02</v>
      </c>
    </row>
    <row r="21" spans="1:10">
      <c r="A21" t="s">
        <v>208</v>
      </c>
      <c r="B21" s="1">
        <v>41446</v>
      </c>
      <c r="C21" t="s">
        <v>3691</v>
      </c>
      <c r="D21">
        <v>2</v>
      </c>
      <c r="E21" t="s">
        <v>273</v>
      </c>
      <c r="F21" s="77" t="s">
        <v>747</v>
      </c>
      <c r="G21" s="77" t="s">
        <v>273</v>
      </c>
      <c r="H21" s="3">
        <f t="shared" si="0"/>
        <v>132.25</v>
      </c>
      <c r="I21" s="3">
        <v>21.16</v>
      </c>
    </row>
    <row r="22" spans="1:10">
      <c r="A22" t="s">
        <v>1426</v>
      </c>
      <c r="B22" s="1">
        <v>41455</v>
      </c>
      <c r="C22" t="s">
        <v>3618</v>
      </c>
      <c r="D22">
        <v>1</v>
      </c>
      <c r="E22" t="s">
        <v>1501</v>
      </c>
      <c r="F22" s="33" t="s">
        <v>948</v>
      </c>
      <c r="G22" t="s">
        <v>1501</v>
      </c>
      <c r="H22" s="3">
        <f t="shared" si="0"/>
        <v>1567.25</v>
      </c>
      <c r="I22" s="3">
        <v>250.76</v>
      </c>
    </row>
    <row r="23" spans="1:10">
      <c r="A23" t="s">
        <v>3496</v>
      </c>
      <c r="B23" s="1">
        <v>41450</v>
      </c>
      <c r="C23" t="s">
        <v>3497</v>
      </c>
      <c r="D23">
        <v>1</v>
      </c>
      <c r="E23" t="s">
        <v>3498</v>
      </c>
      <c r="F23" s="12" t="s">
        <v>755</v>
      </c>
      <c r="G23" s="9" t="s">
        <v>756</v>
      </c>
      <c r="H23" s="3">
        <f t="shared" si="0"/>
        <v>221634.8125</v>
      </c>
      <c r="I23" s="3">
        <v>35461.57</v>
      </c>
    </row>
    <row r="24" spans="1:10">
      <c r="A24" t="s">
        <v>3428</v>
      </c>
      <c r="B24" s="1">
        <v>41436</v>
      </c>
      <c r="C24" t="s">
        <v>3429</v>
      </c>
      <c r="D24">
        <v>1</v>
      </c>
      <c r="E24" t="s">
        <v>2997</v>
      </c>
      <c r="F24" s="13" t="s">
        <v>755</v>
      </c>
      <c r="G24" s="9" t="s">
        <v>756</v>
      </c>
      <c r="H24" s="3">
        <f t="shared" si="0"/>
        <v>253945.5</v>
      </c>
      <c r="I24" s="3">
        <v>40631.279999999999</v>
      </c>
    </row>
    <row r="25" spans="1:10">
      <c r="A25" t="s">
        <v>3420</v>
      </c>
      <c r="B25" s="1">
        <v>41431</v>
      </c>
      <c r="C25" t="s">
        <v>3016</v>
      </c>
      <c r="D25">
        <v>1</v>
      </c>
      <c r="E25" t="s">
        <v>3017</v>
      </c>
      <c r="F25" s="12" t="s">
        <v>755</v>
      </c>
      <c r="G25" s="9" t="s">
        <v>756</v>
      </c>
      <c r="H25" s="3">
        <f t="shared" si="0"/>
        <v>-309184.5625</v>
      </c>
      <c r="I25" s="3">
        <v>-49469.53</v>
      </c>
      <c r="J25" s="2"/>
    </row>
    <row r="26" spans="1:10">
      <c r="A26" t="s">
        <v>3500</v>
      </c>
      <c r="B26" s="1">
        <v>41454</v>
      </c>
      <c r="C26" t="s">
        <v>3501</v>
      </c>
      <c r="D26">
        <v>1</v>
      </c>
      <c r="E26" t="s">
        <v>3502</v>
      </c>
      <c r="F26" s="8" t="s">
        <v>759</v>
      </c>
      <c r="G26" s="9" t="s">
        <v>760</v>
      </c>
      <c r="H26" s="3">
        <f t="shared" si="0"/>
        <v>168750.3125</v>
      </c>
      <c r="I26" s="3">
        <v>27000.05</v>
      </c>
    </row>
    <row r="27" spans="1:10">
      <c r="A27" t="s">
        <v>221</v>
      </c>
      <c r="B27" s="1">
        <v>41446</v>
      </c>
      <c r="C27" t="s">
        <v>3696</v>
      </c>
      <c r="D27">
        <v>1</v>
      </c>
      <c r="E27" t="s">
        <v>760</v>
      </c>
      <c r="F27" s="8" t="s">
        <v>759</v>
      </c>
      <c r="G27" s="9" t="s">
        <v>760</v>
      </c>
      <c r="H27" s="3">
        <f t="shared" si="0"/>
        <v>500</v>
      </c>
      <c r="I27" s="3">
        <v>80</v>
      </c>
    </row>
    <row r="28" spans="1:10">
      <c r="A28" t="s">
        <v>1067</v>
      </c>
      <c r="B28" s="1">
        <v>41436</v>
      </c>
      <c r="C28" t="s">
        <v>3668</v>
      </c>
      <c r="D28">
        <v>1</v>
      </c>
      <c r="E28" t="s">
        <v>100</v>
      </c>
      <c r="F28" s="9" t="s">
        <v>764</v>
      </c>
      <c r="G28" s="9" t="s">
        <v>100</v>
      </c>
      <c r="H28" s="3">
        <f t="shared" si="0"/>
        <v>22270.6875</v>
      </c>
      <c r="I28" s="3">
        <v>3563.31</v>
      </c>
    </row>
    <row r="29" spans="1:10">
      <c r="A29" t="s">
        <v>2498</v>
      </c>
      <c r="B29" s="1">
        <v>41455</v>
      </c>
      <c r="C29" t="s">
        <v>433</v>
      </c>
      <c r="D29">
        <v>1</v>
      </c>
      <c r="E29" t="s">
        <v>3514</v>
      </c>
      <c r="F29" s="78" t="s">
        <v>1578</v>
      </c>
      <c r="G29" s="79" t="s">
        <v>1579</v>
      </c>
      <c r="H29" s="3">
        <f t="shared" si="0"/>
        <v>899.375</v>
      </c>
      <c r="I29" s="3">
        <v>143.9</v>
      </c>
    </row>
    <row r="30" spans="1:10">
      <c r="A30" t="s">
        <v>3518</v>
      </c>
      <c r="B30" s="1">
        <v>41455</v>
      </c>
      <c r="C30" t="s">
        <v>433</v>
      </c>
      <c r="D30">
        <v>1</v>
      </c>
      <c r="E30" t="s">
        <v>3519</v>
      </c>
      <c r="F30" s="12" t="s">
        <v>950</v>
      </c>
      <c r="G30" s="20" t="s">
        <v>951</v>
      </c>
      <c r="H30" s="3">
        <f t="shared" si="0"/>
        <v>8234.5</v>
      </c>
      <c r="I30" s="3">
        <v>1317.52</v>
      </c>
    </row>
    <row r="31" spans="1:10">
      <c r="A31" t="s">
        <v>3516</v>
      </c>
      <c r="B31" s="1">
        <v>41455</v>
      </c>
      <c r="C31" t="s">
        <v>433</v>
      </c>
      <c r="D31">
        <v>1</v>
      </c>
      <c r="E31" t="s">
        <v>3517</v>
      </c>
      <c r="F31" s="12" t="s">
        <v>821</v>
      </c>
      <c r="G31" s="12" t="s">
        <v>2272</v>
      </c>
      <c r="H31" s="3">
        <f t="shared" si="0"/>
        <v>320</v>
      </c>
      <c r="I31" s="3">
        <v>51.2</v>
      </c>
    </row>
    <row r="32" spans="1:10">
      <c r="A32" t="s">
        <v>3522</v>
      </c>
      <c r="B32" s="1">
        <v>41455</v>
      </c>
      <c r="C32" t="s">
        <v>433</v>
      </c>
      <c r="D32">
        <v>1</v>
      </c>
      <c r="E32" t="s">
        <v>3523</v>
      </c>
      <c r="F32" s="12" t="s">
        <v>823</v>
      </c>
      <c r="G32" s="20" t="s">
        <v>824</v>
      </c>
      <c r="H32" s="3">
        <f t="shared" si="0"/>
        <v>257</v>
      </c>
      <c r="I32" s="3">
        <v>41.12</v>
      </c>
    </row>
    <row r="33" spans="1:12">
      <c r="A33" t="s">
        <v>3524</v>
      </c>
      <c r="B33" s="1">
        <v>41455</v>
      </c>
      <c r="C33" t="s">
        <v>433</v>
      </c>
      <c r="D33">
        <v>1</v>
      </c>
      <c r="E33" t="s">
        <v>3525</v>
      </c>
      <c r="F33" s="12" t="s">
        <v>830</v>
      </c>
      <c r="G33" s="20" t="s">
        <v>831</v>
      </c>
      <c r="H33" s="3">
        <f t="shared" si="0"/>
        <v>430</v>
      </c>
      <c r="I33" s="3">
        <v>68.8</v>
      </c>
    </row>
    <row r="34" spans="1:12">
      <c r="A34" t="s">
        <v>3520</v>
      </c>
      <c r="B34" s="1">
        <v>41455</v>
      </c>
      <c r="C34" t="s">
        <v>433</v>
      </c>
      <c r="D34">
        <v>1</v>
      </c>
      <c r="E34" t="s">
        <v>3521</v>
      </c>
      <c r="F34" s="12" t="s">
        <v>825</v>
      </c>
      <c r="G34" s="20" t="s">
        <v>826</v>
      </c>
      <c r="H34" s="3">
        <f t="shared" si="0"/>
        <v>225.99999999999997</v>
      </c>
      <c r="I34" s="3">
        <v>36.159999999999997</v>
      </c>
    </row>
    <row r="35" spans="1:12">
      <c r="A35" t="s">
        <v>1936</v>
      </c>
      <c r="B35" s="1">
        <v>41455</v>
      </c>
      <c r="C35" t="s">
        <v>433</v>
      </c>
      <c r="D35">
        <v>1</v>
      </c>
      <c r="E35" t="s">
        <v>3521</v>
      </c>
      <c r="F35" s="12" t="s">
        <v>825</v>
      </c>
      <c r="G35" s="20" t="s">
        <v>826</v>
      </c>
      <c r="H35" s="3">
        <f t="shared" si="0"/>
        <v>95</v>
      </c>
      <c r="I35" s="3">
        <v>15.2</v>
      </c>
    </row>
    <row r="36" spans="1:12">
      <c r="A36" t="s">
        <v>2004</v>
      </c>
      <c r="B36" s="1">
        <v>41455</v>
      </c>
      <c r="C36" t="s">
        <v>3572</v>
      </c>
      <c r="D36">
        <v>1</v>
      </c>
      <c r="E36" t="s">
        <v>3573</v>
      </c>
      <c r="F36" s="33" t="s">
        <v>948</v>
      </c>
      <c r="G36" s="33" t="s">
        <v>947</v>
      </c>
      <c r="H36" s="3">
        <f t="shared" si="0"/>
        <v>413</v>
      </c>
      <c r="I36" s="3">
        <v>66.08</v>
      </c>
    </row>
    <row r="37" spans="1:12">
      <c r="A37" t="s">
        <v>2078</v>
      </c>
      <c r="B37" s="1">
        <v>41455</v>
      </c>
      <c r="C37" t="s">
        <v>3633</v>
      </c>
      <c r="D37">
        <v>1</v>
      </c>
      <c r="E37" t="s">
        <v>3634</v>
      </c>
      <c r="F37" s="33" t="s">
        <v>948</v>
      </c>
      <c r="G37" t="s">
        <v>947</v>
      </c>
      <c r="H37" s="3">
        <f t="shared" ref="H37:H44" si="1">I37/0.16</f>
        <v>176.74999999999997</v>
      </c>
      <c r="I37" s="3">
        <f>28.29-0.01</f>
        <v>28.279999999999998</v>
      </c>
      <c r="J37" s="3"/>
      <c r="K37" s="3"/>
    </row>
    <row r="38" spans="1:12">
      <c r="A38" t="s">
        <v>2078</v>
      </c>
      <c r="B38" s="1">
        <v>41455</v>
      </c>
      <c r="C38" t="s">
        <v>3633</v>
      </c>
      <c r="D38">
        <v>1</v>
      </c>
      <c r="E38" t="s">
        <v>3634</v>
      </c>
      <c r="F38" s="9" t="s">
        <v>3751</v>
      </c>
      <c r="G38" s="9" t="s">
        <v>3752</v>
      </c>
      <c r="H38" s="65">
        <f t="shared" si="1"/>
        <v>77.5625</v>
      </c>
      <c r="I38" s="65">
        <v>12.41</v>
      </c>
      <c r="J38" s="3">
        <f>254.31-H37-H38</f>
        <v>-2.4999999999693046E-3</v>
      </c>
      <c r="K38" s="3">
        <f>40.69-I37-I38</f>
        <v>0</v>
      </c>
      <c r="L38" t="s">
        <v>900</v>
      </c>
    </row>
    <row r="39" spans="1:12">
      <c r="A39" t="s">
        <v>1987</v>
      </c>
      <c r="B39" s="1">
        <v>41455</v>
      </c>
      <c r="C39" t="s">
        <v>3555</v>
      </c>
      <c r="D39">
        <v>1</v>
      </c>
      <c r="E39" t="s">
        <v>3556</v>
      </c>
      <c r="F39" s="33" t="s">
        <v>948</v>
      </c>
      <c r="G39" s="28" t="s">
        <v>947</v>
      </c>
      <c r="H39" s="47">
        <f t="shared" si="1"/>
        <v>348.875</v>
      </c>
      <c r="I39" s="47">
        <f>54.08+1.74</f>
        <v>55.82</v>
      </c>
      <c r="J39" s="3"/>
      <c r="K39" s="3"/>
    </row>
    <row r="40" spans="1:12">
      <c r="A40" t="s">
        <v>1987</v>
      </c>
      <c r="B40" s="1">
        <v>41455</v>
      </c>
      <c r="C40" t="s">
        <v>3555</v>
      </c>
      <c r="D40">
        <v>1</v>
      </c>
      <c r="E40" t="s">
        <v>3556</v>
      </c>
      <c r="F40" s="28" t="s">
        <v>939</v>
      </c>
      <c r="G40" s="28" t="s">
        <v>940</v>
      </c>
      <c r="H40" s="47">
        <f t="shared" si="1"/>
        <v>333.875</v>
      </c>
      <c r="I40" s="47">
        <v>53.42</v>
      </c>
    </row>
    <row r="41" spans="1:12">
      <c r="A41" t="s">
        <v>1987</v>
      </c>
      <c r="B41" s="1">
        <v>41455</v>
      </c>
      <c r="C41" t="s">
        <v>3555</v>
      </c>
      <c r="D41">
        <v>1</v>
      </c>
      <c r="E41" t="s">
        <v>3556</v>
      </c>
      <c r="F41" s="28" t="s">
        <v>3393</v>
      </c>
      <c r="G41" s="28" t="s">
        <v>3394</v>
      </c>
      <c r="H41" s="47">
        <f t="shared" si="1"/>
        <v>96.5</v>
      </c>
      <c r="I41" s="47">
        <v>15.44</v>
      </c>
      <c r="J41" s="14">
        <f>779.25-H39-H40-H41</f>
        <v>0</v>
      </c>
      <c r="K41" s="14">
        <f>124.68-I39-I40-I41</f>
        <v>0</v>
      </c>
      <c r="L41" t="s">
        <v>900</v>
      </c>
    </row>
    <row r="42" spans="1:12">
      <c r="A42" t="s">
        <v>3563</v>
      </c>
      <c r="B42" s="1">
        <v>41455</v>
      </c>
      <c r="C42" t="s">
        <v>3564</v>
      </c>
      <c r="D42">
        <v>1</v>
      </c>
      <c r="E42" t="s">
        <v>3565</v>
      </c>
      <c r="F42" s="9" t="s">
        <v>941</v>
      </c>
      <c r="G42" s="9" t="s">
        <v>942</v>
      </c>
      <c r="H42" s="65">
        <f t="shared" si="1"/>
        <v>64.625</v>
      </c>
      <c r="I42" s="65">
        <v>10.34</v>
      </c>
      <c r="J42" s="3"/>
      <c r="K42" s="3"/>
    </row>
    <row r="43" spans="1:12">
      <c r="A43" t="s">
        <v>3563</v>
      </c>
      <c r="B43" s="1">
        <v>41455</v>
      </c>
      <c r="C43" t="s">
        <v>3564</v>
      </c>
      <c r="D43">
        <v>1</v>
      </c>
      <c r="E43" t="s">
        <v>3565</v>
      </c>
      <c r="F43" s="28" t="s">
        <v>954</v>
      </c>
      <c r="G43" s="28" t="s">
        <v>2276</v>
      </c>
      <c r="H43" s="47">
        <f t="shared" si="1"/>
        <v>333.9375</v>
      </c>
      <c r="I43" s="47">
        <v>53.43</v>
      </c>
    </row>
    <row r="44" spans="1:12">
      <c r="A44" t="s">
        <v>3563</v>
      </c>
      <c r="B44" s="1">
        <v>41455</v>
      </c>
      <c r="C44" t="s">
        <v>3564</v>
      </c>
      <c r="D44">
        <v>1</v>
      </c>
      <c r="E44" t="s">
        <v>3565</v>
      </c>
      <c r="F44" s="33" t="s">
        <v>948</v>
      </c>
      <c r="G44" t="s">
        <v>947</v>
      </c>
      <c r="H44" s="46">
        <f t="shared" si="1"/>
        <v>237.62499999999997</v>
      </c>
      <c r="I44" s="46">
        <f>36.29+1.73</f>
        <v>38.019999999999996</v>
      </c>
      <c r="J44" s="14">
        <f>636.19-H42-H43-H44</f>
        <v>2.5000000000829914E-3</v>
      </c>
      <c r="K44" s="14">
        <f>101.79-I42-I43-I44</f>
        <v>0</v>
      </c>
      <c r="L44" t="s">
        <v>900</v>
      </c>
    </row>
    <row r="45" spans="1:12">
      <c r="A45" t="s">
        <v>3620</v>
      </c>
      <c r="B45" s="1">
        <v>41455</v>
      </c>
      <c r="C45" t="s">
        <v>3621</v>
      </c>
      <c r="D45">
        <v>1</v>
      </c>
      <c r="E45" t="s">
        <v>549</v>
      </c>
      <c r="F45" s="9" t="s">
        <v>767</v>
      </c>
      <c r="G45" s="9" t="s">
        <v>549</v>
      </c>
      <c r="H45" s="3">
        <f t="shared" ref="H45:H76" si="2">+I45/0.16</f>
        <v>1644.8125</v>
      </c>
      <c r="I45" s="3">
        <v>263.17</v>
      </c>
    </row>
    <row r="46" spans="1:12">
      <c r="A46" t="s">
        <v>961</v>
      </c>
      <c r="B46" s="1">
        <v>41426</v>
      </c>
      <c r="C46" t="s">
        <v>3645</v>
      </c>
      <c r="D46">
        <v>1</v>
      </c>
      <c r="E46" t="s">
        <v>29</v>
      </c>
      <c r="F46" s="64" t="s">
        <v>772</v>
      </c>
      <c r="G46" s="9" t="s">
        <v>29</v>
      </c>
      <c r="H46" s="3">
        <f t="shared" si="2"/>
        <v>14471.437499999998</v>
      </c>
      <c r="I46" s="3">
        <v>2315.4299999999998</v>
      </c>
    </row>
    <row r="47" spans="1:12">
      <c r="A47" t="s">
        <v>963</v>
      </c>
      <c r="B47" s="1">
        <v>41428</v>
      </c>
      <c r="C47" t="s">
        <v>3646</v>
      </c>
      <c r="D47">
        <v>1</v>
      </c>
      <c r="E47" t="s">
        <v>29</v>
      </c>
      <c r="F47" s="12" t="s">
        <v>772</v>
      </c>
      <c r="G47" s="9" t="s">
        <v>29</v>
      </c>
      <c r="H47" s="3">
        <f t="shared" si="2"/>
        <v>65000</v>
      </c>
      <c r="I47" s="3">
        <v>10400</v>
      </c>
    </row>
    <row r="48" spans="1:12">
      <c r="A48" t="s">
        <v>45</v>
      </c>
      <c r="B48" s="1">
        <v>41431</v>
      </c>
      <c r="C48" t="s">
        <v>3660</v>
      </c>
      <c r="D48">
        <v>1</v>
      </c>
      <c r="E48" t="s">
        <v>29</v>
      </c>
      <c r="F48" s="9" t="s">
        <v>772</v>
      </c>
      <c r="G48" s="9" t="s">
        <v>29</v>
      </c>
      <c r="H48" s="3">
        <f t="shared" si="2"/>
        <v>4000</v>
      </c>
      <c r="I48" s="3">
        <v>640</v>
      </c>
    </row>
    <row r="49" spans="1:9">
      <c r="A49" t="s">
        <v>72</v>
      </c>
      <c r="B49" s="1">
        <v>41432</v>
      </c>
      <c r="C49" t="s">
        <v>3664</v>
      </c>
      <c r="D49">
        <v>1</v>
      </c>
      <c r="E49" t="s">
        <v>29</v>
      </c>
      <c r="F49" s="12" t="s">
        <v>772</v>
      </c>
      <c r="G49" s="9" t="s">
        <v>29</v>
      </c>
      <c r="H49" s="3">
        <f t="shared" si="2"/>
        <v>110051.50000000001</v>
      </c>
      <c r="I49" s="3">
        <v>17608.240000000002</v>
      </c>
    </row>
    <row r="50" spans="1:9">
      <c r="A50" t="s">
        <v>98</v>
      </c>
      <c r="B50" s="1">
        <v>41435</v>
      </c>
      <c r="C50" t="s">
        <v>3667</v>
      </c>
      <c r="D50">
        <v>1</v>
      </c>
      <c r="E50" t="s">
        <v>29</v>
      </c>
      <c r="F50" s="12" t="s">
        <v>772</v>
      </c>
      <c r="G50" s="9" t="s">
        <v>29</v>
      </c>
      <c r="H50" s="3">
        <f t="shared" si="2"/>
        <v>3981.6875000000005</v>
      </c>
      <c r="I50" s="3">
        <v>637.07000000000005</v>
      </c>
    </row>
    <row r="51" spans="1:9">
      <c r="A51" t="s">
        <v>119</v>
      </c>
      <c r="B51" s="1">
        <v>41437</v>
      </c>
      <c r="C51" t="s">
        <v>3670</v>
      </c>
      <c r="D51">
        <v>1</v>
      </c>
      <c r="E51" t="s">
        <v>29</v>
      </c>
      <c r="F51" s="12" t="s">
        <v>772</v>
      </c>
      <c r="G51" s="9" t="s">
        <v>29</v>
      </c>
      <c r="H51" s="3">
        <f t="shared" si="2"/>
        <v>85.0625</v>
      </c>
      <c r="I51" s="3">
        <v>13.61</v>
      </c>
    </row>
    <row r="52" spans="1:9">
      <c r="A52" t="s">
        <v>2169</v>
      </c>
      <c r="B52" s="1">
        <v>41438</v>
      </c>
      <c r="C52" t="s">
        <v>3673</v>
      </c>
      <c r="D52">
        <v>1</v>
      </c>
      <c r="E52" t="s">
        <v>29</v>
      </c>
      <c r="F52" s="9" t="s">
        <v>772</v>
      </c>
      <c r="G52" s="9" t="s">
        <v>29</v>
      </c>
      <c r="H52" s="3">
        <f t="shared" si="2"/>
        <v>27783.375</v>
      </c>
      <c r="I52" s="3">
        <v>4445.34</v>
      </c>
    </row>
    <row r="53" spans="1:9">
      <c r="A53" t="s">
        <v>152</v>
      </c>
      <c r="B53" s="1">
        <v>41439</v>
      </c>
      <c r="C53" t="s">
        <v>3674</v>
      </c>
      <c r="D53">
        <v>1</v>
      </c>
      <c r="E53" t="s">
        <v>29</v>
      </c>
      <c r="F53" s="9" t="s">
        <v>772</v>
      </c>
      <c r="G53" s="9" t="s">
        <v>29</v>
      </c>
      <c r="H53" s="3">
        <f t="shared" si="2"/>
        <v>340310.6875</v>
      </c>
      <c r="I53" s="3">
        <v>54449.71</v>
      </c>
    </row>
    <row r="54" spans="1:9">
      <c r="A54" t="s">
        <v>154</v>
      </c>
      <c r="B54" s="1">
        <v>41439</v>
      </c>
      <c r="C54" t="s">
        <v>3675</v>
      </c>
      <c r="D54">
        <v>1</v>
      </c>
      <c r="E54" t="s">
        <v>29</v>
      </c>
      <c r="F54" s="9" t="s">
        <v>772</v>
      </c>
      <c r="G54" s="9" t="s">
        <v>29</v>
      </c>
      <c r="H54" s="3">
        <f t="shared" si="2"/>
        <v>128217.37499999999</v>
      </c>
      <c r="I54" s="3">
        <v>20514.78</v>
      </c>
    </row>
    <row r="55" spans="1:9">
      <c r="A55" t="s">
        <v>156</v>
      </c>
      <c r="B55" s="1">
        <v>41439</v>
      </c>
      <c r="C55" t="s">
        <v>3676</v>
      </c>
      <c r="D55">
        <v>1</v>
      </c>
      <c r="E55" t="s">
        <v>29</v>
      </c>
      <c r="F55" s="9" t="s">
        <v>772</v>
      </c>
      <c r="G55" s="9" t="s">
        <v>29</v>
      </c>
      <c r="H55" s="3">
        <f t="shared" si="2"/>
        <v>1494.4375</v>
      </c>
      <c r="I55" s="3">
        <v>239.11</v>
      </c>
    </row>
    <row r="56" spans="1:9">
      <c r="A56" t="s">
        <v>172</v>
      </c>
      <c r="B56" s="1">
        <v>41442</v>
      </c>
      <c r="C56" t="s">
        <v>3678</v>
      </c>
      <c r="D56">
        <v>1</v>
      </c>
      <c r="E56" t="s">
        <v>29</v>
      </c>
      <c r="F56" s="9" t="s">
        <v>772</v>
      </c>
      <c r="G56" s="9" t="s">
        <v>29</v>
      </c>
      <c r="H56" s="3">
        <f t="shared" si="2"/>
        <v>632.875</v>
      </c>
      <c r="I56" s="3">
        <v>101.26</v>
      </c>
    </row>
    <row r="57" spans="1:9">
      <c r="A57" t="s">
        <v>1118</v>
      </c>
      <c r="B57" s="1">
        <v>41442</v>
      </c>
      <c r="C57" t="s">
        <v>3679</v>
      </c>
      <c r="D57">
        <v>1</v>
      </c>
      <c r="E57" t="s">
        <v>29</v>
      </c>
      <c r="F57" s="9" t="s">
        <v>772</v>
      </c>
      <c r="G57" s="9" t="s">
        <v>29</v>
      </c>
      <c r="H57" s="3">
        <f t="shared" si="2"/>
        <v>34926.8125</v>
      </c>
      <c r="I57" s="3">
        <v>5588.29</v>
      </c>
    </row>
    <row r="58" spans="1:9">
      <c r="A58" t="s">
        <v>3250</v>
      </c>
      <c r="B58" s="1">
        <v>41446</v>
      </c>
      <c r="C58" t="s">
        <v>3689</v>
      </c>
      <c r="D58">
        <v>1</v>
      </c>
      <c r="E58" t="s">
        <v>29</v>
      </c>
      <c r="F58" s="9" t="s">
        <v>772</v>
      </c>
      <c r="G58" s="9" t="s">
        <v>29</v>
      </c>
      <c r="H58" s="3">
        <f t="shared" si="2"/>
        <v>92892.125</v>
      </c>
      <c r="I58" s="3">
        <v>14862.74</v>
      </c>
    </row>
    <row r="59" spans="1:9">
      <c r="A59" t="s">
        <v>211</v>
      </c>
      <c r="B59" s="1">
        <v>41446</v>
      </c>
      <c r="C59" t="s">
        <v>3692</v>
      </c>
      <c r="D59">
        <v>1</v>
      </c>
      <c r="E59" t="s">
        <v>29</v>
      </c>
      <c r="F59" s="9" t="s">
        <v>772</v>
      </c>
      <c r="G59" s="9" t="s">
        <v>29</v>
      </c>
      <c r="H59" s="3">
        <f t="shared" si="2"/>
        <v>5714.25</v>
      </c>
      <c r="I59" s="3">
        <v>914.28</v>
      </c>
    </row>
    <row r="60" spans="1:9">
      <c r="A60" t="s">
        <v>2211</v>
      </c>
      <c r="B60" s="1">
        <v>41452</v>
      </c>
      <c r="C60" t="s">
        <v>3716</v>
      </c>
      <c r="D60">
        <v>1</v>
      </c>
      <c r="E60" t="s">
        <v>29</v>
      </c>
      <c r="F60" s="9" t="s">
        <v>772</v>
      </c>
      <c r="G60" s="9" t="s">
        <v>29</v>
      </c>
      <c r="H60" s="3">
        <f t="shared" si="2"/>
        <v>1879.3125</v>
      </c>
      <c r="I60" s="3">
        <v>300.69</v>
      </c>
    </row>
    <row r="61" spans="1:9">
      <c r="A61" t="s">
        <v>320</v>
      </c>
      <c r="B61" s="1">
        <v>41454</v>
      </c>
      <c r="C61" t="s">
        <v>3726</v>
      </c>
      <c r="D61">
        <v>1</v>
      </c>
      <c r="E61" t="s">
        <v>29</v>
      </c>
      <c r="F61" s="9" t="s">
        <v>772</v>
      </c>
      <c r="G61" s="9" t="s">
        <v>29</v>
      </c>
      <c r="H61" s="3">
        <f t="shared" si="2"/>
        <v>3071.4375</v>
      </c>
      <c r="I61" s="3">
        <v>491.43</v>
      </c>
    </row>
    <row r="62" spans="1:9">
      <c r="A62" t="s">
        <v>322</v>
      </c>
      <c r="B62" s="1">
        <v>41454</v>
      </c>
      <c r="C62" t="s">
        <v>3727</v>
      </c>
      <c r="D62">
        <v>1</v>
      </c>
      <c r="E62" t="s">
        <v>29</v>
      </c>
      <c r="F62" s="9" t="s">
        <v>772</v>
      </c>
      <c r="G62" s="9" t="s">
        <v>29</v>
      </c>
      <c r="H62" s="3">
        <f t="shared" si="2"/>
        <v>3071.4375</v>
      </c>
      <c r="I62" s="3">
        <v>491.43</v>
      </c>
    </row>
    <row r="63" spans="1:9">
      <c r="A63" t="s">
        <v>324</v>
      </c>
      <c r="B63" s="1">
        <v>41454</v>
      </c>
      <c r="C63" t="s">
        <v>3728</v>
      </c>
      <c r="D63">
        <v>1</v>
      </c>
      <c r="E63" t="s">
        <v>29</v>
      </c>
      <c r="F63" s="9" t="s">
        <v>772</v>
      </c>
      <c r="G63" s="9" t="s">
        <v>29</v>
      </c>
      <c r="H63" s="3">
        <f t="shared" si="2"/>
        <v>98868.9375</v>
      </c>
      <c r="I63" s="3">
        <v>15819.03</v>
      </c>
    </row>
    <row r="64" spans="1:9">
      <c r="A64" t="s">
        <v>327</v>
      </c>
      <c r="B64" s="1">
        <v>41454</v>
      </c>
      <c r="C64" t="s">
        <v>3729</v>
      </c>
      <c r="D64">
        <v>1</v>
      </c>
      <c r="E64" t="s">
        <v>29</v>
      </c>
      <c r="F64" s="9" t="s">
        <v>772</v>
      </c>
      <c r="G64" s="9" t="s">
        <v>29</v>
      </c>
      <c r="H64" s="3">
        <f t="shared" si="2"/>
        <v>1501.75</v>
      </c>
      <c r="I64" s="3">
        <v>240.28</v>
      </c>
    </row>
    <row r="65" spans="1:12">
      <c r="A65" t="s">
        <v>329</v>
      </c>
      <c r="B65" s="1">
        <v>41454</v>
      </c>
      <c r="C65" t="s">
        <v>3730</v>
      </c>
      <c r="D65">
        <v>1</v>
      </c>
      <c r="E65" t="s">
        <v>29</v>
      </c>
      <c r="F65" s="9" t="s">
        <v>772</v>
      </c>
      <c r="G65" s="9" t="s">
        <v>29</v>
      </c>
      <c r="H65" s="3">
        <f t="shared" si="2"/>
        <v>147404.375</v>
      </c>
      <c r="I65" s="3">
        <v>23584.7</v>
      </c>
    </row>
    <row r="66" spans="1:12">
      <c r="A66" t="s">
        <v>1240</v>
      </c>
      <c r="B66" s="1">
        <v>41451</v>
      </c>
      <c r="C66" t="s">
        <v>3707</v>
      </c>
      <c r="D66">
        <v>1</v>
      </c>
      <c r="E66" t="s">
        <v>1239</v>
      </c>
      <c r="F66" s="9" t="s">
        <v>1587</v>
      </c>
      <c r="G66" s="9" t="s">
        <v>1239</v>
      </c>
      <c r="H66" s="3">
        <f t="shared" si="2"/>
        <v>204</v>
      </c>
      <c r="I66" s="3">
        <v>32.64</v>
      </c>
    </row>
    <row r="67" spans="1:12">
      <c r="A67" t="s">
        <v>1712</v>
      </c>
      <c r="B67" s="1">
        <v>41455</v>
      </c>
      <c r="C67" t="s">
        <v>3602</v>
      </c>
      <c r="D67">
        <v>1</v>
      </c>
      <c r="E67" t="s">
        <v>514</v>
      </c>
      <c r="F67" s="9" t="s">
        <v>773</v>
      </c>
      <c r="G67" s="9" t="s">
        <v>514</v>
      </c>
      <c r="H67" s="3">
        <f t="shared" si="2"/>
        <v>52.5625</v>
      </c>
      <c r="I67" s="3">
        <v>8.41</v>
      </c>
    </row>
    <row r="68" spans="1:12">
      <c r="A68" t="s">
        <v>2051</v>
      </c>
      <c r="B68" s="1">
        <v>41455</v>
      </c>
      <c r="C68" t="s">
        <v>3607</v>
      </c>
      <c r="D68">
        <v>1</v>
      </c>
      <c r="E68" t="s">
        <v>514</v>
      </c>
      <c r="F68" s="9" t="s">
        <v>773</v>
      </c>
      <c r="G68" s="9" t="s">
        <v>514</v>
      </c>
      <c r="H68" s="3">
        <f t="shared" si="2"/>
        <v>47.4375</v>
      </c>
      <c r="I68" s="3">
        <v>7.59</v>
      </c>
    </row>
    <row r="69" spans="1:12">
      <c r="A69" t="s">
        <v>3414</v>
      </c>
      <c r="B69" s="1">
        <v>41431</v>
      </c>
      <c r="C69" t="s">
        <v>3415</v>
      </c>
      <c r="D69">
        <v>1</v>
      </c>
      <c r="E69" t="s">
        <v>3416</v>
      </c>
      <c r="F69" s="12" t="s">
        <v>775</v>
      </c>
      <c r="G69" s="9" t="s">
        <v>776</v>
      </c>
      <c r="H69" s="3">
        <f t="shared" si="2"/>
        <v>199492.125</v>
      </c>
      <c r="I69" s="3">
        <v>31918.74</v>
      </c>
    </row>
    <row r="70" spans="1:12">
      <c r="A70" t="s">
        <v>2202</v>
      </c>
      <c r="B70" s="1">
        <v>41451</v>
      </c>
      <c r="C70" t="s">
        <v>3713</v>
      </c>
      <c r="D70">
        <v>1</v>
      </c>
      <c r="E70" t="s">
        <v>373</v>
      </c>
      <c r="F70" s="9" t="s">
        <v>780</v>
      </c>
      <c r="G70" s="9" t="s">
        <v>373</v>
      </c>
      <c r="H70" s="3">
        <f t="shared" si="2"/>
        <v>4500</v>
      </c>
      <c r="I70" s="3">
        <v>720</v>
      </c>
    </row>
    <row r="71" spans="1:12">
      <c r="A71" t="s">
        <v>2217</v>
      </c>
      <c r="B71" s="1">
        <v>41453</v>
      </c>
      <c r="C71" t="s">
        <v>3724</v>
      </c>
      <c r="D71">
        <v>1</v>
      </c>
      <c r="E71" t="s">
        <v>373</v>
      </c>
      <c r="F71" s="9" t="s">
        <v>780</v>
      </c>
      <c r="G71" s="9" t="s">
        <v>373</v>
      </c>
      <c r="H71" s="3">
        <f t="shared" si="2"/>
        <v>17471</v>
      </c>
      <c r="I71" s="3">
        <v>2795.36</v>
      </c>
    </row>
    <row r="72" spans="1:12">
      <c r="A72" t="s">
        <v>2140</v>
      </c>
      <c r="B72" s="1">
        <v>41431</v>
      </c>
      <c r="C72" t="s">
        <v>3651</v>
      </c>
      <c r="D72">
        <v>1</v>
      </c>
      <c r="E72" t="s">
        <v>80</v>
      </c>
      <c r="F72" s="12" t="s">
        <v>781</v>
      </c>
      <c r="G72" s="9" t="s">
        <v>80</v>
      </c>
      <c r="H72" s="3">
        <f t="shared" si="2"/>
        <v>2488</v>
      </c>
      <c r="I72" s="3">
        <v>398.08</v>
      </c>
    </row>
    <row r="73" spans="1:12">
      <c r="A73" t="s">
        <v>1145</v>
      </c>
      <c r="B73" s="1">
        <v>41444</v>
      </c>
      <c r="C73" t="s">
        <v>3687</v>
      </c>
      <c r="D73">
        <v>1</v>
      </c>
      <c r="E73" t="s">
        <v>80</v>
      </c>
      <c r="F73" s="12" t="s">
        <v>781</v>
      </c>
      <c r="G73" s="9" t="s">
        <v>80</v>
      </c>
      <c r="H73" s="3">
        <f t="shared" si="2"/>
        <v>910</v>
      </c>
      <c r="I73" s="3">
        <v>145.6</v>
      </c>
    </row>
    <row r="74" spans="1:12">
      <c r="A74" t="s">
        <v>285</v>
      </c>
      <c r="B74" s="1">
        <v>41451</v>
      </c>
      <c r="C74" t="s">
        <v>3712</v>
      </c>
      <c r="D74">
        <v>1</v>
      </c>
      <c r="E74" t="s">
        <v>80</v>
      </c>
      <c r="F74" s="9" t="s">
        <v>781</v>
      </c>
      <c r="G74" s="9" t="s">
        <v>80</v>
      </c>
      <c r="H74" s="3">
        <f t="shared" si="2"/>
        <v>1234</v>
      </c>
      <c r="I74" s="3">
        <v>197.44</v>
      </c>
    </row>
    <row r="75" spans="1:12">
      <c r="A75" t="s">
        <v>2338</v>
      </c>
      <c r="B75" s="1">
        <v>41455</v>
      </c>
      <c r="C75" t="s">
        <v>3603</v>
      </c>
      <c r="D75">
        <v>1</v>
      </c>
      <c r="E75" t="s">
        <v>618</v>
      </c>
      <c r="F75" s="9" t="s">
        <v>784</v>
      </c>
      <c r="G75" s="9" t="s">
        <v>618</v>
      </c>
      <c r="H75" s="3">
        <f t="shared" si="2"/>
        <v>173</v>
      </c>
      <c r="I75" s="3">
        <v>27.68</v>
      </c>
    </row>
    <row r="76" spans="1:12">
      <c r="A76" t="s">
        <v>2033</v>
      </c>
      <c r="B76" s="1">
        <v>41455</v>
      </c>
      <c r="C76" t="s">
        <v>3595</v>
      </c>
      <c r="D76">
        <v>1</v>
      </c>
      <c r="E76" t="s">
        <v>1446</v>
      </c>
      <c r="F76" s="9" t="s">
        <v>1593</v>
      </c>
      <c r="G76" s="9" t="s">
        <v>1446</v>
      </c>
      <c r="H76" s="3">
        <f t="shared" si="2"/>
        <v>689.6875</v>
      </c>
      <c r="I76" s="3">
        <v>110.35</v>
      </c>
      <c r="J76" s="14" t="e">
        <f>+H76-#REF!</f>
        <v>#REF!</v>
      </c>
      <c r="K76" s="14" t="e">
        <f>+I76-#REF!</f>
        <v>#REF!</v>
      </c>
      <c r="L76" t="s">
        <v>900</v>
      </c>
    </row>
    <row r="77" spans="1:12">
      <c r="A77" t="s">
        <v>3094</v>
      </c>
      <c r="B77" s="1">
        <v>41455</v>
      </c>
      <c r="C77" t="s">
        <v>3610</v>
      </c>
      <c r="D77">
        <v>1</v>
      </c>
      <c r="E77" t="s">
        <v>1446</v>
      </c>
      <c r="F77" s="9" t="s">
        <v>1593</v>
      </c>
      <c r="G77" s="9" t="s">
        <v>1446</v>
      </c>
      <c r="H77" s="3">
        <f t="shared" ref="H77:H101" si="3">+I77/0.16</f>
        <v>483.125</v>
      </c>
      <c r="I77" s="3">
        <v>77.3</v>
      </c>
      <c r="J77" s="14" t="e">
        <f>+H77-#REF!</f>
        <v>#REF!</v>
      </c>
      <c r="K77" s="14" t="e">
        <f>+I77-#REF!</f>
        <v>#REF!</v>
      </c>
      <c r="L77" t="s">
        <v>900</v>
      </c>
    </row>
    <row r="78" spans="1:12">
      <c r="A78" t="s">
        <v>1134</v>
      </c>
      <c r="B78" s="1">
        <v>41444</v>
      </c>
      <c r="C78" t="s">
        <v>3680</v>
      </c>
      <c r="D78">
        <v>1</v>
      </c>
      <c r="E78" t="s">
        <v>973</v>
      </c>
      <c r="F78" s="12" t="s">
        <v>1594</v>
      </c>
      <c r="G78" s="9" t="s">
        <v>973</v>
      </c>
      <c r="H78" s="3">
        <f t="shared" si="3"/>
        <v>4949</v>
      </c>
      <c r="I78" s="3">
        <v>791.84</v>
      </c>
    </row>
    <row r="79" spans="1:12">
      <c r="A79" t="s">
        <v>1136</v>
      </c>
      <c r="B79" s="1">
        <v>41444</v>
      </c>
      <c r="C79" t="s">
        <v>3681</v>
      </c>
      <c r="D79">
        <v>1</v>
      </c>
      <c r="E79" t="s">
        <v>973</v>
      </c>
      <c r="F79" s="12" t="s">
        <v>1594</v>
      </c>
      <c r="G79" s="9" t="s">
        <v>973</v>
      </c>
      <c r="H79" s="3">
        <f t="shared" si="3"/>
        <v>2500</v>
      </c>
      <c r="I79" s="3">
        <v>400</v>
      </c>
    </row>
    <row r="80" spans="1:12">
      <c r="A80" t="s">
        <v>2772</v>
      </c>
      <c r="B80" s="1">
        <v>41450</v>
      </c>
      <c r="C80" t="s">
        <v>3700</v>
      </c>
      <c r="D80">
        <v>1</v>
      </c>
      <c r="E80" t="s">
        <v>973</v>
      </c>
      <c r="F80" s="9" t="s">
        <v>1594</v>
      </c>
      <c r="G80" s="9" t="s">
        <v>973</v>
      </c>
      <c r="H80" s="3">
        <f t="shared" si="3"/>
        <v>2500</v>
      </c>
      <c r="I80" s="3">
        <v>400</v>
      </c>
    </row>
    <row r="81" spans="1:9">
      <c r="A81" t="s">
        <v>3701</v>
      </c>
      <c r="B81" s="1">
        <v>41450</v>
      </c>
      <c r="C81" t="s">
        <v>3702</v>
      </c>
      <c r="D81">
        <v>1</v>
      </c>
      <c r="E81" t="s">
        <v>973</v>
      </c>
      <c r="F81" s="9" t="s">
        <v>1594</v>
      </c>
      <c r="G81" s="9" t="s">
        <v>973</v>
      </c>
      <c r="H81" s="3">
        <f t="shared" si="3"/>
        <v>2859</v>
      </c>
      <c r="I81" s="3">
        <v>457.44</v>
      </c>
    </row>
    <row r="82" spans="1:9">
      <c r="A82" t="s">
        <v>2774</v>
      </c>
      <c r="B82" s="1">
        <v>41450</v>
      </c>
      <c r="C82" t="s">
        <v>3703</v>
      </c>
      <c r="D82">
        <v>1</v>
      </c>
      <c r="E82" t="s">
        <v>973</v>
      </c>
      <c r="F82" s="9" t="s">
        <v>1594</v>
      </c>
      <c r="G82" s="9" t="s">
        <v>973</v>
      </c>
      <c r="H82" s="3">
        <f t="shared" si="3"/>
        <v>2859</v>
      </c>
      <c r="I82" s="3">
        <v>457.44</v>
      </c>
    </row>
    <row r="83" spans="1:9">
      <c r="A83" t="s">
        <v>1217</v>
      </c>
      <c r="B83" s="1">
        <v>41450</v>
      </c>
      <c r="C83" t="s">
        <v>3704</v>
      </c>
      <c r="D83">
        <v>1</v>
      </c>
      <c r="E83" t="s">
        <v>973</v>
      </c>
      <c r="F83" s="9" t="s">
        <v>1594</v>
      </c>
      <c r="G83" s="9" t="s">
        <v>973</v>
      </c>
      <c r="H83" s="3">
        <f t="shared" si="3"/>
        <v>2859</v>
      </c>
      <c r="I83" s="3">
        <v>457.44</v>
      </c>
    </row>
    <row r="84" spans="1:9">
      <c r="A84" t="s">
        <v>282</v>
      </c>
      <c r="B84" s="1">
        <v>41450</v>
      </c>
      <c r="C84" t="s">
        <v>3705</v>
      </c>
      <c r="D84">
        <v>1</v>
      </c>
      <c r="E84" t="s">
        <v>973</v>
      </c>
      <c r="F84" s="9" t="s">
        <v>1594</v>
      </c>
      <c r="G84" s="9" t="s">
        <v>973</v>
      </c>
      <c r="H84" s="3">
        <f t="shared" si="3"/>
        <v>2859</v>
      </c>
      <c r="I84" s="3">
        <v>457.44</v>
      </c>
    </row>
    <row r="85" spans="1:9">
      <c r="A85" t="s">
        <v>1454</v>
      </c>
      <c r="B85" s="1">
        <v>41455</v>
      </c>
      <c r="C85" t="s">
        <v>3641</v>
      </c>
      <c r="D85">
        <v>1</v>
      </c>
      <c r="E85" t="s">
        <v>1418</v>
      </c>
      <c r="F85" s="9" t="s">
        <v>739</v>
      </c>
      <c r="G85" s="9" t="s">
        <v>469</v>
      </c>
      <c r="H85" s="3">
        <f t="shared" si="3"/>
        <v>215.49999999999997</v>
      </c>
      <c r="I85" s="3">
        <v>34.479999999999997</v>
      </c>
    </row>
    <row r="86" spans="1:9">
      <c r="A86" t="s">
        <v>3458</v>
      </c>
      <c r="B86" s="1">
        <v>41442</v>
      </c>
      <c r="C86" t="s">
        <v>3459</v>
      </c>
      <c r="D86">
        <v>1</v>
      </c>
      <c r="E86" t="s">
        <v>3460</v>
      </c>
      <c r="F86" s="9" t="s">
        <v>1595</v>
      </c>
      <c r="G86" s="9" t="s">
        <v>1596</v>
      </c>
      <c r="H86" s="3">
        <f t="shared" si="3"/>
        <v>199344.9375</v>
      </c>
      <c r="I86" s="3">
        <v>31895.19</v>
      </c>
    </row>
    <row r="87" spans="1:9">
      <c r="A87" t="s">
        <v>1401</v>
      </c>
      <c r="B87" s="1">
        <v>41455</v>
      </c>
      <c r="C87" t="s">
        <v>3589</v>
      </c>
      <c r="D87">
        <v>1</v>
      </c>
      <c r="E87" t="s">
        <v>569</v>
      </c>
      <c r="F87" s="9" t="s">
        <v>788</v>
      </c>
      <c r="G87" s="9" t="s">
        <v>569</v>
      </c>
      <c r="H87" s="3">
        <f t="shared" si="3"/>
        <v>70.6875</v>
      </c>
      <c r="I87" s="3">
        <v>11.31</v>
      </c>
    </row>
    <row r="88" spans="1:9">
      <c r="A88" t="s">
        <v>1405</v>
      </c>
      <c r="B88" s="1">
        <v>41455</v>
      </c>
      <c r="C88" t="s">
        <v>3596</v>
      </c>
      <c r="D88">
        <v>1</v>
      </c>
      <c r="E88" t="s">
        <v>3597</v>
      </c>
      <c r="F88" s="9" t="s">
        <v>3753</v>
      </c>
      <c r="G88" s="9" t="s">
        <v>3597</v>
      </c>
      <c r="H88" s="3">
        <f t="shared" si="3"/>
        <v>120</v>
      </c>
      <c r="I88" s="3">
        <v>19.2</v>
      </c>
    </row>
    <row r="89" spans="1:9">
      <c r="A89" t="s">
        <v>3736</v>
      </c>
      <c r="B89" s="1">
        <v>41443</v>
      </c>
      <c r="C89" t="s">
        <v>3737</v>
      </c>
      <c r="D89">
        <v>1</v>
      </c>
      <c r="E89" t="s">
        <v>3738</v>
      </c>
      <c r="F89" s="67" t="s">
        <v>829</v>
      </c>
      <c r="G89" s="68" t="s">
        <v>6</v>
      </c>
      <c r="H89" s="3">
        <f t="shared" si="3"/>
        <v>610.5625</v>
      </c>
      <c r="I89" s="3">
        <v>97.69</v>
      </c>
    </row>
    <row r="90" spans="1:9">
      <c r="A90" t="s">
        <v>3739</v>
      </c>
      <c r="B90" s="1">
        <v>41443</v>
      </c>
      <c r="C90" t="s">
        <v>3740</v>
      </c>
      <c r="D90">
        <v>1</v>
      </c>
      <c r="E90" t="s">
        <v>3741</v>
      </c>
      <c r="F90" s="67" t="s">
        <v>829</v>
      </c>
      <c r="G90" s="68" t="s">
        <v>6</v>
      </c>
      <c r="H90" s="3">
        <f t="shared" si="3"/>
        <v>405.75</v>
      </c>
      <c r="I90" s="3">
        <v>64.92</v>
      </c>
    </row>
    <row r="91" spans="1:9">
      <c r="A91" t="s">
        <v>3742</v>
      </c>
      <c r="B91" s="1">
        <v>41443</v>
      </c>
      <c r="C91" t="s">
        <v>3743</v>
      </c>
      <c r="D91">
        <v>1</v>
      </c>
      <c r="E91" t="s">
        <v>3744</v>
      </c>
      <c r="F91" s="67" t="s">
        <v>829</v>
      </c>
      <c r="G91" s="68" t="s">
        <v>6</v>
      </c>
      <c r="H91" s="3">
        <f t="shared" si="3"/>
        <v>464.9375</v>
      </c>
      <c r="I91" s="3">
        <v>74.39</v>
      </c>
    </row>
    <row r="92" spans="1:9">
      <c r="A92" t="s">
        <v>3733</v>
      </c>
      <c r="B92" s="1">
        <v>41443</v>
      </c>
      <c r="C92" t="s">
        <v>3734</v>
      </c>
      <c r="D92">
        <v>1</v>
      </c>
      <c r="E92" t="s">
        <v>3735</v>
      </c>
      <c r="F92" s="67" t="s">
        <v>829</v>
      </c>
      <c r="G92" s="68" t="s">
        <v>6</v>
      </c>
      <c r="H92" s="3">
        <f t="shared" si="3"/>
        <v>296.625</v>
      </c>
      <c r="I92" s="3">
        <v>47.46</v>
      </c>
    </row>
    <row r="93" spans="1:9">
      <c r="A93" t="s">
        <v>3745</v>
      </c>
      <c r="B93" s="1">
        <v>41455</v>
      </c>
      <c r="C93" t="s">
        <v>3746</v>
      </c>
      <c r="D93">
        <v>1</v>
      </c>
      <c r="E93" t="s">
        <v>3747</v>
      </c>
      <c r="F93" s="67" t="s">
        <v>829</v>
      </c>
      <c r="G93" s="68" t="s">
        <v>6</v>
      </c>
      <c r="H93" s="3">
        <f t="shared" si="3"/>
        <v>519.375</v>
      </c>
      <c r="I93" s="3">
        <v>83.1</v>
      </c>
    </row>
    <row r="94" spans="1:9">
      <c r="A94" t="s">
        <v>387</v>
      </c>
      <c r="B94" s="1">
        <v>41455</v>
      </c>
      <c r="C94" t="s">
        <v>3504</v>
      </c>
      <c r="D94">
        <v>1</v>
      </c>
      <c r="E94" t="s">
        <v>3505</v>
      </c>
      <c r="F94" s="67" t="s">
        <v>829</v>
      </c>
      <c r="G94" s="68" t="s">
        <v>6</v>
      </c>
      <c r="H94" s="3">
        <f t="shared" si="3"/>
        <v>529.625</v>
      </c>
      <c r="I94" s="3">
        <v>84.74</v>
      </c>
    </row>
    <row r="95" spans="1:9">
      <c r="A95" t="s">
        <v>2027</v>
      </c>
      <c r="B95" s="1">
        <v>41455</v>
      </c>
      <c r="C95" t="s">
        <v>3586</v>
      </c>
      <c r="D95">
        <v>1</v>
      </c>
      <c r="E95" t="s">
        <v>3587</v>
      </c>
      <c r="F95" s="28" t="s">
        <v>954</v>
      </c>
      <c r="G95" s="28" t="s">
        <v>3587</v>
      </c>
      <c r="H95" s="3">
        <f t="shared" si="3"/>
        <v>302.25</v>
      </c>
      <c r="I95" s="3">
        <v>48.36</v>
      </c>
    </row>
    <row r="96" spans="1:9">
      <c r="A96" t="s">
        <v>411</v>
      </c>
      <c r="B96" s="1">
        <v>41455</v>
      </c>
      <c r="C96" t="s">
        <v>3601</v>
      </c>
      <c r="D96">
        <v>1</v>
      </c>
      <c r="E96" t="s">
        <v>612</v>
      </c>
      <c r="F96" s="9" t="s">
        <v>794</v>
      </c>
      <c r="G96" s="9" t="s">
        <v>612</v>
      </c>
      <c r="H96" s="3">
        <f t="shared" si="3"/>
        <v>25.874999999999996</v>
      </c>
      <c r="I96" s="3">
        <v>4.1399999999999997</v>
      </c>
    </row>
    <row r="97" spans="1:12">
      <c r="A97" t="s">
        <v>2065</v>
      </c>
      <c r="B97" s="1">
        <v>41455</v>
      </c>
      <c r="C97" t="s">
        <v>3614</v>
      </c>
      <c r="D97">
        <v>1</v>
      </c>
      <c r="E97" t="s">
        <v>612</v>
      </c>
      <c r="F97" s="9" t="s">
        <v>794</v>
      </c>
      <c r="G97" s="9" t="s">
        <v>612</v>
      </c>
      <c r="H97" s="3">
        <f t="shared" si="3"/>
        <v>86.875</v>
      </c>
      <c r="I97" s="3">
        <v>13.9</v>
      </c>
    </row>
    <row r="98" spans="1:12">
      <c r="A98" t="s">
        <v>1695</v>
      </c>
      <c r="B98" s="1">
        <v>41455</v>
      </c>
      <c r="C98" t="s">
        <v>3617</v>
      </c>
      <c r="D98">
        <v>1</v>
      </c>
      <c r="E98" t="s">
        <v>612</v>
      </c>
      <c r="F98" s="9" t="s">
        <v>794</v>
      </c>
      <c r="G98" s="9" t="s">
        <v>612</v>
      </c>
      <c r="H98" s="3">
        <f t="shared" si="3"/>
        <v>139</v>
      </c>
      <c r="I98" s="3">
        <v>22.24</v>
      </c>
    </row>
    <row r="99" spans="1:12">
      <c r="A99" t="s">
        <v>3117</v>
      </c>
      <c r="B99" s="1">
        <v>41455</v>
      </c>
      <c r="C99" t="s">
        <v>3625</v>
      </c>
      <c r="D99">
        <v>1</v>
      </c>
      <c r="E99" t="s">
        <v>612</v>
      </c>
      <c r="F99" s="9" t="s">
        <v>794</v>
      </c>
      <c r="G99" s="9" t="s">
        <v>612</v>
      </c>
      <c r="H99" s="3">
        <f t="shared" si="3"/>
        <v>202.31249999999997</v>
      </c>
      <c r="I99" s="3">
        <v>32.369999999999997</v>
      </c>
    </row>
    <row r="100" spans="1:12">
      <c r="A100" t="s">
        <v>3647</v>
      </c>
      <c r="B100" s="1">
        <v>41429</v>
      </c>
      <c r="C100" t="s">
        <v>3648</v>
      </c>
      <c r="D100">
        <v>1</v>
      </c>
      <c r="E100" t="s">
        <v>965</v>
      </c>
      <c r="F100" s="12" t="s">
        <v>3754</v>
      </c>
      <c r="G100" s="9" t="s">
        <v>3755</v>
      </c>
      <c r="H100" s="3">
        <f t="shared" si="3"/>
        <v>431.0625</v>
      </c>
      <c r="I100" s="3">
        <v>68.97</v>
      </c>
    </row>
    <row r="101" spans="1:12">
      <c r="A101" t="s">
        <v>1069</v>
      </c>
      <c r="B101" s="1">
        <v>41436</v>
      </c>
      <c r="C101" t="s">
        <v>3669</v>
      </c>
      <c r="D101">
        <v>1</v>
      </c>
      <c r="E101" t="s">
        <v>965</v>
      </c>
      <c r="F101" s="9" t="s">
        <v>3365</v>
      </c>
      <c r="G101" s="9" t="s">
        <v>3366</v>
      </c>
      <c r="H101" s="3">
        <f t="shared" si="3"/>
        <v>3006.0625</v>
      </c>
      <c r="I101" s="3">
        <v>480.97</v>
      </c>
    </row>
    <row r="102" spans="1:12">
      <c r="A102" t="s">
        <v>2165</v>
      </c>
      <c r="B102" s="1">
        <v>41438</v>
      </c>
      <c r="C102" t="s">
        <v>3672</v>
      </c>
      <c r="D102">
        <v>1</v>
      </c>
      <c r="E102" t="s">
        <v>965</v>
      </c>
      <c r="F102" s="9" t="s">
        <v>3756</v>
      </c>
      <c r="G102" s="9" t="s">
        <v>3757</v>
      </c>
      <c r="H102" s="65">
        <f t="shared" ref="H102:H104" si="4">I102/0.16</f>
        <v>4534.5</v>
      </c>
      <c r="I102" s="65">
        <v>725.52</v>
      </c>
      <c r="J102" s="3"/>
      <c r="K102" s="3"/>
    </row>
    <row r="103" spans="1:12">
      <c r="A103" t="s">
        <v>2165</v>
      </c>
      <c r="B103" s="1">
        <v>41438</v>
      </c>
      <c r="C103" t="s">
        <v>3672</v>
      </c>
      <c r="D103">
        <v>1</v>
      </c>
      <c r="E103" t="s">
        <v>965</v>
      </c>
      <c r="F103" s="33" t="s">
        <v>948</v>
      </c>
      <c r="G103" s="9" t="s">
        <v>948</v>
      </c>
      <c r="H103" s="65">
        <f t="shared" si="4"/>
        <v>223.125</v>
      </c>
      <c r="I103" s="65">
        <v>35.700000000000003</v>
      </c>
      <c r="J103" s="3"/>
      <c r="K103" s="3"/>
    </row>
    <row r="104" spans="1:12">
      <c r="A104" t="s">
        <v>2165</v>
      </c>
      <c r="B104" s="1">
        <v>41438</v>
      </c>
      <c r="C104" t="s">
        <v>3672</v>
      </c>
      <c r="D104">
        <v>1</v>
      </c>
      <c r="E104" t="s">
        <v>965</v>
      </c>
      <c r="F104" s="28" t="s">
        <v>954</v>
      </c>
      <c r="G104" s="28" t="s">
        <v>2276</v>
      </c>
      <c r="H104" s="47">
        <f t="shared" si="4"/>
        <v>207.87499999999997</v>
      </c>
      <c r="I104" s="47">
        <v>33.26</v>
      </c>
      <c r="J104" s="14">
        <f>4965.5-H102-H104-H103</f>
        <v>0</v>
      </c>
      <c r="K104" s="14">
        <f>794.48-I102-I104-I103</f>
        <v>0</v>
      </c>
      <c r="L104" t="s">
        <v>900</v>
      </c>
    </row>
    <row r="105" spans="1:12">
      <c r="A105" t="s">
        <v>3590</v>
      </c>
      <c r="B105" s="1">
        <v>41455</v>
      </c>
      <c r="C105" t="s">
        <v>3591</v>
      </c>
      <c r="D105">
        <v>1</v>
      </c>
      <c r="E105" t="s">
        <v>3592</v>
      </c>
      <c r="F105" s="9" t="s">
        <v>3758</v>
      </c>
      <c r="G105" s="9" t="s">
        <v>3592</v>
      </c>
      <c r="H105" s="3">
        <f t="shared" ref="H105:H114" si="5">+I105/0.16</f>
        <v>734.5</v>
      </c>
      <c r="I105" s="3">
        <v>117.52</v>
      </c>
    </row>
    <row r="106" spans="1:12">
      <c r="A106" t="s">
        <v>30</v>
      </c>
      <c r="B106" s="1">
        <v>41431</v>
      </c>
      <c r="C106" t="s">
        <v>3654</v>
      </c>
      <c r="D106">
        <v>1</v>
      </c>
      <c r="E106" t="s">
        <v>77</v>
      </c>
      <c r="F106" s="12" t="s">
        <v>798</v>
      </c>
      <c r="G106" s="9" t="s">
        <v>77</v>
      </c>
      <c r="H106" s="3">
        <f t="shared" si="5"/>
        <v>317</v>
      </c>
      <c r="I106" s="3">
        <v>50.72</v>
      </c>
    </row>
    <row r="107" spans="1:12">
      <c r="A107" t="s">
        <v>1143</v>
      </c>
      <c r="B107" s="1">
        <v>41444</v>
      </c>
      <c r="C107" t="s">
        <v>3686</v>
      </c>
      <c r="D107">
        <v>1</v>
      </c>
      <c r="E107" t="s">
        <v>77</v>
      </c>
      <c r="F107" s="12" t="s">
        <v>798</v>
      </c>
      <c r="G107" s="9" t="s">
        <v>77</v>
      </c>
      <c r="H107" s="3">
        <f t="shared" si="5"/>
        <v>195</v>
      </c>
      <c r="I107" s="3">
        <v>31.2</v>
      </c>
    </row>
    <row r="108" spans="1:12">
      <c r="A108" t="s">
        <v>3264</v>
      </c>
      <c r="B108" s="1">
        <v>41451</v>
      </c>
      <c r="C108" t="s">
        <v>3711</v>
      </c>
      <c r="D108">
        <v>1</v>
      </c>
      <c r="E108" t="s">
        <v>77</v>
      </c>
      <c r="F108" s="9" t="s">
        <v>798</v>
      </c>
      <c r="G108" s="9" t="s">
        <v>77</v>
      </c>
      <c r="H108" s="3">
        <f t="shared" si="5"/>
        <v>540</v>
      </c>
      <c r="I108" s="3">
        <v>86.4</v>
      </c>
    </row>
    <row r="109" spans="1:12">
      <c r="A109" t="s">
        <v>3718</v>
      </c>
      <c r="B109" s="1">
        <v>41453</v>
      </c>
      <c r="C109" t="s">
        <v>3719</v>
      </c>
      <c r="D109">
        <v>1</v>
      </c>
      <c r="E109" t="s">
        <v>77</v>
      </c>
      <c r="F109" s="9" t="s">
        <v>798</v>
      </c>
      <c r="G109" s="9" t="s">
        <v>77</v>
      </c>
      <c r="H109" s="3">
        <f t="shared" si="5"/>
        <v>187.99999999999997</v>
      </c>
      <c r="I109" s="3">
        <v>30.08</v>
      </c>
    </row>
    <row r="110" spans="1:12">
      <c r="A110" t="s">
        <v>1416</v>
      </c>
      <c r="B110" s="1">
        <v>41455</v>
      </c>
      <c r="C110" t="s">
        <v>3611</v>
      </c>
      <c r="D110">
        <v>1</v>
      </c>
      <c r="E110" t="s">
        <v>3612</v>
      </c>
      <c r="F110" s="9" t="s">
        <v>3759</v>
      </c>
      <c r="G110" s="9" t="s">
        <v>3612</v>
      </c>
      <c r="H110" s="3">
        <f t="shared" si="5"/>
        <v>409.49999999999994</v>
      </c>
      <c r="I110" s="3">
        <v>65.52</v>
      </c>
    </row>
    <row r="111" spans="1:12">
      <c r="A111" t="s">
        <v>32</v>
      </c>
      <c r="B111" s="1">
        <v>41431</v>
      </c>
      <c r="C111" t="s">
        <v>3655</v>
      </c>
      <c r="D111">
        <v>2</v>
      </c>
      <c r="E111" t="s">
        <v>74</v>
      </c>
      <c r="F111" s="9" t="s">
        <v>803</v>
      </c>
      <c r="G111" s="9" t="s">
        <v>74</v>
      </c>
      <c r="H111" s="3">
        <f t="shared" si="5"/>
        <v>4898.5625</v>
      </c>
      <c r="I111" s="3">
        <v>783.77</v>
      </c>
    </row>
    <row r="112" spans="1:12">
      <c r="A112" t="s">
        <v>1259</v>
      </c>
      <c r="B112" s="1">
        <v>41453</v>
      </c>
      <c r="C112" t="s">
        <v>3723</v>
      </c>
      <c r="D112">
        <v>2</v>
      </c>
      <c r="E112" t="s">
        <v>74</v>
      </c>
      <c r="F112" s="9" t="s">
        <v>803</v>
      </c>
      <c r="G112" s="9" t="s">
        <v>74</v>
      </c>
      <c r="H112" s="3">
        <f t="shared" si="5"/>
        <v>9559.625</v>
      </c>
      <c r="I112" s="3">
        <v>1529.54</v>
      </c>
    </row>
    <row r="113" spans="1:12">
      <c r="A113" t="s">
        <v>1038</v>
      </c>
      <c r="B113" s="1">
        <v>41432</v>
      </c>
      <c r="C113" t="s">
        <v>3661</v>
      </c>
      <c r="D113">
        <v>1</v>
      </c>
      <c r="E113" t="s">
        <v>112</v>
      </c>
      <c r="F113" s="9" t="s">
        <v>805</v>
      </c>
      <c r="G113" s="9" t="s">
        <v>112</v>
      </c>
      <c r="H113" s="3">
        <f t="shared" si="5"/>
        <v>25000</v>
      </c>
      <c r="I113" s="3">
        <v>4000</v>
      </c>
    </row>
    <row r="114" spans="1:12">
      <c r="A114" t="s">
        <v>2006</v>
      </c>
      <c r="B114" s="1">
        <v>41455</v>
      </c>
      <c r="C114" t="s">
        <v>3574</v>
      </c>
      <c r="D114">
        <v>1</v>
      </c>
      <c r="E114" t="s">
        <v>3575</v>
      </c>
      <c r="F114" s="33" t="s">
        <v>948</v>
      </c>
      <c r="G114" s="33" t="s">
        <v>947</v>
      </c>
      <c r="H114" s="3">
        <f t="shared" si="5"/>
        <v>394</v>
      </c>
      <c r="I114" s="3">
        <v>63.04</v>
      </c>
    </row>
    <row r="115" spans="1:12">
      <c r="A115" t="s">
        <v>397</v>
      </c>
      <c r="B115" s="1">
        <v>41455</v>
      </c>
      <c r="C115" t="s">
        <v>3545</v>
      </c>
      <c r="D115">
        <v>1</v>
      </c>
      <c r="E115" t="s">
        <v>3546</v>
      </c>
      <c r="F115" s="28" t="s">
        <v>3393</v>
      </c>
      <c r="G115" s="28" t="s">
        <v>3394</v>
      </c>
      <c r="H115" s="47">
        <f t="shared" ref="H115:H117" si="6">I115/0.16</f>
        <v>124</v>
      </c>
      <c r="I115" s="47">
        <v>19.84</v>
      </c>
      <c r="J115" s="3"/>
      <c r="K115" s="3"/>
    </row>
    <row r="116" spans="1:12">
      <c r="A116" t="s">
        <v>397</v>
      </c>
      <c r="B116" s="1">
        <v>41455</v>
      </c>
      <c r="C116" t="s">
        <v>3545</v>
      </c>
      <c r="D116">
        <v>1</v>
      </c>
      <c r="E116" t="s">
        <v>3546</v>
      </c>
      <c r="F116" s="28" t="s">
        <v>2287</v>
      </c>
      <c r="G116" s="28" t="s">
        <v>2288</v>
      </c>
      <c r="H116" s="47">
        <f t="shared" si="6"/>
        <v>334</v>
      </c>
      <c r="I116" s="47">
        <v>53.44</v>
      </c>
    </row>
    <row r="117" spans="1:12">
      <c r="A117" t="s">
        <v>397</v>
      </c>
      <c r="B117" s="1">
        <v>41455</v>
      </c>
      <c r="C117" t="s">
        <v>3545</v>
      </c>
      <c r="D117">
        <v>1</v>
      </c>
      <c r="E117" t="s">
        <v>3546</v>
      </c>
      <c r="F117" s="33" t="s">
        <v>948</v>
      </c>
      <c r="G117" t="s">
        <v>947</v>
      </c>
      <c r="H117" s="3">
        <f t="shared" si="6"/>
        <v>615.99999999999989</v>
      </c>
      <c r="I117" s="46">
        <f>96.85+1.71</f>
        <v>98.559999999999988</v>
      </c>
      <c r="J117" s="14">
        <f>1074-H115-H116-H117</f>
        <v>0</v>
      </c>
      <c r="K117" s="14">
        <f>171.84-I115-I116-I117</f>
        <v>0</v>
      </c>
      <c r="L117" t="s">
        <v>900</v>
      </c>
    </row>
    <row r="118" spans="1:12">
      <c r="A118" t="s">
        <v>1006</v>
      </c>
      <c r="B118" s="1">
        <v>41431</v>
      </c>
      <c r="C118" t="s">
        <v>3649</v>
      </c>
      <c r="D118">
        <v>1</v>
      </c>
      <c r="E118" t="s">
        <v>2724</v>
      </c>
      <c r="F118" s="12" t="s">
        <v>2855</v>
      </c>
      <c r="G118" s="9" t="s">
        <v>2724</v>
      </c>
      <c r="H118" s="3">
        <f t="shared" ref="H118:H149" si="7">+I118/0.16</f>
        <v>3500</v>
      </c>
      <c r="I118" s="3">
        <v>560</v>
      </c>
    </row>
    <row r="119" spans="1:12">
      <c r="A119" t="s">
        <v>2213</v>
      </c>
      <c r="B119" s="1">
        <v>41453</v>
      </c>
      <c r="C119" t="s">
        <v>3721</v>
      </c>
      <c r="D119">
        <v>1</v>
      </c>
      <c r="E119" t="s">
        <v>2724</v>
      </c>
      <c r="F119" s="9" t="s">
        <v>2855</v>
      </c>
      <c r="G119" s="9" t="s">
        <v>2724</v>
      </c>
      <c r="H119" s="3">
        <f t="shared" si="7"/>
        <v>3500</v>
      </c>
      <c r="I119" s="3">
        <v>560</v>
      </c>
    </row>
    <row r="120" spans="1:12">
      <c r="A120" t="s">
        <v>1438</v>
      </c>
      <c r="B120" s="1">
        <v>41455</v>
      </c>
      <c r="C120" t="s">
        <v>3626</v>
      </c>
      <c r="D120">
        <v>1</v>
      </c>
      <c r="E120" t="s">
        <v>2064</v>
      </c>
      <c r="F120" s="9" t="s">
        <v>2290</v>
      </c>
      <c r="G120" s="9" t="s">
        <v>2064</v>
      </c>
      <c r="H120" s="3">
        <f t="shared" si="7"/>
        <v>425</v>
      </c>
      <c r="I120" s="3">
        <v>68</v>
      </c>
    </row>
    <row r="121" spans="1:12">
      <c r="A121" t="s">
        <v>2151</v>
      </c>
      <c r="B121" s="1">
        <v>41432</v>
      </c>
      <c r="C121" t="s">
        <v>3662</v>
      </c>
      <c r="D121">
        <v>1</v>
      </c>
      <c r="E121" t="s">
        <v>1219</v>
      </c>
      <c r="F121" s="9" t="s">
        <v>754</v>
      </c>
      <c r="G121" s="9" t="s">
        <v>1219</v>
      </c>
      <c r="H121" s="3">
        <f t="shared" si="7"/>
        <v>2500</v>
      </c>
      <c r="I121" s="3">
        <v>400</v>
      </c>
    </row>
    <row r="122" spans="1:12">
      <c r="A122" t="s">
        <v>3491</v>
      </c>
      <c r="B122" s="1">
        <v>41449</v>
      </c>
      <c r="C122" t="s">
        <v>3492</v>
      </c>
      <c r="D122">
        <v>1</v>
      </c>
      <c r="E122" t="s">
        <v>2949</v>
      </c>
      <c r="F122" s="17" t="s">
        <v>814</v>
      </c>
      <c r="G122" s="9" t="s">
        <v>815</v>
      </c>
      <c r="H122" s="3">
        <f t="shared" si="7"/>
        <v>199344.9375</v>
      </c>
      <c r="I122" s="3">
        <v>31895.19</v>
      </c>
    </row>
    <row r="123" spans="1:12">
      <c r="A123" t="s">
        <v>1939</v>
      </c>
      <c r="B123" s="1">
        <v>41455</v>
      </c>
      <c r="C123" t="s">
        <v>3526</v>
      </c>
      <c r="D123">
        <v>1</v>
      </c>
      <c r="E123" t="s">
        <v>3527</v>
      </c>
      <c r="F123" s="17" t="s">
        <v>814</v>
      </c>
      <c r="G123" s="9" t="s">
        <v>815</v>
      </c>
      <c r="H123" s="3">
        <f t="shared" si="7"/>
        <v>199344.9375</v>
      </c>
      <c r="I123" s="3">
        <v>31895.19</v>
      </c>
    </row>
    <row r="124" spans="1:12">
      <c r="A124" t="s">
        <v>3512</v>
      </c>
      <c r="B124" s="1">
        <v>41455</v>
      </c>
      <c r="C124" t="s">
        <v>433</v>
      </c>
      <c r="D124">
        <v>1</v>
      </c>
      <c r="E124" t="s">
        <v>3513</v>
      </c>
      <c r="F124" s="21" t="s">
        <v>827</v>
      </c>
      <c r="G124" s="22" t="s">
        <v>828</v>
      </c>
      <c r="H124" s="3">
        <f t="shared" si="7"/>
        <v>14713.749999999998</v>
      </c>
      <c r="I124" s="3">
        <v>2354.1999999999998</v>
      </c>
    </row>
    <row r="125" spans="1:12">
      <c r="A125" t="s">
        <v>3430</v>
      </c>
      <c r="B125" s="1">
        <v>41436</v>
      </c>
      <c r="C125" t="s">
        <v>3431</v>
      </c>
      <c r="D125">
        <v>1</v>
      </c>
      <c r="E125" t="s">
        <v>5</v>
      </c>
      <c r="F125" s="18" t="s">
        <v>816</v>
      </c>
      <c r="G125" s="19" t="s">
        <v>5</v>
      </c>
      <c r="H125" s="3">
        <f t="shared" si="7"/>
        <v>107142.875</v>
      </c>
      <c r="I125" s="3">
        <v>17142.86</v>
      </c>
    </row>
    <row r="126" spans="1:12">
      <c r="A126" t="s">
        <v>317</v>
      </c>
      <c r="B126" s="1">
        <v>41454</v>
      </c>
      <c r="C126" t="s">
        <v>3725</v>
      </c>
      <c r="D126">
        <v>1</v>
      </c>
      <c r="E126" t="s">
        <v>2</v>
      </c>
      <c r="F126" s="18" t="s">
        <v>843</v>
      </c>
      <c r="G126" s="19" t="s">
        <v>844</v>
      </c>
      <c r="H126" s="3">
        <f t="shared" si="7"/>
        <v>107142.875</v>
      </c>
      <c r="I126" s="3">
        <v>17142.86</v>
      </c>
    </row>
    <row r="127" spans="1:12">
      <c r="A127" t="s">
        <v>182</v>
      </c>
      <c r="B127" s="1">
        <v>41444</v>
      </c>
      <c r="C127" t="s">
        <v>3682</v>
      </c>
      <c r="D127">
        <v>1</v>
      </c>
      <c r="E127" t="s">
        <v>3683</v>
      </c>
      <c r="F127" s="9" t="s">
        <v>1626</v>
      </c>
      <c r="G127" s="9" t="s">
        <v>3760</v>
      </c>
      <c r="H127" s="3">
        <f t="shared" si="7"/>
        <v>2200</v>
      </c>
      <c r="I127" s="3">
        <v>352</v>
      </c>
    </row>
    <row r="128" spans="1:12">
      <c r="A128" t="s">
        <v>3453</v>
      </c>
      <c r="B128" s="1">
        <v>41438</v>
      </c>
      <c r="C128" t="s">
        <v>3454</v>
      </c>
      <c r="D128">
        <v>1</v>
      </c>
      <c r="E128" t="s">
        <v>57</v>
      </c>
      <c r="F128" s="8" t="s">
        <v>921</v>
      </c>
      <c r="G128" s="9" t="s">
        <v>922</v>
      </c>
      <c r="H128" s="3">
        <f t="shared" si="7"/>
        <v>19104.3125</v>
      </c>
      <c r="I128" s="3">
        <v>3056.69</v>
      </c>
    </row>
    <row r="129" spans="1:9">
      <c r="A129" t="s">
        <v>1170</v>
      </c>
      <c r="B129" s="1">
        <v>41443</v>
      </c>
      <c r="C129" t="s">
        <v>3461</v>
      </c>
      <c r="D129">
        <v>1</v>
      </c>
      <c r="E129" t="s">
        <v>57</v>
      </c>
      <c r="F129" s="8" t="s">
        <v>921</v>
      </c>
      <c r="G129" s="9" t="s">
        <v>922</v>
      </c>
      <c r="H129" s="3">
        <f t="shared" si="7"/>
        <v>3571.125</v>
      </c>
      <c r="I129" s="3">
        <v>571.38</v>
      </c>
    </row>
    <row r="130" spans="1:9">
      <c r="A130" t="s">
        <v>2984</v>
      </c>
      <c r="B130" s="1">
        <v>41443</v>
      </c>
      <c r="C130" t="s">
        <v>3462</v>
      </c>
      <c r="D130">
        <v>1</v>
      </c>
      <c r="E130" t="s">
        <v>57</v>
      </c>
      <c r="F130" s="8" t="s">
        <v>921</v>
      </c>
      <c r="G130" s="9" t="s">
        <v>922</v>
      </c>
      <c r="H130" s="3">
        <f t="shared" si="7"/>
        <v>1587.625</v>
      </c>
      <c r="I130" s="3">
        <v>254.02</v>
      </c>
    </row>
    <row r="131" spans="1:9">
      <c r="A131" t="s">
        <v>3489</v>
      </c>
      <c r="B131" s="1">
        <v>41449</v>
      </c>
      <c r="C131" t="s">
        <v>3490</v>
      </c>
      <c r="D131">
        <v>1</v>
      </c>
      <c r="E131" t="s">
        <v>57</v>
      </c>
      <c r="F131" s="8" t="s">
        <v>921</v>
      </c>
      <c r="G131" s="9" t="s">
        <v>922</v>
      </c>
      <c r="H131" s="3">
        <f t="shared" si="7"/>
        <v>16270.249999999998</v>
      </c>
      <c r="I131" s="3">
        <v>2603.2399999999998</v>
      </c>
    </row>
    <row r="132" spans="1:9">
      <c r="A132" t="s">
        <v>2136</v>
      </c>
      <c r="B132" s="1">
        <v>41431</v>
      </c>
      <c r="C132" t="s">
        <v>3650</v>
      </c>
      <c r="D132">
        <v>1</v>
      </c>
      <c r="E132" t="s">
        <v>1065</v>
      </c>
      <c r="F132" s="28" t="s">
        <v>943</v>
      </c>
      <c r="G132" s="28" t="s">
        <v>3761</v>
      </c>
      <c r="H132" s="3">
        <f t="shared" si="7"/>
        <v>40.625</v>
      </c>
      <c r="I132" s="3">
        <v>6.5</v>
      </c>
    </row>
    <row r="133" spans="1:9">
      <c r="A133" t="s">
        <v>1147</v>
      </c>
      <c r="B133" s="1">
        <v>41444</v>
      </c>
      <c r="C133" t="s">
        <v>3688</v>
      </c>
      <c r="D133">
        <v>1</v>
      </c>
      <c r="E133" t="s">
        <v>1065</v>
      </c>
      <c r="F133" s="28" t="s">
        <v>943</v>
      </c>
      <c r="G133" s="28" t="s">
        <v>3761</v>
      </c>
      <c r="H133" s="3">
        <f t="shared" si="7"/>
        <v>41.75</v>
      </c>
      <c r="I133" s="3">
        <v>6.68</v>
      </c>
    </row>
    <row r="134" spans="1:9">
      <c r="A134" t="s">
        <v>2021</v>
      </c>
      <c r="B134" s="1">
        <v>41455</v>
      </c>
      <c r="C134" t="s">
        <v>3584</v>
      </c>
      <c r="D134">
        <v>1</v>
      </c>
      <c r="E134" t="s">
        <v>1449</v>
      </c>
      <c r="F134" s="9" t="s">
        <v>1615</v>
      </c>
      <c r="G134" s="9" t="s">
        <v>1449</v>
      </c>
      <c r="H134" s="3">
        <f t="shared" si="7"/>
        <v>334.1875</v>
      </c>
      <c r="I134" s="3">
        <v>53.47</v>
      </c>
    </row>
    <row r="135" spans="1:9">
      <c r="A135" t="s">
        <v>1450</v>
      </c>
      <c r="B135" s="1">
        <v>41455</v>
      </c>
      <c r="C135" t="s">
        <v>3639</v>
      </c>
      <c r="D135">
        <v>1</v>
      </c>
      <c r="E135" t="s">
        <v>1969</v>
      </c>
      <c r="F135" s="9" t="s">
        <v>2302</v>
      </c>
      <c r="G135" s="9" t="s">
        <v>1969</v>
      </c>
      <c r="H135" s="3">
        <f t="shared" si="7"/>
        <v>238.375</v>
      </c>
      <c r="I135" s="3">
        <v>38.14</v>
      </c>
    </row>
    <row r="136" spans="1:9">
      <c r="A136" t="s">
        <v>1095</v>
      </c>
      <c r="B136" s="1">
        <v>41438</v>
      </c>
      <c r="C136" t="s">
        <v>3671</v>
      </c>
      <c r="D136">
        <v>1</v>
      </c>
      <c r="E136" t="s">
        <v>2830</v>
      </c>
      <c r="F136" s="12" t="s">
        <v>2858</v>
      </c>
      <c r="G136" s="9" t="s">
        <v>2830</v>
      </c>
      <c r="H136" s="3">
        <f t="shared" si="7"/>
        <v>7175.8125000000009</v>
      </c>
      <c r="I136" s="3">
        <v>1148.1300000000001</v>
      </c>
    </row>
    <row r="137" spans="1:9">
      <c r="A137" t="s">
        <v>3083</v>
      </c>
      <c r="B137" s="1">
        <v>41455</v>
      </c>
      <c r="C137" t="s">
        <v>3604</v>
      </c>
      <c r="D137">
        <v>1</v>
      </c>
      <c r="E137" t="s">
        <v>584</v>
      </c>
      <c r="F137" s="9" t="s">
        <v>818</v>
      </c>
      <c r="G137" s="9" t="s">
        <v>584</v>
      </c>
      <c r="H137" s="3">
        <f t="shared" si="7"/>
        <v>315</v>
      </c>
      <c r="I137" s="3">
        <v>50.4</v>
      </c>
    </row>
    <row r="138" spans="1:9">
      <c r="A138" t="s">
        <v>1434</v>
      </c>
      <c r="B138" s="1">
        <v>41455</v>
      </c>
      <c r="C138" t="s">
        <v>3622</v>
      </c>
      <c r="D138">
        <v>1</v>
      </c>
      <c r="E138" t="s">
        <v>584</v>
      </c>
      <c r="F138" s="9" t="s">
        <v>818</v>
      </c>
      <c r="G138" s="9" t="s">
        <v>584</v>
      </c>
      <c r="H138" s="3">
        <f t="shared" si="7"/>
        <v>304.875</v>
      </c>
      <c r="I138" s="3">
        <v>48.78</v>
      </c>
    </row>
    <row r="139" spans="1:9">
      <c r="A139" t="s">
        <v>2198</v>
      </c>
      <c r="B139" s="1">
        <v>41451</v>
      </c>
      <c r="C139" t="s">
        <v>3710</v>
      </c>
      <c r="D139">
        <v>1</v>
      </c>
      <c r="E139" t="s">
        <v>97</v>
      </c>
      <c r="F139" s="9" t="s">
        <v>820</v>
      </c>
      <c r="G139" s="9" t="s">
        <v>97</v>
      </c>
      <c r="H139" s="3">
        <f t="shared" si="7"/>
        <v>3191.9375</v>
      </c>
      <c r="I139" s="3">
        <v>510.71</v>
      </c>
    </row>
    <row r="140" spans="1:9">
      <c r="A140" t="s">
        <v>1457</v>
      </c>
      <c r="B140" s="1">
        <v>41455</v>
      </c>
      <c r="C140" t="s">
        <v>3643</v>
      </c>
      <c r="D140">
        <v>1</v>
      </c>
      <c r="E140" t="s">
        <v>3644</v>
      </c>
      <c r="F140" s="9" t="s">
        <v>836</v>
      </c>
      <c r="G140" s="9" t="s">
        <v>3644</v>
      </c>
      <c r="H140" s="3">
        <f t="shared" si="7"/>
        <v>70</v>
      </c>
      <c r="I140" s="3">
        <v>11.2</v>
      </c>
    </row>
    <row r="141" spans="1:9">
      <c r="A141" t="s">
        <v>2180</v>
      </c>
      <c r="B141" s="1">
        <v>41444</v>
      </c>
      <c r="C141" t="s">
        <v>3685</v>
      </c>
      <c r="D141">
        <v>1</v>
      </c>
      <c r="E141" t="s">
        <v>229</v>
      </c>
      <c r="F141" s="12" t="s">
        <v>839</v>
      </c>
      <c r="G141" s="9" t="s">
        <v>229</v>
      </c>
      <c r="H141" s="3">
        <f t="shared" si="7"/>
        <v>696</v>
      </c>
      <c r="I141" s="3">
        <v>111.36</v>
      </c>
    </row>
    <row r="142" spans="1:9">
      <c r="A142" t="s">
        <v>2789</v>
      </c>
      <c r="B142" s="1">
        <v>41451</v>
      </c>
      <c r="C142" t="s">
        <v>3709</v>
      </c>
      <c r="D142">
        <v>1</v>
      </c>
      <c r="E142" t="s">
        <v>229</v>
      </c>
      <c r="F142" s="9" t="s">
        <v>839</v>
      </c>
      <c r="G142" s="9" t="s">
        <v>229</v>
      </c>
      <c r="H142" s="3">
        <f t="shared" si="7"/>
        <v>2190</v>
      </c>
      <c r="I142" s="3">
        <v>350.4</v>
      </c>
    </row>
    <row r="143" spans="1:9">
      <c r="A143" t="s">
        <v>2209</v>
      </c>
      <c r="B143" s="1">
        <v>41452</v>
      </c>
      <c r="C143" t="s">
        <v>3715</v>
      </c>
      <c r="D143">
        <v>2</v>
      </c>
      <c r="E143" t="s">
        <v>716</v>
      </c>
      <c r="F143" s="9" t="s">
        <v>842</v>
      </c>
      <c r="G143" s="9" t="s">
        <v>716</v>
      </c>
      <c r="H143" s="3">
        <f t="shared" si="7"/>
        <v>2155.1875</v>
      </c>
      <c r="I143" s="3">
        <v>344.83</v>
      </c>
    </row>
    <row r="144" spans="1:9">
      <c r="A144" t="s">
        <v>47</v>
      </c>
      <c r="B144" s="1">
        <v>41432</v>
      </c>
      <c r="C144" t="s">
        <v>3663</v>
      </c>
      <c r="D144">
        <v>2</v>
      </c>
      <c r="E144" t="s">
        <v>127</v>
      </c>
      <c r="F144" s="12" t="s">
        <v>849</v>
      </c>
      <c r="G144" s="9" t="s">
        <v>127</v>
      </c>
      <c r="H144" s="3">
        <f t="shared" si="7"/>
        <v>4000</v>
      </c>
      <c r="I144" s="3">
        <v>640</v>
      </c>
    </row>
    <row r="145" spans="1:9">
      <c r="A145" t="s">
        <v>218</v>
      </c>
      <c r="B145" s="1">
        <v>41446</v>
      </c>
      <c r="C145" t="s">
        <v>3695</v>
      </c>
      <c r="D145">
        <v>2</v>
      </c>
      <c r="E145" t="s">
        <v>127</v>
      </c>
      <c r="F145" s="12" t="s">
        <v>849</v>
      </c>
      <c r="G145" s="9" t="s">
        <v>127</v>
      </c>
      <c r="H145" s="3">
        <f t="shared" si="7"/>
        <v>10800</v>
      </c>
      <c r="I145" s="3">
        <v>1728</v>
      </c>
    </row>
    <row r="146" spans="1:9">
      <c r="A146" t="s">
        <v>2146</v>
      </c>
      <c r="B146" s="1">
        <v>41431</v>
      </c>
      <c r="C146" t="s">
        <v>3656</v>
      </c>
      <c r="D146">
        <v>1</v>
      </c>
      <c r="E146" t="s">
        <v>89</v>
      </c>
      <c r="F146" s="9" t="s">
        <v>850</v>
      </c>
      <c r="G146" s="9" t="s">
        <v>89</v>
      </c>
      <c r="H146" s="3">
        <f t="shared" si="7"/>
        <v>8500</v>
      </c>
      <c r="I146" s="3">
        <v>1360</v>
      </c>
    </row>
    <row r="147" spans="1:9">
      <c r="A147" t="s">
        <v>3221</v>
      </c>
      <c r="B147" s="1">
        <v>41431</v>
      </c>
      <c r="C147" t="s">
        <v>3657</v>
      </c>
      <c r="D147">
        <v>2</v>
      </c>
      <c r="E147" t="s">
        <v>89</v>
      </c>
      <c r="F147" s="9" t="s">
        <v>850</v>
      </c>
      <c r="G147" s="9" t="s">
        <v>89</v>
      </c>
      <c r="H147" s="3">
        <f t="shared" si="7"/>
        <v>7200</v>
      </c>
      <c r="I147" s="3">
        <v>1152</v>
      </c>
    </row>
    <row r="148" spans="1:9">
      <c r="A148" t="s">
        <v>2204</v>
      </c>
      <c r="B148" s="1">
        <v>41451</v>
      </c>
      <c r="C148" t="s">
        <v>3714</v>
      </c>
      <c r="D148">
        <v>1</v>
      </c>
      <c r="E148" t="s">
        <v>89</v>
      </c>
      <c r="F148" s="9" t="s">
        <v>850</v>
      </c>
      <c r="G148" s="9" t="s">
        <v>89</v>
      </c>
      <c r="H148" s="3">
        <f t="shared" si="7"/>
        <v>5000</v>
      </c>
      <c r="I148" s="3">
        <v>800</v>
      </c>
    </row>
    <row r="149" spans="1:9">
      <c r="A149" t="s">
        <v>1008</v>
      </c>
      <c r="B149" s="1">
        <v>41431</v>
      </c>
      <c r="C149" t="s">
        <v>3652</v>
      </c>
      <c r="D149">
        <v>1</v>
      </c>
      <c r="E149" t="s">
        <v>86</v>
      </c>
      <c r="F149" s="12" t="s">
        <v>851</v>
      </c>
      <c r="G149" s="9" t="s">
        <v>86</v>
      </c>
      <c r="H149" s="3">
        <f t="shared" si="7"/>
        <v>2248.25</v>
      </c>
      <c r="I149" s="3">
        <v>359.72</v>
      </c>
    </row>
    <row r="150" spans="1:9">
      <c r="A150" t="s">
        <v>2797</v>
      </c>
      <c r="B150" s="1">
        <v>41453</v>
      </c>
      <c r="C150" t="s">
        <v>3720</v>
      </c>
      <c r="D150">
        <v>1</v>
      </c>
      <c r="E150" t="s">
        <v>86</v>
      </c>
      <c r="F150" s="9" t="s">
        <v>851</v>
      </c>
      <c r="G150" s="9" t="s">
        <v>86</v>
      </c>
      <c r="H150" s="3">
        <f t="shared" ref="H150:H181" si="8">+I150/0.16</f>
        <v>1664.2499999999998</v>
      </c>
      <c r="I150" s="3">
        <v>266.27999999999997</v>
      </c>
    </row>
    <row r="151" spans="1:9">
      <c r="A151" t="s">
        <v>3593</v>
      </c>
      <c r="B151" s="1">
        <v>41455</v>
      </c>
      <c r="C151" t="s">
        <v>3594</v>
      </c>
      <c r="D151">
        <v>1</v>
      </c>
      <c r="E151" t="s">
        <v>578</v>
      </c>
      <c r="F151" s="9" t="s">
        <v>851</v>
      </c>
      <c r="G151" s="9" t="s">
        <v>578</v>
      </c>
      <c r="H151" s="3">
        <f t="shared" si="8"/>
        <v>400.875</v>
      </c>
      <c r="I151" s="3">
        <v>64.14</v>
      </c>
    </row>
    <row r="152" spans="1:9">
      <c r="A152" t="s">
        <v>1413</v>
      </c>
      <c r="B152" s="1">
        <v>41455</v>
      </c>
      <c r="C152" t="s">
        <v>3608</v>
      </c>
      <c r="D152">
        <v>1</v>
      </c>
      <c r="E152" t="s">
        <v>3609</v>
      </c>
      <c r="F152" s="9" t="s">
        <v>3374</v>
      </c>
      <c r="G152" s="9" t="s">
        <v>3609</v>
      </c>
      <c r="H152" s="3">
        <f t="shared" si="8"/>
        <v>431.0625</v>
      </c>
      <c r="I152" s="3">
        <v>68.97</v>
      </c>
    </row>
    <row r="153" spans="1:9">
      <c r="A153" t="s">
        <v>3468</v>
      </c>
      <c r="B153" s="1">
        <v>41444</v>
      </c>
      <c r="C153" t="s">
        <v>3469</v>
      </c>
      <c r="D153">
        <v>1</v>
      </c>
      <c r="E153" t="s">
        <v>3470</v>
      </c>
      <c r="F153" s="12" t="s">
        <v>856</v>
      </c>
      <c r="G153" s="9" t="s">
        <v>2947</v>
      </c>
      <c r="H153" s="3">
        <f t="shared" si="8"/>
        <v>288927.5</v>
      </c>
      <c r="I153" s="3">
        <v>46228.4</v>
      </c>
    </row>
    <row r="154" spans="1:9">
      <c r="A154" t="s">
        <v>3486</v>
      </c>
      <c r="B154" s="1">
        <v>41449</v>
      </c>
      <c r="C154" t="s">
        <v>3487</v>
      </c>
      <c r="D154">
        <v>1</v>
      </c>
      <c r="E154" t="s">
        <v>3488</v>
      </c>
      <c r="F154" s="12" t="s">
        <v>856</v>
      </c>
      <c r="G154" s="9" t="s">
        <v>2947</v>
      </c>
      <c r="H154" s="3">
        <f t="shared" si="8"/>
        <v>288928.5</v>
      </c>
      <c r="I154" s="3">
        <v>46228.56</v>
      </c>
    </row>
    <row r="155" spans="1:9">
      <c r="A155" t="s">
        <v>3050</v>
      </c>
      <c r="B155" s="1">
        <v>41453</v>
      </c>
      <c r="C155" t="s">
        <v>3499</v>
      </c>
      <c r="D155">
        <v>1</v>
      </c>
      <c r="E155" t="s">
        <v>1751</v>
      </c>
      <c r="F155" s="12" t="s">
        <v>856</v>
      </c>
      <c r="G155" s="9" t="s">
        <v>2947</v>
      </c>
      <c r="H155" s="3">
        <f t="shared" si="8"/>
        <v>257190</v>
      </c>
      <c r="I155" s="3">
        <v>41150.400000000001</v>
      </c>
    </row>
    <row r="156" spans="1:9">
      <c r="A156" t="s">
        <v>224</v>
      </c>
      <c r="B156" s="1">
        <v>41446</v>
      </c>
      <c r="C156" t="s">
        <v>3697</v>
      </c>
      <c r="D156">
        <v>1</v>
      </c>
      <c r="E156" t="s">
        <v>3698</v>
      </c>
      <c r="F156" s="12" t="s">
        <v>856</v>
      </c>
      <c r="G156" s="9" t="s">
        <v>2947</v>
      </c>
      <c r="H156" s="3">
        <f t="shared" si="8"/>
        <v>1201</v>
      </c>
      <c r="I156" s="3">
        <v>192.16</v>
      </c>
    </row>
    <row r="157" spans="1:9">
      <c r="A157" t="s">
        <v>2015</v>
      </c>
      <c r="B157" s="1">
        <v>41455</v>
      </c>
      <c r="C157" t="s">
        <v>3580</v>
      </c>
      <c r="D157">
        <v>1</v>
      </c>
      <c r="E157" t="s">
        <v>3581</v>
      </c>
      <c r="F157" s="9" t="s">
        <v>2269</v>
      </c>
      <c r="G157" s="9" t="s">
        <v>3762</v>
      </c>
      <c r="H157" s="3">
        <f t="shared" si="8"/>
        <v>336</v>
      </c>
      <c r="I157" s="3">
        <v>53.76</v>
      </c>
    </row>
    <row r="158" spans="1:9">
      <c r="A158" t="s">
        <v>213</v>
      </c>
      <c r="B158" s="1">
        <v>41446</v>
      </c>
      <c r="C158" t="s">
        <v>3693</v>
      </c>
      <c r="D158">
        <v>1</v>
      </c>
      <c r="E158" t="s">
        <v>121</v>
      </c>
      <c r="F158" s="9" t="s">
        <v>858</v>
      </c>
      <c r="G158" s="9" t="s">
        <v>121</v>
      </c>
      <c r="H158" s="3">
        <f t="shared" si="8"/>
        <v>350</v>
      </c>
      <c r="I158" s="3">
        <v>56</v>
      </c>
    </row>
    <row r="159" spans="1:9">
      <c r="A159" t="s">
        <v>216</v>
      </c>
      <c r="B159" s="1">
        <v>41446</v>
      </c>
      <c r="C159" t="s">
        <v>3694</v>
      </c>
      <c r="D159">
        <v>2</v>
      </c>
      <c r="E159" t="s">
        <v>121</v>
      </c>
      <c r="F159" s="9" t="s">
        <v>858</v>
      </c>
      <c r="G159" s="9" t="s">
        <v>121</v>
      </c>
      <c r="H159" s="3">
        <f t="shared" si="8"/>
        <v>539.6875</v>
      </c>
      <c r="I159" s="3">
        <v>86.35</v>
      </c>
    </row>
    <row r="160" spans="1:9">
      <c r="A160" t="s">
        <v>3598</v>
      </c>
      <c r="B160" s="1">
        <v>41455</v>
      </c>
      <c r="C160" t="s">
        <v>3599</v>
      </c>
      <c r="D160">
        <v>1</v>
      </c>
      <c r="E160" t="s">
        <v>3600</v>
      </c>
      <c r="F160" s="9" t="s">
        <v>858</v>
      </c>
      <c r="G160" s="9" t="s">
        <v>3600</v>
      </c>
      <c r="H160" s="3">
        <f t="shared" si="8"/>
        <v>996.74999999999989</v>
      </c>
      <c r="I160" s="3">
        <v>159.47999999999999</v>
      </c>
    </row>
    <row r="161" spans="1:12">
      <c r="A161" t="s">
        <v>27</v>
      </c>
      <c r="B161" s="1">
        <v>41431</v>
      </c>
      <c r="C161" t="s">
        <v>3653</v>
      </c>
      <c r="D161">
        <v>1</v>
      </c>
      <c r="E161" t="s">
        <v>2750</v>
      </c>
      <c r="F161" s="12" t="s">
        <v>2861</v>
      </c>
      <c r="G161" s="9" t="s">
        <v>2750</v>
      </c>
      <c r="H161" s="3">
        <f t="shared" si="8"/>
        <v>8750</v>
      </c>
      <c r="I161" s="3">
        <v>1400</v>
      </c>
    </row>
    <row r="162" spans="1:12">
      <c r="A162" t="s">
        <v>3455</v>
      </c>
      <c r="B162" s="1">
        <v>41442</v>
      </c>
      <c r="C162" t="s">
        <v>3456</v>
      </c>
      <c r="D162">
        <v>1</v>
      </c>
      <c r="E162" t="s">
        <v>3457</v>
      </c>
      <c r="F162" s="13" t="s">
        <v>862</v>
      </c>
      <c r="G162" s="9" t="s">
        <v>2394</v>
      </c>
      <c r="H162" s="3">
        <f t="shared" si="8"/>
        <v>288927.5</v>
      </c>
      <c r="I162" s="3">
        <v>46228.4</v>
      </c>
    </row>
    <row r="163" spans="1:12">
      <c r="A163" t="s">
        <v>1447</v>
      </c>
      <c r="B163" s="1">
        <v>41455</v>
      </c>
      <c r="C163" t="s">
        <v>3637</v>
      </c>
      <c r="D163">
        <v>1</v>
      </c>
      <c r="E163" t="s">
        <v>2687</v>
      </c>
      <c r="F163" s="9" t="s">
        <v>2312</v>
      </c>
      <c r="G163" s="9" t="s">
        <v>2687</v>
      </c>
      <c r="H163" s="3">
        <f t="shared" si="8"/>
        <v>260.375</v>
      </c>
      <c r="I163" s="3">
        <v>41.66</v>
      </c>
    </row>
    <row r="164" spans="1:12">
      <c r="A164" t="s">
        <v>2506</v>
      </c>
      <c r="B164" s="1">
        <v>41455</v>
      </c>
      <c r="C164" t="s">
        <v>3588</v>
      </c>
      <c r="D164">
        <v>1</v>
      </c>
      <c r="E164" t="s">
        <v>1455</v>
      </c>
      <c r="F164" s="9" t="s">
        <v>869</v>
      </c>
      <c r="G164" s="9" t="s">
        <v>1455</v>
      </c>
      <c r="H164" s="3">
        <f t="shared" si="8"/>
        <v>113.25</v>
      </c>
      <c r="I164" s="3">
        <v>18.12</v>
      </c>
    </row>
    <row r="165" spans="1:12">
      <c r="A165" t="s">
        <v>341</v>
      </c>
      <c r="B165" s="1">
        <v>41453</v>
      </c>
      <c r="C165" t="s">
        <v>3731</v>
      </c>
      <c r="D165">
        <v>1</v>
      </c>
      <c r="E165" t="s">
        <v>3732</v>
      </c>
      <c r="F165" s="67" t="s">
        <v>829</v>
      </c>
      <c r="G165" s="68" t="s">
        <v>6</v>
      </c>
      <c r="H165" s="3">
        <f t="shared" si="8"/>
        <v>616050.5</v>
      </c>
      <c r="I165" s="3">
        <v>98568.08</v>
      </c>
    </row>
    <row r="166" spans="1:12">
      <c r="A166" t="s">
        <v>3658</v>
      </c>
      <c r="B166" s="1">
        <v>41431</v>
      </c>
      <c r="C166" t="s">
        <v>3659</v>
      </c>
      <c r="D166">
        <v>2</v>
      </c>
      <c r="E166" t="s">
        <v>94</v>
      </c>
      <c r="F166" s="9" t="s">
        <v>868</v>
      </c>
      <c r="G166" s="9" t="s">
        <v>94</v>
      </c>
      <c r="H166" s="3">
        <f t="shared" si="8"/>
        <v>22300</v>
      </c>
      <c r="I166" s="3">
        <v>3568</v>
      </c>
    </row>
    <row r="167" spans="1:12">
      <c r="A167" t="s">
        <v>1237</v>
      </c>
      <c r="B167" s="1">
        <v>41451</v>
      </c>
      <c r="C167" t="s">
        <v>3706</v>
      </c>
      <c r="D167">
        <v>2</v>
      </c>
      <c r="E167" t="s">
        <v>94</v>
      </c>
      <c r="F167" s="9" t="s">
        <v>868</v>
      </c>
      <c r="G167" s="9" t="s">
        <v>94</v>
      </c>
      <c r="H167" s="3">
        <f t="shared" si="8"/>
        <v>14250</v>
      </c>
      <c r="I167" s="3">
        <v>2280</v>
      </c>
    </row>
    <row r="168" spans="1:12">
      <c r="A168" t="s">
        <v>297</v>
      </c>
      <c r="B168" s="1">
        <v>41453</v>
      </c>
      <c r="C168" t="s">
        <v>3717</v>
      </c>
      <c r="D168">
        <v>2</v>
      </c>
      <c r="E168" t="s">
        <v>94</v>
      </c>
      <c r="F168" s="9" t="s">
        <v>868</v>
      </c>
      <c r="G168" s="9" t="s">
        <v>94</v>
      </c>
      <c r="H168" s="3">
        <f t="shared" si="8"/>
        <v>12300</v>
      </c>
      <c r="I168" s="3">
        <v>1968</v>
      </c>
    </row>
    <row r="169" spans="1:12">
      <c r="A169" t="s">
        <v>3114</v>
      </c>
      <c r="B169" s="1">
        <v>41455</v>
      </c>
      <c r="C169" t="s">
        <v>3623</v>
      </c>
      <c r="D169">
        <v>1</v>
      </c>
      <c r="E169" t="s">
        <v>3624</v>
      </c>
      <c r="F169" s="9" t="s">
        <v>3763</v>
      </c>
      <c r="G169" s="9" t="s">
        <v>3624</v>
      </c>
      <c r="H169" s="3">
        <f t="shared" si="8"/>
        <v>206.875</v>
      </c>
      <c r="I169" s="3">
        <v>33.1</v>
      </c>
    </row>
    <row r="170" spans="1:12">
      <c r="A170" t="s">
        <v>1424</v>
      </c>
      <c r="B170" s="1">
        <v>41455</v>
      </c>
      <c r="C170" t="s">
        <v>3615</v>
      </c>
      <c r="D170">
        <v>1</v>
      </c>
      <c r="E170" t="s">
        <v>3616</v>
      </c>
      <c r="F170" s="9" t="s">
        <v>3764</v>
      </c>
      <c r="G170" s="9" t="s">
        <v>3616</v>
      </c>
      <c r="H170" s="3">
        <f t="shared" si="8"/>
        <v>110.31249999999999</v>
      </c>
      <c r="I170" s="3">
        <v>17.649999999999999</v>
      </c>
    </row>
    <row r="171" spans="1:12">
      <c r="A171" t="s">
        <v>3411</v>
      </c>
      <c r="B171" s="1">
        <v>41431</v>
      </c>
      <c r="C171" t="s">
        <v>3412</v>
      </c>
      <c r="D171">
        <v>1</v>
      </c>
      <c r="E171" t="s">
        <v>3413</v>
      </c>
      <c r="F171" s="25" t="s">
        <v>873</v>
      </c>
      <c r="G171" s="26" t="s">
        <v>874</v>
      </c>
      <c r="H171" s="3">
        <f t="shared" si="8"/>
        <v>299262.375</v>
      </c>
      <c r="I171" s="3">
        <v>47881.98</v>
      </c>
    </row>
    <row r="172" spans="1:12">
      <c r="A172" t="s">
        <v>2011</v>
      </c>
      <c r="B172" s="1">
        <v>41455</v>
      </c>
      <c r="C172" t="s">
        <v>3576</v>
      </c>
      <c r="D172">
        <v>1</v>
      </c>
      <c r="E172" t="s">
        <v>3577</v>
      </c>
      <c r="F172" s="9" t="s">
        <v>778</v>
      </c>
      <c r="G172" s="9" t="s">
        <v>3765</v>
      </c>
      <c r="H172" s="3">
        <f t="shared" si="8"/>
        <v>1150</v>
      </c>
      <c r="I172" s="3">
        <v>184</v>
      </c>
    </row>
    <row r="173" spans="1:12">
      <c r="A173" t="s">
        <v>75</v>
      </c>
      <c r="B173" s="1">
        <v>41432</v>
      </c>
      <c r="C173" t="s">
        <v>3665</v>
      </c>
      <c r="D173">
        <v>1</v>
      </c>
      <c r="E173" t="s">
        <v>306</v>
      </c>
      <c r="F173" s="12" t="s">
        <v>876</v>
      </c>
      <c r="G173" s="9" t="s">
        <v>306</v>
      </c>
      <c r="H173" s="3">
        <f t="shared" si="8"/>
        <v>32284.500000000004</v>
      </c>
      <c r="I173" s="3">
        <v>5165.5200000000004</v>
      </c>
    </row>
    <row r="174" spans="1:12">
      <c r="A174" t="s">
        <v>2754</v>
      </c>
      <c r="B174" s="1">
        <v>41444</v>
      </c>
      <c r="C174" t="s">
        <v>3684</v>
      </c>
      <c r="D174">
        <v>1</v>
      </c>
      <c r="E174" t="s">
        <v>223</v>
      </c>
      <c r="F174" s="69" t="s">
        <v>877</v>
      </c>
      <c r="G174" s="28" t="s">
        <v>223</v>
      </c>
      <c r="H174" s="3">
        <f t="shared" si="8"/>
        <v>21324.4375</v>
      </c>
      <c r="I174" s="3">
        <v>3411.91</v>
      </c>
      <c r="J174" s="14" t="e">
        <f>+H174-#REF!</f>
        <v>#REF!</v>
      </c>
      <c r="K174" s="14" t="e">
        <f>+I174-#REF!</f>
        <v>#REF!</v>
      </c>
      <c r="L174" t="s">
        <v>900</v>
      </c>
    </row>
    <row r="175" spans="1:12">
      <c r="A175" t="s">
        <v>304</v>
      </c>
      <c r="B175" s="1">
        <v>41453</v>
      </c>
      <c r="C175" t="s">
        <v>3722</v>
      </c>
      <c r="D175">
        <v>1</v>
      </c>
      <c r="E175" t="s">
        <v>223</v>
      </c>
      <c r="F175" s="28" t="s">
        <v>877</v>
      </c>
      <c r="G175" s="28" t="s">
        <v>223</v>
      </c>
      <c r="H175" s="3">
        <f t="shared" si="8"/>
        <v>11550</v>
      </c>
      <c r="I175" s="3">
        <v>1848</v>
      </c>
    </row>
    <row r="176" spans="1:12">
      <c r="A176" t="s">
        <v>205</v>
      </c>
      <c r="B176" s="1">
        <v>41446</v>
      </c>
      <c r="C176" t="s">
        <v>3690</v>
      </c>
      <c r="D176">
        <v>1</v>
      </c>
      <c r="E176" t="s">
        <v>968</v>
      </c>
      <c r="F176" s="9" t="s">
        <v>1632</v>
      </c>
      <c r="G176" s="9" t="s">
        <v>968</v>
      </c>
      <c r="H176" s="3">
        <f t="shared" si="8"/>
        <v>13687.687500000002</v>
      </c>
      <c r="I176" s="3">
        <v>2190.0300000000002</v>
      </c>
    </row>
    <row r="177" spans="1:10">
      <c r="A177" t="s">
        <v>227</v>
      </c>
      <c r="B177" s="1">
        <v>41446</v>
      </c>
      <c r="C177" t="s">
        <v>3699</v>
      </c>
      <c r="D177">
        <v>1</v>
      </c>
      <c r="E177" t="s">
        <v>968</v>
      </c>
      <c r="F177" s="9" t="s">
        <v>1632</v>
      </c>
      <c r="G177" s="9" t="s">
        <v>968</v>
      </c>
      <c r="H177" s="3">
        <f t="shared" si="8"/>
        <v>6445</v>
      </c>
      <c r="I177" s="3">
        <v>1031.2</v>
      </c>
    </row>
    <row r="178" spans="1:10">
      <c r="A178" t="s">
        <v>2024</v>
      </c>
      <c r="B178" s="1">
        <v>41455</v>
      </c>
      <c r="C178" t="s">
        <v>3585</v>
      </c>
      <c r="D178">
        <v>1</v>
      </c>
      <c r="E178" t="s">
        <v>535</v>
      </c>
      <c r="F178" s="9" t="s">
        <v>884</v>
      </c>
      <c r="G178" s="9" t="s">
        <v>535</v>
      </c>
      <c r="H178" s="3">
        <f t="shared" si="8"/>
        <v>344.8125</v>
      </c>
      <c r="I178" s="3">
        <v>55.17</v>
      </c>
    </row>
    <row r="179" spans="1:10">
      <c r="A179" t="s">
        <v>2060</v>
      </c>
      <c r="B179" s="1">
        <v>41455</v>
      </c>
      <c r="C179" t="s">
        <v>3613</v>
      </c>
      <c r="D179">
        <v>1</v>
      </c>
      <c r="E179" t="s">
        <v>535</v>
      </c>
      <c r="F179" s="9" t="s">
        <v>884</v>
      </c>
      <c r="G179" s="9" t="s">
        <v>535</v>
      </c>
      <c r="H179" s="3">
        <f t="shared" si="8"/>
        <v>344.8125</v>
      </c>
      <c r="I179" s="3">
        <v>55.17</v>
      </c>
    </row>
    <row r="180" spans="1:10">
      <c r="A180" t="s">
        <v>1941</v>
      </c>
      <c r="B180" s="1">
        <v>41455</v>
      </c>
      <c r="C180" t="s">
        <v>3528</v>
      </c>
      <c r="D180">
        <v>1</v>
      </c>
      <c r="E180" t="s">
        <v>3529</v>
      </c>
      <c r="F180" s="30" t="s">
        <v>886</v>
      </c>
      <c r="G180" s="31" t="s">
        <v>887</v>
      </c>
      <c r="H180" s="3">
        <f t="shared" si="8"/>
        <v>259912.6875</v>
      </c>
      <c r="I180" s="3">
        <v>41586.03</v>
      </c>
    </row>
    <row r="181" spans="1:10">
      <c r="A181" t="s">
        <v>3403</v>
      </c>
      <c r="B181" s="1">
        <v>41428</v>
      </c>
      <c r="C181" t="s">
        <v>3404</v>
      </c>
      <c r="D181">
        <v>1</v>
      </c>
      <c r="E181" t="s">
        <v>6</v>
      </c>
      <c r="F181" s="30" t="s">
        <v>886</v>
      </c>
      <c r="G181" s="31" t="s">
        <v>887</v>
      </c>
      <c r="H181" s="3">
        <f t="shared" si="8"/>
        <v>168750.3125</v>
      </c>
      <c r="I181" s="3">
        <v>27000.05</v>
      </c>
    </row>
    <row r="182" spans="1:10">
      <c r="A182" t="s">
        <v>3405</v>
      </c>
      <c r="B182" s="1">
        <v>41428</v>
      </c>
      <c r="C182" t="s">
        <v>3406</v>
      </c>
      <c r="D182">
        <v>1</v>
      </c>
      <c r="E182" t="s">
        <v>6</v>
      </c>
      <c r="F182" s="30" t="s">
        <v>886</v>
      </c>
      <c r="G182" s="31" t="s">
        <v>887</v>
      </c>
      <c r="H182" s="3">
        <f t="shared" ref="H182:H213" si="9">+I182/0.16</f>
        <v>180602.62499999997</v>
      </c>
      <c r="I182" s="3">
        <v>28896.42</v>
      </c>
    </row>
    <row r="183" spans="1:10">
      <c r="A183" t="s">
        <v>3407</v>
      </c>
      <c r="B183" s="1">
        <v>41428</v>
      </c>
      <c r="C183" t="s">
        <v>3408</v>
      </c>
      <c r="D183">
        <v>1</v>
      </c>
      <c r="E183" t="s">
        <v>6</v>
      </c>
      <c r="F183" s="30" t="s">
        <v>886</v>
      </c>
      <c r="G183" s="31" t="s">
        <v>887</v>
      </c>
      <c r="H183" s="3">
        <f t="shared" si="9"/>
        <v>180602.62499999997</v>
      </c>
      <c r="I183" s="3">
        <v>28896.42</v>
      </c>
    </row>
    <row r="184" spans="1:10">
      <c r="A184" t="s">
        <v>3409</v>
      </c>
      <c r="B184" s="1">
        <v>41428</v>
      </c>
      <c r="C184" t="s">
        <v>3058</v>
      </c>
      <c r="D184">
        <v>1</v>
      </c>
      <c r="E184" t="s">
        <v>6</v>
      </c>
      <c r="F184" s="30" t="s">
        <v>886</v>
      </c>
      <c r="G184" s="31" t="s">
        <v>887</v>
      </c>
      <c r="H184" s="3">
        <f t="shared" si="9"/>
        <v>-277621.375</v>
      </c>
      <c r="I184" s="3">
        <v>-44419.42</v>
      </c>
      <c r="J184" s="2"/>
    </row>
    <row r="185" spans="1:10">
      <c r="A185" t="s">
        <v>3410</v>
      </c>
      <c r="B185" s="1">
        <v>41430</v>
      </c>
      <c r="C185" t="s">
        <v>3070</v>
      </c>
      <c r="D185">
        <v>1</v>
      </c>
      <c r="E185" t="s">
        <v>6</v>
      </c>
      <c r="F185" s="30" t="s">
        <v>886</v>
      </c>
      <c r="G185" s="31" t="s">
        <v>887</v>
      </c>
      <c r="H185" s="3">
        <f t="shared" si="9"/>
        <v>-277751.8125</v>
      </c>
      <c r="I185" s="3">
        <v>-44440.29</v>
      </c>
      <c r="J185" s="2"/>
    </row>
    <row r="186" spans="1:10">
      <c r="A186" t="s">
        <v>34</v>
      </c>
      <c r="B186" s="1">
        <v>41431</v>
      </c>
      <c r="C186" t="s">
        <v>3060</v>
      </c>
      <c r="D186">
        <v>1</v>
      </c>
      <c r="E186" t="s">
        <v>6</v>
      </c>
      <c r="F186" s="30" t="s">
        <v>886</v>
      </c>
      <c r="G186" s="31" t="s">
        <v>887</v>
      </c>
      <c r="H186" s="3">
        <f t="shared" si="9"/>
        <v>-277621.375</v>
      </c>
      <c r="I186" s="3">
        <v>-44419.42</v>
      </c>
      <c r="J186" s="2"/>
    </row>
    <row r="187" spans="1:10">
      <c r="A187" t="s">
        <v>3421</v>
      </c>
      <c r="B187" s="1">
        <v>41431</v>
      </c>
      <c r="C187" t="s">
        <v>1346</v>
      </c>
      <c r="D187">
        <v>1</v>
      </c>
      <c r="E187" t="s">
        <v>6</v>
      </c>
      <c r="F187" s="30" t="s">
        <v>886</v>
      </c>
      <c r="G187" s="31" t="s">
        <v>887</v>
      </c>
      <c r="H187" s="3">
        <f t="shared" si="9"/>
        <v>-330512.6875</v>
      </c>
      <c r="I187" s="3">
        <v>-52882.03</v>
      </c>
      <c r="J187" s="2"/>
    </row>
    <row r="188" spans="1:10">
      <c r="A188" t="s">
        <v>3422</v>
      </c>
      <c r="B188" s="1">
        <v>41432</v>
      </c>
      <c r="C188" t="s">
        <v>3423</v>
      </c>
      <c r="D188">
        <v>1</v>
      </c>
      <c r="E188" t="s">
        <v>6</v>
      </c>
      <c r="F188" s="30" t="s">
        <v>886</v>
      </c>
      <c r="G188" s="31" t="s">
        <v>887</v>
      </c>
      <c r="H188" s="3">
        <f t="shared" si="9"/>
        <v>307931.25</v>
      </c>
      <c r="I188" s="3">
        <v>49269</v>
      </c>
    </row>
    <row r="189" spans="1:10">
      <c r="A189" t="s">
        <v>3425</v>
      </c>
      <c r="B189" s="1">
        <v>41435</v>
      </c>
      <c r="C189" t="s">
        <v>3426</v>
      </c>
      <c r="D189">
        <v>1</v>
      </c>
      <c r="E189" t="s">
        <v>6</v>
      </c>
      <c r="F189" s="30" t="s">
        <v>886</v>
      </c>
      <c r="G189" s="31" t="s">
        <v>887</v>
      </c>
      <c r="H189" s="3">
        <f t="shared" si="9"/>
        <v>168750.3125</v>
      </c>
      <c r="I189" s="3">
        <v>27000.05</v>
      </c>
    </row>
    <row r="190" spans="1:10">
      <c r="A190" t="s">
        <v>3427</v>
      </c>
      <c r="B190" s="1">
        <v>41435</v>
      </c>
      <c r="C190" t="s">
        <v>3424</v>
      </c>
      <c r="D190">
        <v>1</v>
      </c>
      <c r="E190" t="s">
        <v>6</v>
      </c>
      <c r="F190" s="30" t="s">
        <v>886</v>
      </c>
      <c r="G190" s="31" t="s">
        <v>887</v>
      </c>
      <c r="H190" s="3">
        <f t="shared" si="9"/>
        <v>288927.5</v>
      </c>
      <c r="I190" s="3">
        <v>46228.4</v>
      </c>
    </row>
    <row r="191" spans="1:10">
      <c r="A191" t="s">
        <v>3432</v>
      </c>
      <c r="B191" s="1">
        <v>41436</v>
      </c>
      <c r="C191" t="s">
        <v>3433</v>
      </c>
      <c r="D191">
        <v>1</v>
      </c>
      <c r="E191" t="s">
        <v>6</v>
      </c>
      <c r="F191" s="30" t="s">
        <v>886</v>
      </c>
      <c r="G191" s="31" t="s">
        <v>887</v>
      </c>
      <c r="H191" s="3">
        <f t="shared" si="9"/>
        <v>221634.8125</v>
      </c>
      <c r="I191" s="3">
        <v>35461.57</v>
      </c>
    </row>
    <row r="192" spans="1:10">
      <c r="A192" t="s">
        <v>1083</v>
      </c>
      <c r="B192" s="1">
        <v>41436</v>
      </c>
      <c r="C192" t="s">
        <v>3434</v>
      </c>
      <c r="D192">
        <v>1</v>
      </c>
      <c r="E192" t="s">
        <v>6</v>
      </c>
      <c r="F192" s="30" t="s">
        <v>886</v>
      </c>
      <c r="G192" s="31" t="s">
        <v>887</v>
      </c>
      <c r="H192" s="3">
        <f t="shared" si="9"/>
        <v>330512.6875</v>
      </c>
      <c r="I192" s="3">
        <v>52882.03</v>
      </c>
    </row>
    <row r="193" spans="1:9">
      <c r="A193" t="s">
        <v>3435</v>
      </c>
      <c r="B193" s="1">
        <v>41437</v>
      </c>
      <c r="C193" t="s">
        <v>3436</v>
      </c>
      <c r="D193">
        <v>1</v>
      </c>
      <c r="E193" t="s">
        <v>6</v>
      </c>
      <c r="F193" s="30" t="s">
        <v>886</v>
      </c>
      <c r="G193" s="31" t="s">
        <v>887</v>
      </c>
      <c r="H193" s="3">
        <f t="shared" si="9"/>
        <v>277621.375</v>
      </c>
      <c r="I193" s="3">
        <v>44419.42</v>
      </c>
    </row>
    <row r="194" spans="1:9">
      <c r="A194" t="s">
        <v>3437</v>
      </c>
      <c r="B194" s="1">
        <v>41437</v>
      </c>
      <c r="C194" t="s">
        <v>3438</v>
      </c>
      <c r="D194">
        <v>1</v>
      </c>
      <c r="E194" t="s">
        <v>6</v>
      </c>
      <c r="F194" s="30" t="s">
        <v>886</v>
      </c>
      <c r="G194" s="31" t="s">
        <v>887</v>
      </c>
      <c r="H194" s="3">
        <f t="shared" si="9"/>
        <v>309447.5</v>
      </c>
      <c r="I194" s="3">
        <v>49511.6</v>
      </c>
    </row>
    <row r="195" spans="1:9">
      <c r="A195" t="s">
        <v>3439</v>
      </c>
      <c r="B195" s="1">
        <v>41437</v>
      </c>
      <c r="C195" t="s">
        <v>3440</v>
      </c>
      <c r="D195">
        <v>1</v>
      </c>
      <c r="E195" t="s">
        <v>6</v>
      </c>
      <c r="F195" s="30" t="s">
        <v>886</v>
      </c>
      <c r="G195" s="31" t="s">
        <v>887</v>
      </c>
      <c r="H195" s="3">
        <f t="shared" si="9"/>
        <v>314431.625</v>
      </c>
      <c r="I195" s="3">
        <v>50309.06</v>
      </c>
    </row>
    <row r="196" spans="1:9">
      <c r="A196" t="s">
        <v>3441</v>
      </c>
      <c r="B196" s="1">
        <v>41437</v>
      </c>
      <c r="C196" t="s">
        <v>3442</v>
      </c>
      <c r="D196">
        <v>1</v>
      </c>
      <c r="E196" t="s">
        <v>6</v>
      </c>
      <c r="F196" s="30" t="s">
        <v>886</v>
      </c>
      <c r="G196" s="31" t="s">
        <v>887</v>
      </c>
      <c r="H196" s="3">
        <f t="shared" si="9"/>
        <v>309447.5</v>
      </c>
      <c r="I196" s="3">
        <v>49511.6</v>
      </c>
    </row>
    <row r="197" spans="1:9">
      <c r="A197" t="s">
        <v>3443</v>
      </c>
      <c r="B197" s="1">
        <v>41437</v>
      </c>
      <c r="C197" t="s">
        <v>3444</v>
      </c>
      <c r="D197">
        <v>1</v>
      </c>
      <c r="E197" t="s">
        <v>6</v>
      </c>
      <c r="F197" s="30" t="s">
        <v>886</v>
      </c>
      <c r="G197" s="31" t="s">
        <v>887</v>
      </c>
      <c r="H197" s="3">
        <f t="shared" si="9"/>
        <v>288927.5</v>
      </c>
      <c r="I197" s="3">
        <v>46228.4</v>
      </c>
    </row>
    <row r="198" spans="1:9">
      <c r="A198" t="s">
        <v>3445</v>
      </c>
      <c r="B198" s="1">
        <v>41437</v>
      </c>
      <c r="C198" t="s">
        <v>3446</v>
      </c>
      <c r="D198">
        <v>1</v>
      </c>
      <c r="E198" t="s">
        <v>6</v>
      </c>
      <c r="F198" s="30" t="s">
        <v>886</v>
      </c>
      <c r="G198" s="31" t="s">
        <v>887</v>
      </c>
      <c r="H198" s="3">
        <f t="shared" si="9"/>
        <v>221634.8125</v>
      </c>
      <c r="I198" s="3">
        <v>35461.57</v>
      </c>
    </row>
    <row r="199" spans="1:9">
      <c r="A199" t="s">
        <v>3447</v>
      </c>
      <c r="B199" s="1">
        <v>41437</v>
      </c>
      <c r="C199" t="s">
        <v>3448</v>
      </c>
      <c r="D199">
        <v>1</v>
      </c>
      <c r="E199" t="s">
        <v>6</v>
      </c>
      <c r="F199" s="30" t="s">
        <v>886</v>
      </c>
      <c r="G199" s="31" t="s">
        <v>887</v>
      </c>
      <c r="H199" s="3">
        <f t="shared" si="9"/>
        <v>309447.5</v>
      </c>
      <c r="I199" s="3">
        <v>49511.6</v>
      </c>
    </row>
    <row r="200" spans="1:9">
      <c r="A200" t="s">
        <v>3449</v>
      </c>
      <c r="B200" s="1">
        <v>41437</v>
      </c>
      <c r="C200" t="s">
        <v>3450</v>
      </c>
      <c r="D200">
        <v>1</v>
      </c>
      <c r="E200" t="s">
        <v>6</v>
      </c>
      <c r="F200" s="30" t="s">
        <v>886</v>
      </c>
      <c r="G200" s="31" t="s">
        <v>887</v>
      </c>
      <c r="H200" s="3">
        <f t="shared" si="9"/>
        <v>288927.5</v>
      </c>
      <c r="I200" s="3">
        <v>46228.4</v>
      </c>
    </row>
    <row r="201" spans="1:9">
      <c r="A201" t="s">
        <v>3451</v>
      </c>
      <c r="B201" s="1">
        <v>41438</v>
      </c>
      <c r="C201" t="s">
        <v>3452</v>
      </c>
      <c r="D201">
        <v>1</v>
      </c>
      <c r="E201" t="s">
        <v>6</v>
      </c>
      <c r="F201" s="30" t="s">
        <v>886</v>
      </c>
      <c r="G201" s="31" t="s">
        <v>887</v>
      </c>
      <c r="H201" s="3">
        <f t="shared" si="9"/>
        <v>259912.62499999997</v>
      </c>
      <c r="I201" s="3">
        <v>41586.019999999997</v>
      </c>
    </row>
    <row r="202" spans="1:9">
      <c r="A202" t="s">
        <v>3463</v>
      </c>
      <c r="B202" s="1">
        <v>41444</v>
      </c>
      <c r="C202" t="s">
        <v>3464</v>
      </c>
      <c r="D202">
        <v>1</v>
      </c>
      <c r="E202" t="s">
        <v>6</v>
      </c>
      <c r="F202" s="30" t="s">
        <v>886</v>
      </c>
      <c r="G202" s="31" t="s">
        <v>887</v>
      </c>
      <c r="H202" s="3">
        <f t="shared" si="9"/>
        <v>161302.0625</v>
      </c>
      <c r="I202" s="3">
        <v>25808.33</v>
      </c>
    </row>
    <row r="203" spans="1:9">
      <c r="A203" t="s">
        <v>239</v>
      </c>
      <c r="B203" s="1">
        <v>41444</v>
      </c>
      <c r="C203" t="s">
        <v>3465</v>
      </c>
      <c r="D203">
        <v>1</v>
      </c>
      <c r="E203" t="s">
        <v>6</v>
      </c>
      <c r="F203" s="30" t="s">
        <v>886</v>
      </c>
      <c r="G203" s="31" t="s">
        <v>887</v>
      </c>
      <c r="H203" s="3">
        <f t="shared" si="9"/>
        <v>161302.0625</v>
      </c>
      <c r="I203" s="3">
        <v>25808.33</v>
      </c>
    </row>
    <row r="204" spans="1:9">
      <c r="A204" t="s">
        <v>3466</v>
      </c>
      <c r="B204" s="1">
        <v>41444</v>
      </c>
      <c r="C204" t="s">
        <v>3467</v>
      </c>
      <c r="D204">
        <v>1</v>
      </c>
      <c r="E204" t="s">
        <v>6</v>
      </c>
      <c r="F204" s="30" t="s">
        <v>886</v>
      </c>
      <c r="G204" s="31" t="s">
        <v>887</v>
      </c>
      <c r="H204" s="3">
        <f t="shared" si="9"/>
        <v>180602.62499999997</v>
      </c>
      <c r="I204" s="3">
        <v>28896.42</v>
      </c>
    </row>
    <row r="205" spans="1:9">
      <c r="A205" t="s">
        <v>3471</v>
      </c>
      <c r="B205" s="1">
        <v>41444</v>
      </c>
      <c r="C205" t="s">
        <v>3472</v>
      </c>
      <c r="D205">
        <v>1</v>
      </c>
      <c r="E205" t="s">
        <v>6</v>
      </c>
      <c r="F205" s="30" t="s">
        <v>886</v>
      </c>
      <c r="G205" s="31" t="s">
        <v>887</v>
      </c>
      <c r="H205" s="3">
        <f t="shared" si="9"/>
        <v>277621.375</v>
      </c>
      <c r="I205" s="3">
        <v>44419.42</v>
      </c>
    </row>
    <row r="206" spans="1:9">
      <c r="A206" t="s">
        <v>1249</v>
      </c>
      <c r="B206" s="1">
        <v>41447</v>
      </c>
      <c r="C206" t="s">
        <v>3476</v>
      </c>
      <c r="D206">
        <v>1</v>
      </c>
      <c r="E206" t="s">
        <v>6</v>
      </c>
      <c r="F206" s="30" t="s">
        <v>886</v>
      </c>
      <c r="G206" s="31" t="s">
        <v>887</v>
      </c>
      <c r="H206" s="3">
        <f t="shared" si="9"/>
        <v>309447.5</v>
      </c>
      <c r="I206" s="3">
        <v>49511.6</v>
      </c>
    </row>
    <row r="207" spans="1:9">
      <c r="A207" t="s">
        <v>3477</v>
      </c>
      <c r="B207" s="1">
        <v>41447</v>
      </c>
      <c r="C207" t="s">
        <v>3478</v>
      </c>
      <c r="D207">
        <v>1</v>
      </c>
      <c r="E207" t="s">
        <v>6</v>
      </c>
      <c r="F207" s="30" t="s">
        <v>886</v>
      </c>
      <c r="G207" s="31" t="s">
        <v>887</v>
      </c>
      <c r="H207" s="3">
        <f t="shared" si="9"/>
        <v>259056.9375</v>
      </c>
      <c r="I207" s="3">
        <v>41449.11</v>
      </c>
    </row>
    <row r="208" spans="1:9">
      <c r="A208" t="s">
        <v>3479</v>
      </c>
      <c r="B208" s="1">
        <v>41447</v>
      </c>
      <c r="C208" t="s">
        <v>3480</v>
      </c>
      <c r="D208">
        <v>1</v>
      </c>
      <c r="E208" t="s">
        <v>6</v>
      </c>
      <c r="F208" s="30" t="s">
        <v>886</v>
      </c>
      <c r="G208" s="31" t="s">
        <v>887</v>
      </c>
      <c r="H208" s="3">
        <f t="shared" si="9"/>
        <v>309447.5</v>
      </c>
      <c r="I208" s="3">
        <v>49511.6</v>
      </c>
    </row>
    <row r="209" spans="1:12">
      <c r="A209" t="s">
        <v>3481</v>
      </c>
      <c r="B209" s="1">
        <v>41447</v>
      </c>
      <c r="C209" t="s">
        <v>3482</v>
      </c>
      <c r="D209">
        <v>1</v>
      </c>
      <c r="E209" t="s">
        <v>6</v>
      </c>
      <c r="F209" s="30" t="s">
        <v>886</v>
      </c>
      <c r="G209" s="31" t="s">
        <v>887</v>
      </c>
      <c r="H209" s="3">
        <f t="shared" si="9"/>
        <v>259056.9375</v>
      </c>
      <c r="I209" s="3">
        <v>41449.11</v>
      </c>
    </row>
    <row r="210" spans="1:12">
      <c r="A210" t="s">
        <v>2452</v>
      </c>
      <c r="B210" s="1">
        <v>41447</v>
      </c>
      <c r="C210" t="s">
        <v>3483</v>
      </c>
      <c r="D210">
        <v>1</v>
      </c>
      <c r="E210" t="s">
        <v>6</v>
      </c>
      <c r="F210" s="30" t="s">
        <v>886</v>
      </c>
      <c r="G210" s="31" t="s">
        <v>887</v>
      </c>
      <c r="H210" s="3">
        <f t="shared" si="9"/>
        <v>259056.9375</v>
      </c>
      <c r="I210" s="3">
        <v>41449.11</v>
      </c>
    </row>
    <row r="211" spans="1:12">
      <c r="A211" t="s">
        <v>1845</v>
      </c>
      <c r="B211" s="1">
        <v>41447</v>
      </c>
      <c r="C211" t="s">
        <v>3484</v>
      </c>
      <c r="D211">
        <v>1</v>
      </c>
      <c r="E211" t="s">
        <v>6</v>
      </c>
      <c r="F211" s="30" t="s">
        <v>886</v>
      </c>
      <c r="G211" s="31" t="s">
        <v>887</v>
      </c>
      <c r="H211" s="3">
        <f t="shared" si="9"/>
        <v>309447.5</v>
      </c>
      <c r="I211" s="3">
        <v>49511.6</v>
      </c>
    </row>
    <row r="212" spans="1:12">
      <c r="A212" t="s">
        <v>3015</v>
      </c>
      <c r="B212" s="1">
        <v>41447</v>
      </c>
      <c r="C212" t="s">
        <v>3485</v>
      </c>
      <c r="D212">
        <v>1</v>
      </c>
      <c r="E212" t="s">
        <v>6</v>
      </c>
      <c r="F212" s="30" t="s">
        <v>886</v>
      </c>
      <c r="G212" s="31" t="s">
        <v>887</v>
      </c>
      <c r="H212" s="3">
        <f t="shared" si="9"/>
        <v>277621.375</v>
      </c>
      <c r="I212" s="3">
        <v>44419.42</v>
      </c>
    </row>
    <row r="213" spans="1:12">
      <c r="A213" t="s">
        <v>1924</v>
      </c>
      <c r="B213" s="1">
        <v>41454</v>
      </c>
      <c r="C213" t="s">
        <v>3503</v>
      </c>
      <c r="D213">
        <v>1</v>
      </c>
      <c r="E213" t="s">
        <v>6</v>
      </c>
      <c r="F213" s="30" t="s">
        <v>886</v>
      </c>
      <c r="G213" s="31" t="s">
        <v>887</v>
      </c>
      <c r="H213" s="3">
        <f t="shared" si="9"/>
        <v>277621.375</v>
      </c>
      <c r="I213" s="3">
        <v>44419.42</v>
      </c>
    </row>
    <row r="214" spans="1:12">
      <c r="A214" t="s">
        <v>87</v>
      </c>
      <c r="B214" s="1">
        <v>41435</v>
      </c>
      <c r="C214" t="s">
        <v>3666</v>
      </c>
      <c r="D214">
        <v>1</v>
      </c>
      <c r="E214" t="s">
        <v>6</v>
      </c>
      <c r="F214" s="67" t="s">
        <v>829</v>
      </c>
      <c r="G214" s="68" t="s">
        <v>6</v>
      </c>
      <c r="H214" s="3">
        <f t="shared" ref="H214" si="10">+I214/0.16</f>
        <v>368512.875</v>
      </c>
      <c r="I214" s="3">
        <v>58962.06</v>
      </c>
    </row>
    <row r="215" spans="1:12">
      <c r="A215" t="s">
        <v>1951</v>
      </c>
      <c r="B215" s="1">
        <v>41455</v>
      </c>
      <c r="C215" t="s">
        <v>3530</v>
      </c>
      <c r="D215">
        <v>1</v>
      </c>
      <c r="E215" t="s">
        <v>3531</v>
      </c>
      <c r="F215" s="33" t="s">
        <v>948</v>
      </c>
      <c r="G215" s="33" t="s">
        <v>947</v>
      </c>
      <c r="H215" s="46">
        <f t="shared" ref="H215:H278" si="11">I215/0.16</f>
        <v>187.75</v>
      </c>
      <c r="I215" s="46">
        <f>26.07+3.97</f>
        <v>30.04</v>
      </c>
      <c r="J215" s="3"/>
      <c r="K215" s="3"/>
    </row>
    <row r="216" spans="1:12">
      <c r="A216" t="s">
        <v>1951</v>
      </c>
      <c r="B216" s="1">
        <v>41455</v>
      </c>
      <c r="C216" t="s">
        <v>3530</v>
      </c>
      <c r="D216">
        <v>1</v>
      </c>
      <c r="E216" t="s">
        <v>3531</v>
      </c>
      <c r="F216" s="28" t="s">
        <v>3766</v>
      </c>
      <c r="G216" s="28" t="s">
        <v>3767</v>
      </c>
      <c r="H216" s="47">
        <f t="shared" si="11"/>
        <v>434.25</v>
      </c>
      <c r="I216" s="47">
        <v>69.48</v>
      </c>
    </row>
    <row r="217" spans="1:12">
      <c r="A217" t="s">
        <v>1951</v>
      </c>
      <c r="B217" s="1">
        <v>41455</v>
      </c>
      <c r="C217" t="s">
        <v>3530</v>
      </c>
      <c r="D217">
        <v>1</v>
      </c>
      <c r="E217" t="s">
        <v>3531</v>
      </c>
      <c r="F217" s="9" t="s">
        <v>3768</v>
      </c>
      <c r="G217" s="9" t="s">
        <v>3769</v>
      </c>
      <c r="H217" s="65">
        <f t="shared" si="11"/>
        <v>334</v>
      </c>
      <c r="I217" s="65">
        <v>53.44</v>
      </c>
      <c r="J217" s="14">
        <f>956-H215-H216-H217</f>
        <v>0</v>
      </c>
      <c r="K217" s="14">
        <f>152.96-I215-I216-I217</f>
        <v>0</v>
      </c>
      <c r="L217" t="s">
        <v>900</v>
      </c>
    </row>
    <row r="218" spans="1:12">
      <c r="A218" t="s">
        <v>3122</v>
      </c>
      <c r="B218" s="1">
        <v>41455</v>
      </c>
      <c r="C218" t="s">
        <v>3629</v>
      </c>
      <c r="D218">
        <v>1</v>
      </c>
      <c r="E218" t="s">
        <v>3630</v>
      </c>
      <c r="F218" s="33" t="s">
        <v>948</v>
      </c>
      <c r="G218" t="s">
        <v>947</v>
      </c>
      <c r="H218" s="46">
        <f t="shared" si="11"/>
        <v>237.5</v>
      </c>
      <c r="I218" s="46">
        <f>35.79+2.21</f>
        <v>38</v>
      </c>
      <c r="J218" s="3"/>
      <c r="K218" s="3"/>
    </row>
    <row r="219" spans="1:12">
      <c r="A219" t="s">
        <v>3122</v>
      </c>
      <c r="B219" s="1">
        <v>41455</v>
      </c>
      <c r="C219" t="s">
        <v>3629</v>
      </c>
      <c r="D219">
        <v>1</v>
      </c>
      <c r="E219" t="s">
        <v>3630</v>
      </c>
      <c r="F219" s="9" t="s">
        <v>941</v>
      </c>
      <c r="G219" s="9" t="s">
        <v>942</v>
      </c>
      <c r="H219" s="65">
        <f t="shared" si="11"/>
        <v>68.9375</v>
      </c>
      <c r="I219" s="65">
        <v>11.03</v>
      </c>
    </row>
    <row r="220" spans="1:12">
      <c r="A220" t="s">
        <v>3122</v>
      </c>
      <c r="B220" s="1">
        <v>41455</v>
      </c>
      <c r="C220" t="s">
        <v>3629</v>
      </c>
      <c r="D220">
        <v>1</v>
      </c>
      <c r="E220" t="s">
        <v>3630</v>
      </c>
      <c r="F220" s="9" t="s">
        <v>2851</v>
      </c>
      <c r="G220" s="9" t="s">
        <v>2852</v>
      </c>
      <c r="H220" s="65">
        <f t="shared" si="11"/>
        <v>334.0625</v>
      </c>
      <c r="I220" s="65">
        <v>53.45</v>
      </c>
      <c r="J220" s="14">
        <f>640.5-H218-H219-H220</f>
        <v>0</v>
      </c>
      <c r="K220" s="14">
        <f>102.48-I218-I219-I220</f>
        <v>0</v>
      </c>
      <c r="L220" t="s">
        <v>900</v>
      </c>
    </row>
    <row r="221" spans="1:12">
      <c r="A221" t="s">
        <v>3538</v>
      </c>
      <c r="B221" s="1">
        <v>41455</v>
      </c>
      <c r="C221" t="s">
        <v>3539</v>
      </c>
      <c r="D221">
        <v>1</v>
      </c>
      <c r="E221" t="s">
        <v>3540</v>
      </c>
      <c r="F221" s="28" t="s">
        <v>3770</v>
      </c>
      <c r="G221" s="28" t="s">
        <v>3771</v>
      </c>
      <c r="H221" s="47">
        <f t="shared" si="11"/>
        <v>711.1875</v>
      </c>
      <c r="I221" s="57">
        <v>113.79</v>
      </c>
      <c r="J221" s="3"/>
      <c r="K221" s="3"/>
    </row>
    <row r="222" spans="1:12">
      <c r="A222" t="s">
        <v>3538</v>
      </c>
      <c r="B222" s="1">
        <v>41455</v>
      </c>
      <c r="C222" t="s">
        <v>3539</v>
      </c>
      <c r="D222">
        <v>1</v>
      </c>
      <c r="E222" t="s">
        <v>3540</v>
      </c>
      <c r="F222" s="28" t="s">
        <v>1655</v>
      </c>
      <c r="G222" s="28" t="s">
        <v>3772</v>
      </c>
      <c r="H222" s="47">
        <f t="shared" si="11"/>
        <v>825.75</v>
      </c>
      <c r="I222" s="57">
        <v>132.12</v>
      </c>
    </row>
    <row r="223" spans="1:12">
      <c r="A223" t="s">
        <v>3538</v>
      </c>
      <c r="B223" s="1">
        <v>41455</v>
      </c>
      <c r="C223" t="s">
        <v>3539</v>
      </c>
      <c r="D223">
        <v>1</v>
      </c>
      <c r="E223" t="s">
        <v>3540</v>
      </c>
      <c r="F223" s="9" t="s">
        <v>3773</v>
      </c>
      <c r="G223" s="9" t="s">
        <v>3774</v>
      </c>
      <c r="H223" s="65">
        <f t="shared" si="11"/>
        <v>120.68749999999999</v>
      </c>
      <c r="I223" s="80">
        <v>19.309999999999999</v>
      </c>
    </row>
    <row r="224" spans="1:12">
      <c r="A224" t="s">
        <v>3538</v>
      </c>
      <c r="B224" s="1">
        <v>41455</v>
      </c>
      <c r="C224" t="s">
        <v>3539</v>
      </c>
      <c r="D224">
        <v>1</v>
      </c>
      <c r="E224" t="s">
        <v>3540</v>
      </c>
      <c r="F224" s="9" t="s">
        <v>3775</v>
      </c>
      <c r="G224" s="9" t="s">
        <v>3776</v>
      </c>
      <c r="H224" s="65">
        <f t="shared" si="11"/>
        <v>205.87499999999997</v>
      </c>
      <c r="I224" s="80">
        <v>32.94</v>
      </c>
    </row>
    <row r="225" spans="1:12">
      <c r="A225" t="s">
        <v>3538</v>
      </c>
      <c r="B225" s="1">
        <v>41455</v>
      </c>
      <c r="C225" t="s">
        <v>3539</v>
      </c>
      <c r="D225">
        <v>1</v>
      </c>
      <c r="E225" t="s">
        <v>3540</v>
      </c>
      <c r="F225" s="33" t="s">
        <v>948</v>
      </c>
      <c r="G225" t="s">
        <v>947</v>
      </c>
      <c r="H225" s="3">
        <f t="shared" si="11"/>
        <v>409.49999999999994</v>
      </c>
      <c r="I225" s="56">
        <v>65.52</v>
      </c>
    </row>
    <row r="226" spans="1:12">
      <c r="A226" t="s">
        <v>3538</v>
      </c>
      <c r="B226" s="1">
        <v>41455</v>
      </c>
      <c r="C226" t="s">
        <v>3539</v>
      </c>
      <c r="D226">
        <v>1</v>
      </c>
      <c r="E226" t="s">
        <v>3540</v>
      </c>
      <c r="F226" s="33" t="s">
        <v>948</v>
      </c>
      <c r="G226" t="s">
        <v>947</v>
      </c>
      <c r="H226" s="3">
        <f t="shared" si="11"/>
        <v>189.25</v>
      </c>
      <c r="I226" s="56">
        <f>21.39+8.89</f>
        <v>30.28</v>
      </c>
      <c r="J226" s="14">
        <f>2462.25-H221-H222-H223-H224-H225-H226</f>
        <v>0</v>
      </c>
      <c r="K226" s="14">
        <f>393.96-I221-I222-I223-I224-I225-I226</f>
        <v>-4.2632564145606011E-14</v>
      </c>
      <c r="L226" t="s">
        <v>900</v>
      </c>
    </row>
    <row r="227" spans="1:12">
      <c r="A227" t="s">
        <v>3557</v>
      </c>
      <c r="B227" s="1">
        <v>41455</v>
      </c>
      <c r="C227" t="s">
        <v>3558</v>
      </c>
      <c r="D227">
        <v>1</v>
      </c>
      <c r="E227" t="s">
        <v>3559</v>
      </c>
      <c r="F227" s="33" t="s">
        <v>948</v>
      </c>
      <c r="G227" s="33" t="s">
        <v>947</v>
      </c>
      <c r="H227" s="46">
        <f t="shared" si="11"/>
        <v>154.25</v>
      </c>
      <c r="I227" s="46">
        <f>19.73+4.95</f>
        <v>24.68</v>
      </c>
      <c r="J227" s="3"/>
      <c r="K227" s="3"/>
    </row>
    <row r="228" spans="1:12">
      <c r="A228" t="s">
        <v>3557</v>
      </c>
      <c r="B228" s="1">
        <v>41455</v>
      </c>
      <c r="C228" t="s">
        <v>3558</v>
      </c>
      <c r="D228">
        <v>1</v>
      </c>
      <c r="E228" t="s">
        <v>3559</v>
      </c>
      <c r="F228" s="9" t="s">
        <v>1706</v>
      </c>
      <c r="G228" s="9" t="s">
        <v>1707</v>
      </c>
      <c r="H228" s="65">
        <f t="shared" si="11"/>
        <v>86.187499999999986</v>
      </c>
      <c r="I228" s="65">
        <v>13.79</v>
      </c>
      <c r="J228" s="3"/>
      <c r="K228" s="3"/>
    </row>
    <row r="229" spans="1:12">
      <c r="A229" t="s">
        <v>3557</v>
      </c>
      <c r="B229" s="1">
        <v>41455</v>
      </c>
      <c r="C229" t="s">
        <v>3558</v>
      </c>
      <c r="D229">
        <v>1</v>
      </c>
      <c r="E229" t="s">
        <v>3559</v>
      </c>
      <c r="F229" s="28" t="s">
        <v>3777</v>
      </c>
      <c r="G229" s="28" t="s">
        <v>3778</v>
      </c>
      <c r="H229" s="47">
        <f t="shared" si="11"/>
        <v>568.9375</v>
      </c>
      <c r="I229" s="47">
        <v>91.03</v>
      </c>
    </row>
    <row r="230" spans="1:12">
      <c r="A230" t="s">
        <v>3557</v>
      </c>
      <c r="B230" s="1">
        <v>41455</v>
      </c>
      <c r="C230" t="s">
        <v>3558</v>
      </c>
      <c r="D230">
        <v>1</v>
      </c>
      <c r="E230" t="s">
        <v>3559</v>
      </c>
      <c r="F230" s="9" t="s">
        <v>3768</v>
      </c>
      <c r="G230" s="9" t="s">
        <v>3769</v>
      </c>
      <c r="H230" s="65">
        <f t="shared" si="11"/>
        <v>375.625</v>
      </c>
      <c r="I230" s="65">
        <v>60.1</v>
      </c>
      <c r="J230" s="14">
        <f>1185-H227-H228-H229-H230</f>
        <v>0</v>
      </c>
      <c r="K230" s="14">
        <f>189.6-I227-I228-I229-I230</f>
        <v>0</v>
      </c>
      <c r="L230" t="s">
        <v>900</v>
      </c>
    </row>
    <row r="231" spans="1:12">
      <c r="A231" t="s">
        <v>1959</v>
      </c>
      <c r="B231" s="1">
        <v>41455</v>
      </c>
      <c r="C231" t="s">
        <v>3534</v>
      </c>
      <c r="D231">
        <v>1</v>
      </c>
      <c r="E231" t="s">
        <v>3535</v>
      </c>
      <c r="F231" s="9" t="s">
        <v>1682</v>
      </c>
      <c r="G231" s="9" t="s">
        <v>1683</v>
      </c>
      <c r="H231" s="65">
        <f t="shared" si="11"/>
        <v>90.5</v>
      </c>
      <c r="I231" s="65">
        <v>14.48</v>
      </c>
      <c r="J231" s="3"/>
      <c r="K231" s="3"/>
    </row>
    <row r="232" spans="1:12">
      <c r="A232" t="s">
        <v>1959</v>
      </c>
      <c r="B232" s="1">
        <v>41455</v>
      </c>
      <c r="C232" t="s">
        <v>3534</v>
      </c>
      <c r="D232">
        <v>1</v>
      </c>
      <c r="E232" t="s">
        <v>3535</v>
      </c>
      <c r="F232" s="28" t="s">
        <v>913</v>
      </c>
      <c r="G232" s="28" t="s">
        <v>914</v>
      </c>
      <c r="H232" s="47">
        <f t="shared" si="11"/>
        <v>582.625</v>
      </c>
      <c r="I232" s="47">
        <v>93.22</v>
      </c>
    </row>
    <row r="233" spans="1:12">
      <c r="A233" t="s">
        <v>1959</v>
      </c>
      <c r="B233" s="1">
        <v>41455</v>
      </c>
      <c r="C233" t="s">
        <v>3534</v>
      </c>
      <c r="D233">
        <v>1</v>
      </c>
      <c r="E233" t="s">
        <v>3535</v>
      </c>
      <c r="F233" s="33" t="s">
        <v>948</v>
      </c>
      <c r="G233" t="s">
        <v>947</v>
      </c>
      <c r="H233" s="46">
        <f t="shared" si="11"/>
        <v>691.25</v>
      </c>
      <c r="I233" s="46">
        <f>105.82+4.78</f>
        <v>110.6</v>
      </c>
    </row>
    <row r="234" spans="1:12">
      <c r="A234" t="s">
        <v>1959</v>
      </c>
      <c r="B234" s="1">
        <v>41455</v>
      </c>
      <c r="C234" t="s">
        <v>3534</v>
      </c>
      <c r="D234">
        <v>1</v>
      </c>
      <c r="E234" t="s">
        <v>3535</v>
      </c>
      <c r="F234" s="28" t="s">
        <v>939</v>
      </c>
      <c r="G234" s="28" t="s">
        <v>940</v>
      </c>
      <c r="H234" s="47">
        <f t="shared" si="11"/>
        <v>333.875</v>
      </c>
      <c r="I234" s="47">
        <v>53.42</v>
      </c>
      <c r="J234" s="14">
        <f>1698.25-H231-H232-H233-H234</f>
        <v>0</v>
      </c>
      <c r="K234" s="14">
        <f>271.72-I231-I232-I233-I234</f>
        <v>0</v>
      </c>
      <c r="L234" t="s">
        <v>900</v>
      </c>
    </row>
    <row r="235" spans="1:12">
      <c r="A235" t="s">
        <v>1963</v>
      </c>
      <c r="B235" s="1">
        <v>41455</v>
      </c>
      <c r="C235" t="s">
        <v>3536</v>
      </c>
      <c r="D235">
        <v>1</v>
      </c>
      <c r="E235" t="s">
        <v>3537</v>
      </c>
      <c r="F235" s="9" t="s">
        <v>941</v>
      </c>
      <c r="G235" s="9" t="s">
        <v>942</v>
      </c>
      <c r="H235" s="65">
        <f t="shared" si="11"/>
        <v>62.0625</v>
      </c>
      <c r="I235" s="65">
        <v>9.93</v>
      </c>
      <c r="J235" s="3"/>
      <c r="K235" s="3"/>
    </row>
    <row r="236" spans="1:12">
      <c r="A236" t="s">
        <v>1963</v>
      </c>
      <c r="B236" s="1">
        <v>41455</v>
      </c>
      <c r="C236" t="s">
        <v>3536</v>
      </c>
      <c r="D236">
        <v>1</v>
      </c>
      <c r="E236" t="s">
        <v>3537</v>
      </c>
      <c r="F236" s="28" t="s">
        <v>2336</v>
      </c>
      <c r="G236" s="28" t="s">
        <v>2337</v>
      </c>
      <c r="H236" s="47">
        <f t="shared" si="11"/>
        <v>334.125</v>
      </c>
      <c r="I236" s="47">
        <v>53.46</v>
      </c>
    </row>
    <row r="237" spans="1:12">
      <c r="A237" t="s">
        <v>1963</v>
      </c>
      <c r="B237" s="1">
        <v>41455</v>
      </c>
      <c r="C237" t="s">
        <v>3536</v>
      </c>
      <c r="D237">
        <v>1</v>
      </c>
      <c r="E237" t="s">
        <v>3537</v>
      </c>
      <c r="F237" s="33" t="s">
        <v>948</v>
      </c>
      <c r="G237" s="33" t="s">
        <v>947</v>
      </c>
      <c r="H237" s="3">
        <f t="shared" si="11"/>
        <v>217.875</v>
      </c>
      <c r="I237" s="46">
        <f>23.45+11.41</f>
        <v>34.86</v>
      </c>
      <c r="J237" s="14">
        <f>614.06-H235-H236-H237</f>
        <v>-2.5000000000545697E-3</v>
      </c>
      <c r="K237" s="14">
        <f>98.25-I235-I236-I237</f>
        <v>0</v>
      </c>
      <c r="L237" t="s">
        <v>900</v>
      </c>
    </row>
    <row r="238" spans="1:12">
      <c r="A238" t="s">
        <v>3560</v>
      </c>
      <c r="B238" s="1">
        <v>41455</v>
      </c>
      <c r="C238" t="s">
        <v>3561</v>
      </c>
      <c r="D238">
        <v>1</v>
      </c>
      <c r="E238" t="s">
        <v>3562</v>
      </c>
      <c r="F238" s="9" t="s">
        <v>941</v>
      </c>
      <c r="G238" s="9" t="s">
        <v>942</v>
      </c>
      <c r="H238" s="65">
        <f t="shared" si="11"/>
        <v>64.625</v>
      </c>
      <c r="I238" s="65">
        <v>10.34</v>
      </c>
      <c r="J238" s="3"/>
      <c r="K238" s="3"/>
    </row>
    <row r="239" spans="1:12">
      <c r="A239" t="s">
        <v>3560</v>
      </c>
      <c r="B239" s="1">
        <v>41455</v>
      </c>
      <c r="C239" t="s">
        <v>3561</v>
      </c>
      <c r="D239">
        <v>1</v>
      </c>
      <c r="E239" t="s">
        <v>3562</v>
      </c>
      <c r="F239" s="28" t="s">
        <v>2343</v>
      </c>
      <c r="G239" s="28" t="s">
        <v>2344</v>
      </c>
      <c r="H239" s="47">
        <f t="shared" si="11"/>
        <v>292.25</v>
      </c>
      <c r="I239" s="47">
        <v>46.76</v>
      </c>
    </row>
    <row r="240" spans="1:12">
      <c r="A240" t="s">
        <v>3560</v>
      </c>
      <c r="B240" s="1">
        <v>41455</v>
      </c>
      <c r="C240" t="s">
        <v>3561</v>
      </c>
      <c r="D240">
        <v>1</v>
      </c>
      <c r="E240" t="s">
        <v>3562</v>
      </c>
      <c r="F240" s="33" t="s">
        <v>948</v>
      </c>
      <c r="G240" t="s">
        <v>947</v>
      </c>
      <c r="H240" s="46">
        <f t="shared" si="11"/>
        <v>253.43749999999997</v>
      </c>
      <c r="I240" s="46">
        <f>38.36+2.19</f>
        <v>40.549999999999997</v>
      </c>
      <c r="J240" s="14">
        <f>610.31-H238-H239-H240</f>
        <v>-2.500000000026148E-3</v>
      </c>
      <c r="K240" s="14">
        <f>97.65-I238-I239-I240</f>
        <v>0</v>
      </c>
      <c r="L240" t="s">
        <v>900</v>
      </c>
    </row>
    <row r="241" spans="1:12">
      <c r="A241" t="s">
        <v>1954</v>
      </c>
      <c r="B241" s="1">
        <v>41455</v>
      </c>
      <c r="C241" t="s">
        <v>3532</v>
      </c>
      <c r="D241">
        <v>1</v>
      </c>
      <c r="E241" t="s">
        <v>3533</v>
      </c>
      <c r="F241" s="9" t="s">
        <v>3779</v>
      </c>
      <c r="G241" s="9" t="s">
        <v>3780</v>
      </c>
      <c r="H241" s="65">
        <f t="shared" si="11"/>
        <v>375.875</v>
      </c>
      <c r="I241" s="65">
        <v>60.14</v>
      </c>
      <c r="J241" s="3"/>
      <c r="K241" s="3"/>
    </row>
    <row r="242" spans="1:12">
      <c r="A242" t="s">
        <v>1954</v>
      </c>
      <c r="B242" s="1">
        <v>41455</v>
      </c>
      <c r="C242" t="s">
        <v>3532</v>
      </c>
      <c r="D242">
        <v>1</v>
      </c>
      <c r="E242" t="s">
        <v>3533</v>
      </c>
      <c r="F242" s="33" t="s">
        <v>948</v>
      </c>
      <c r="G242" t="s">
        <v>947</v>
      </c>
      <c r="H242" s="3">
        <f t="shared" si="11"/>
        <v>188.8125</v>
      </c>
      <c r="I242" s="46">
        <f>28.29+1.92</f>
        <v>30.21</v>
      </c>
      <c r="J242" s="14">
        <f>564.69-H241-H242</f>
        <v>2.5000000000545697E-3</v>
      </c>
      <c r="K242" s="14">
        <f>90.35-I241-I242</f>
        <v>0</v>
      </c>
      <c r="L242" t="s">
        <v>900</v>
      </c>
    </row>
    <row r="243" spans="1:12">
      <c r="A243" t="s">
        <v>3081</v>
      </c>
      <c r="B243" s="1">
        <v>41455</v>
      </c>
      <c r="C243" t="s">
        <v>3566</v>
      </c>
      <c r="D243">
        <v>1</v>
      </c>
      <c r="E243" t="s">
        <v>3567</v>
      </c>
      <c r="F243" s="33" t="s">
        <v>948</v>
      </c>
      <c r="G243" t="s">
        <v>947</v>
      </c>
      <c r="H243" s="46">
        <f t="shared" si="11"/>
        <v>176.875</v>
      </c>
      <c r="I243" s="46">
        <f>24.35+3.95</f>
        <v>28.3</v>
      </c>
      <c r="J243" s="3"/>
      <c r="K243" s="3"/>
    </row>
    <row r="244" spans="1:12">
      <c r="A244" t="s">
        <v>3081</v>
      </c>
      <c r="B244" s="1">
        <v>41455</v>
      </c>
      <c r="C244" t="s">
        <v>3566</v>
      </c>
      <c r="D244">
        <v>1</v>
      </c>
      <c r="E244" t="s">
        <v>3567</v>
      </c>
      <c r="F244" s="9" t="s">
        <v>1649</v>
      </c>
      <c r="G244" s="9" t="s">
        <v>3781</v>
      </c>
      <c r="H244" s="65">
        <f t="shared" si="11"/>
        <v>62.0625</v>
      </c>
      <c r="I244" s="65">
        <v>9.93</v>
      </c>
    </row>
    <row r="245" spans="1:12">
      <c r="A245" t="s">
        <v>3081</v>
      </c>
      <c r="B245" s="1">
        <v>41455</v>
      </c>
      <c r="C245" t="s">
        <v>3566</v>
      </c>
      <c r="D245">
        <v>1</v>
      </c>
      <c r="E245" t="s">
        <v>3567</v>
      </c>
      <c r="F245" s="28" t="s">
        <v>925</v>
      </c>
      <c r="G245" s="28" t="s">
        <v>926</v>
      </c>
      <c r="H245" s="47">
        <f t="shared" si="11"/>
        <v>375.75</v>
      </c>
      <c r="I245" s="47">
        <v>60.12</v>
      </c>
      <c r="J245" s="14">
        <f>614.69-H243-H244-H245</f>
        <v>2.5000000000545697E-3</v>
      </c>
      <c r="K245" s="14">
        <f>98.35-I243-I244-I245</f>
        <v>0</v>
      </c>
      <c r="L245" t="s">
        <v>900</v>
      </c>
    </row>
    <row r="246" spans="1:12">
      <c r="A246" t="s">
        <v>1388</v>
      </c>
      <c r="B246" s="1">
        <v>41455</v>
      </c>
      <c r="C246" t="s">
        <v>3547</v>
      </c>
      <c r="D246">
        <v>1</v>
      </c>
      <c r="E246" t="s">
        <v>3548</v>
      </c>
      <c r="F246" s="33" t="s">
        <v>948</v>
      </c>
      <c r="G246" t="s">
        <v>947</v>
      </c>
      <c r="H246" s="46">
        <f t="shared" si="11"/>
        <v>142.75</v>
      </c>
      <c r="I246" s="46">
        <f>21.1+1.74</f>
        <v>22.84</v>
      </c>
      <c r="J246" s="3"/>
      <c r="K246" s="3"/>
    </row>
    <row r="247" spans="1:12">
      <c r="A247" t="s">
        <v>1388</v>
      </c>
      <c r="B247" s="1">
        <v>41455</v>
      </c>
      <c r="C247" t="s">
        <v>3547</v>
      </c>
      <c r="D247">
        <v>1</v>
      </c>
      <c r="E247" t="s">
        <v>3548</v>
      </c>
      <c r="F247" s="9" t="s">
        <v>1649</v>
      </c>
      <c r="G247" s="9" t="s">
        <v>3781</v>
      </c>
      <c r="H247" s="65">
        <f t="shared" si="11"/>
        <v>62.0625</v>
      </c>
      <c r="I247" s="65">
        <v>9.93</v>
      </c>
    </row>
    <row r="248" spans="1:12">
      <c r="A248" t="s">
        <v>1388</v>
      </c>
      <c r="B248" s="1">
        <v>41455</v>
      </c>
      <c r="C248" t="s">
        <v>3547</v>
      </c>
      <c r="D248">
        <v>1</v>
      </c>
      <c r="E248" t="s">
        <v>3548</v>
      </c>
      <c r="F248" s="28" t="s">
        <v>925</v>
      </c>
      <c r="G248" s="28" t="s">
        <v>926</v>
      </c>
      <c r="H248" s="47">
        <f t="shared" si="11"/>
        <v>334</v>
      </c>
      <c r="I248" s="47">
        <v>53.44</v>
      </c>
      <c r="J248" s="14">
        <f>538.81-H246-H247-H248</f>
        <v>-2.5000000000545697E-3</v>
      </c>
      <c r="K248" s="14">
        <f>86.21-I246-I247-I248</f>
        <v>0</v>
      </c>
      <c r="L248" t="s">
        <v>900</v>
      </c>
    </row>
    <row r="249" spans="1:12">
      <c r="A249" t="s">
        <v>1982</v>
      </c>
      <c r="B249" s="1">
        <v>41455</v>
      </c>
      <c r="C249" t="s">
        <v>3551</v>
      </c>
      <c r="D249">
        <v>1</v>
      </c>
      <c r="E249" t="s">
        <v>3552</v>
      </c>
      <c r="F249" s="33" t="s">
        <v>948</v>
      </c>
      <c r="G249" s="33" t="s">
        <v>947</v>
      </c>
      <c r="H249" s="46">
        <f t="shared" si="11"/>
        <v>399.5</v>
      </c>
      <c r="I249" s="46">
        <f>62.08+1.84</f>
        <v>63.92</v>
      </c>
      <c r="J249" s="3"/>
      <c r="K249" s="3"/>
    </row>
    <row r="250" spans="1:12">
      <c r="A250" t="s">
        <v>1982</v>
      </c>
      <c r="B250" s="1">
        <v>41455</v>
      </c>
      <c r="C250" t="s">
        <v>3551</v>
      </c>
      <c r="D250">
        <v>1</v>
      </c>
      <c r="E250" t="s">
        <v>3552</v>
      </c>
      <c r="F250" s="9" t="s">
        <v>941</v>
      </c>
      <c r="G250" s="9" t="s">
        <v>942</v>
      </c>
      <c r="H250" s="65">
        <f t="shared" si="11"/>
        <v>72.375</v>
      </c>
      <c r="I250" s="65">
        <v>11.58</v>
      </c>
    </row>
    <row r="251" spans="1:12">
      <c r="A251" t="s">
        <v>1982</v>
      </c>
      <c r="B251" s="1">
        <v>41455</v>
      </c>
      <c r="C251" t="s">
        <v>3551</v>
      </c>
      <c r="D251">
        <v>1</v>
      </c>
      <c r="E251" t="s">
        <v>3552</v>
      </c>
      <c r="F251" s="28" t="s">
        <v>1651</v>
      </c>
      <c r="G251" s="28" t="s">
        <v>3782</v>
      </c>
      <c r="H251" s="47">
        <f t="shared" si="11"/>
        <v>354.875</v>
      </c>
      <c r="I251" s="47">
        <v>56.78</v>
      </c>
      <c r="J251" s="14">
        <f>826.75-H249-H250-H251</f>
        <v>0</v>
      </c>
      <c r="K251" s="14">
        <f>132.28-I249-I250-I251</f>
        <v>0</v>
      </c>
      <c r="L251" t="s">
        <v>900</v>
      </c>
    </row>
    <row r="252" spans="1:12">
      <c r="A252" t="s">
        <v>403</v>
      </c>
      <c r="B252" s="1">
        <v>41455</v>
      </c>
      <c r="C252" t="s">
        <v>3553</v>
      </c>
      <c r="D252">
        <v>1</v>
      </c>
      <c r="E252" t="s">
        <v>3554</v>
      </c>
      <c r="F252" s="9" t="s">
        <v>3783</v>
      </c>
      <c r="G252" s="9" t="s">
        <v>3784</v>
      </c>
      <c r="H252" s="65">
        <f t="shared" si="11"/>
        <v>344.875</v>
      </c>
      <c r="I252" s="65">
        <v>55.18</v>
      </c>
      <c r="J252" s="3"/>
      <c r="K252" s="3"/>
    </row>
    <row r="253" spans="1:12">
      <c r="A253" t="s">
        <v>403</v>
      </c>
      <c r="B253" s="1">
        <v>41455</v>
      </c>
      <c r="C253" t="s">
        <v>3553</v>
      </c>
      <c r="D253">
        <v>1</v>
      </c>
      <c r="E253" t="s">
        <v>3554</v>
      </c>
      <c r="F253" s="28" t="s">
        <v>3785</v>
      </c>
      <c r="G253" s="28" t="s">
        <v>3786</v>
      </c>
      <c r="H253" s="47">
        <f t="shared" si="11"/>
        <v>167</v>
      </c>
      <c r="I253" s="47">
        <v>26.72</v>
      </c>
    </row>
    <row r="254" spans="1:12">
      <c r="A254" t="s">
        <v>403</v>
      </c>
      <c r="B254" s="1">
        <v>41455</v>
      </c>
      <c r="C254" t="s">
        <v>3553</v>
      </c>
      <c r="D254">
        <v>1</v>
      </c>
      <c r="E254" t="s">
        <v>3554</v>
      </c>
      <c r="F254" s="28" t="s">
        <v>3787</v>
      </c>
      <c r="G254" s="28" t="s">
        <v>3788</v>
      </c>
      <c r="H254" s="47">
        <f t="shared" si="11"/>
        <v>367.5</v>
      </c>
      <c r="I254" s="47">
        <v>58.8</v>
      </c>
    </row>
    <row r="255" spans="1:12">
      <c r="A255" t="s">
        <v>403</v>
      </c>
      <c r="B255" s="1">
        <v>41455</v>
      </c>
      <c r="C255" t="s">
        <v>3553</v>
      </c>
      <c r="D255">
        <v>1</v>
      </c>
      <c r="E255" t="s">
        <v>3554</v>
      </c>
      <c r="F255" s="28" t="s">
        <v>3789</v>
      </c>
      <c r="G255" s="28" t="s">
        <v>3790</v>
      </c>
      <c r="H255" s="47">
        <f t="shared" si="11"/>
        <v>506.4375</v>
      </c>
      <c r="I255" s="47">
        <v>81.03</v>
      </c>
    </row>
    <row r="256" spans="1:12">
      <c r="A256" t="s">
        <v>403</v>
      </c>
      <c r="B256" s="1">
        <v>41455</v>
      </c>
      <c r="C256" t="s">
        <v>3553</v>
      </c>
      <c r="D256">
        <v>1</v>
      </c>
      <c r="E256" t="s">
        <v>3554</v>
      </c>
      <c r="F256" s="28" t="s">
        <v>1700</v>
      </c>
      <c r="G256" s="28" t="s">
        <v>1701</v>
      </c>
      <c r="H256" s="47">
        <f t="shared" si="11"/>
        <v>417.5</v>
      </c>
      <c r="I256" s="47">
        <v>66.8</v>
      </c>
    </row>
    <row r="257" spans="1:12">
      <c r="A257" t="s">
        <v>403</v>
      </c>
      <c r="B257" s="1">
        <v>41455</v>
      </c>
      <c r="C257" t="s">
        <v>3553</v>
      </c>
      <c r="D257">
        <v>1</v>
      </c>
      <c r="E257" t="s">
        <v>3554</v>
      </c>
      <c r="F257" s="28" t="s">
        <v>3791</v>
      </c>
      <c r="G257" s="28" t="s">
        <v>3792</v>
      </c>
      <c r="H257" s="47">
        <f t="shared" si="11"/>
        <v>417.5</v>
      </c>
      <c r="I257" s="47">
        <v>66.8</v>
      </c>
    </row>
    <row r="258" spans="1:12">
      <c r="A258" t="s">
        <v>403</v>
      </c>
      <c r="B258" s="1">
        <v>41455</v>
      </c>
      <c r="C258" t="s">
        <v>3553</v>
      </c>
      <c r="D258">
        <v>1</v>
      </c>
      <c r="E258" t="s">
        <v>3554</v>
      </c>
      <c r="F258" s="28" t="s">
        <v>896</v>
      </c>
      <c r="G258" s="28" t="s">
        <v>3793</v>
      </c>
      <c r="H258" s="47">
        <f t="shared" si="11"/>
        <v>288.5625</v>
      </c>
      <c r="I258" s="47">
        <v>46.17</v>
      </c>
    </row>
    <row r="259" spans="1:12">
      <c r="A259" t="s">
        <v>403</v>
      </c>
      <c r="B259" s="1">
        <v>41455</v>
      </c>
      <c r="C259" t="s">
        <v>3553</v>
      </c>
      <c r="D259">
        <v>1</v>
      </c>
      <c r="E259" t="s">
        <v>3554</v>
      </c>
      <c r="F259" s="33" t="s">
        <v>948</v>
      </c>
      <c r="G259" t="s">
        <v>947</v>
      </c>
      <c r="H259" s="46">
        <f t="shared" si="11"/>
        <v>236.375</v>
      </c>
      <c r="I259" s="46">
        <f>72.14-34.32</f>
        <v>37.82</v>
      </c>
    </row>
    <row r="260" spans="1:12">
      <c r="A260" t="s">
        <v>403</v>
      </c>
      <c r="B260" s="1">
        <v>41455</v>
      </c>
      <c r="C260" t="s">
        <v>3553</v>
      </c>
      <c r="D260">
        <v>1</v>
      </c>
      <c r="E260" t="s">
        <v>3554</v>
      </c>
      <c r="F260" s="9" t="s">
        <v>1649</v>
      </c>
      <c r="G260" s="9" t="s">
        <v>3781</v>
      </c>
      <c r="H260" s="65">
        <f t="shared" si="11"/>
        <v>89.6875</v>
      </c>
      <c r="I260" s="65">
        <v>14.35</v>
      </c>
      <c r="J260" s="14"/>
      <c r="K260" s="14">
        <f>453.67-I252-I253-I254-I255-I256-I257-I258-I259-I260</f>
        <v>0</v>
      </c>
      <c r="L260" t="s">
        <v>900</v>
      </c>
    </row>
    <row r="261" spans="1:12">
      <c r="A261" t="s">
        <v>414</v>
      </c>
      <c r="B261" s="1">
        <v>41455</v>
      </c>
      <c r="C261" t="s">
        <v>3631</v>
      </c>
      <c r="D261">
        <v>1</v>
      </c>
      <c r="E261" t="s">
        <v>3632</v>
      </c>
      <c r="F261" s="33" t="s">
        <v>948</v>
      </c>
      <c r="G261" t="s">
        <v>1581</v>
      </c>
      <c r="H261" s="3">
        <f t="shared" si="11"/>
        <v>204.0625</v>
      </c>
      <c r="I261" s="46">
        <f>26.07+6.58</f>
        <v>32.65</v>
      </c>
      <c r="J261" s="3"/>
      <c r="K261" s="3"/>
    </row>
    <row r="262" spans="1:12">
      <c r="A262" t="s">
        <v>414</v>
      </c>
      <c r="B262" s="1">
        <v>41455</v>
      </c>
      <c r="C262" t="s">
        <v>3631</v>
      </c>
      <c r="D262">
        <v>1</v>
      </c>
      <c r="E262" t="s">
        <v>3632</v>
      </c>
      <c r="F262" s="33" t="s">
        <v>948</v>
      </c>
      <c r="G262" t="s">
        <v>947</v>
      </c>
      <c r="H262" s="3">
        <f t="shared" si="11"/>
        <v>331.9375</v>
      </c>
      <c r="I262" s="46">
        <v>53.11</v>
      </c>
    </row>
    <row r="263" spans="1:12">
      <c r="A263" t="s">
        <v>414</v>
      </c>
      <c r="B263" s="1">
        <v>41455</v>
      </c>
      <c r="C263" t="s">
        <v>3631</v>
      </c>
      <c r="D263">
        <v>1</v>
      </c>
      <c r="E263" t="s">
        <v>3632</v>
      </c>
      <c r="F263" s="9" t="s">
        <v>3794</v>
      </c>
      <c r="G263" s="9" t="s">
        <v>3795</v>
      </c>
      <c r="H263" s="65">
        <f t="shared" si="11"/>
        <v>594.125</v>
      </c>
      <c r="I263" s="65">
        <v>95.06</v>
      </c>
    </row>
    <row r="264" spans="1:12">
      <c r="A264" t="s">
        <v>414</v>
      </c>
      <c r="B264" s="1">
        <v>41455</v>
      </c>
      <c r="C264" t="s">
        <v>3631</v>
      </c>
      <c r="D264">
        <v>1</v>
      </c>
      <c r="E264" t="s">
        <v>3632</v>
      </c>
      <c r="F264" s="9" t="s">
        <v>903</v>
      </c>
      <c r="G264" s="9" t="s">
        <v>904</v>
      </c>
      <c r="H264" s="65">
        <f t="shared" si="11"/>
        <v>207.625</v>
      </c>
      <c r="I264" s="65">
        <v>33.22</v>
      </c>
    </row>
    <row r="265" spans="1:12">
      <c r="A265" t="s">
        <v>414</v>
      </c>
      <c r="B265" s="1">
        <v>41455</v>
      </c>
      <c r="C265" t="s">
        <v>3631</v>
      </c>
      <c r="D265">
        <v>1</v>
      </c>
      <c r="E265" t="s">
        <v>3632</v>
      </c>
      <c r="F265" s="9" t="s">
        <v>3796</v>
      </c>
      <c r="G265" s="9" t="s">
        <v>3797</v>
      </c>
      <c r="H265" s="65">
        <f t="shared" si="11"/>
        <v>55.937499999999993</v>
      </c>
      <c r="I265" s="65">
        <v>8.9499999999999993</v>
      </c>
      <c r="J265" s="14">
        <f>1393.69-H261-H262-H263-H264-H265</f>
        <v>2.5000000000616751E-3</v>
      </c>
      <c r="K265" s="14">
        <f>222.99-I261-I262-I263-I264-I265</f>
        <v>1.7763568394002505E-14</v>
      </c>
      <c r="L265" t="s">
        <v>900</v>
      </c>
    </row>
    <row r="266" spans="1:12">
      <c r="A266" t="s">
        <v>1393</v>
      </c>
      <c r="B266" s="1">
        <v>41455</v>
      </c>
      <c r="C266" t="s">
        <v>3549</v>
      </c>
      <c r="D266">
        <v>1</v>
      </c>
      <c r="E266" t="s">
        <v>3550</v>
      </c>
      <c r="F266" s="35" t="s">
        <v>939</v>
      </c>
      <c r="G266" s="35" t="s">
        <v>940</v>
      </c>
      <c r="H266" s="57">
        <f t="shared" si="11"/>
        <v>334</v>
      </c>
      <c r="I266" s="57">
        <v>53.44</v>
      </c>
      <c r="J266" s="3"/>
      <c r="K266" s="3"/>
    </row>
    <row r="267" spans="1:12">
      <c r="A267" t="s">
        <v>1393</v>
      </c>
      <c r="B267" s="1">
        <v>41455</v>
      </c>
      <c r="C267" t="s">
        <v>3549</v>
      </c>
      <c r="D267">
        <v>1</v>
      </c>
      <c r="E267" t="s">
        <v>3550</v>
      </c>
      <c r="F267" s="9" t="s">
        <v>933</v>
      </c>
      <c r="G267" s="9" t="s">
        <v>934</v>
      </c>
      <c r="H267" s="65">
        <f t="shared" si="11"/>
        <v>85</v>
      </c>
      <c r="I267" s="65">
        <v>13.6</v>
      </c>
    </row>
    <row r="268" spans="1:12">
      <c r="A268" t="s">
        <v>1393</v>
      </c>
      <c r="B268" s="1">
        <v>41455</v>
      </c>
      <c r="C268" t="s">
        <v>3549</v>
      </c>
      <c r="D268">
        <v>1</v>
      </c>
      <c r="E268" t="s">
        <v>3550</v>
      </c>
      <c r="F268" s="33" t="s">
        <v>948</v>
      </c>
      <c r="G268" t="s">
        <v>947</v>
      </c>
      <c r="H268" s="46">
        <f t="shared" si="11"/>
        <v>404.81249999999994</v>
      </c>
      <c r="I268" s="46">
        <f>63.05+1.72</f>
        <v>64.77</v>
      </c>
      <c r="J268" s="14">
        <f>823.81-H266-H267-H268</f>
        <v>-2.4999999999977263E-3</v>
      </c>
      <c r="K268" s="14">
        <f>131.81-I266-I267-I268</f>
        <v>0</v>
      </c>
      <c r="L268" t="s">
        <v>900</v>
      </c>
    </row>
    <row r="269" spans="1:12">
      <c r="A269" t="s">
        <v>1970</v>
      </c>
      <c r="B269" s="1">
        <v>41455</v>
      </c>
      <c r="C269" t="s">
        <v>3541</v>
      </c>
      <c r="D269">
        <v>1</v>
      </c>
      <c r="E269" t="s">
        <v>3542</v>
      </c>
      <c r="F269" s="33" t="s">
        <v>948</v>
      </c>
      <c r="G269" s="33" t="s">
        <v>947</v>
      </c>
      <c r="H269" s="46">
        <f t="shared" si="11"/>
        <v>641.0625</v>
      </c>
      <c r="I269" s="46">
        <f>96.85+5.72</f>
        <v>102.57</v>
      </c>
      <c r="J269" s="3"/>
      <c r="K269" s="3"/>
    </row>
    <row r="270" spans="1:12">
      <c r="A270" t="s">
        <v>1970</v>
      </c>
      <c r="B270" s="1">
        <v>41455</v>
      </c>
      <c r="C270" t="s">
        <v>3541</v>
      </c>
      <c r="D270">
        <v>1</v>
      </c>
      <c r="E270" t="s">
        <v>3542</v>
      </c>
      <c r="F270" s="28" t="s">
        <v>939</v>
      </c>
      <c r="G270" s="28" t="s">
        <v>940</v>
      </c>
      <c r="H270" s="47">
        <f t="shared" si="11"/>
        <v>292.25</v>
      </c>
      <c r="I270" s="47">
        <v>46.76</v>
      </c>
    </row>
    <row r="271" spans="1:12">
      <c r="A271" t="s">
        <v>1970</v>
      </c>
      <c r="B271" s="1">
        <v>41455</v>
      </c>
      <c r="C271" t="s">
        <v>3541</v>
      </c>
      <c r="D271">
        <v>1</v>
      </c>
      <c r="E271" t="s">
        <v>3542</v>
      </c>
      <c r="F271" s="9" t="s">
        <v>3389</v>
      </c>
      <c r="G271" s="9" t="s">
        <v>3798</v>
      </c>
      <c r="H271" s="65">
        <f t="shared" si="11"/>
        <v>58.4375</v>
      </c>
      <c r="I271" s="65">
        <v>9.35</v>
      </c>
    </row>
    <row r="272" spans="1:12">
      <c r="A272" t="s">
        <v>1970</v>
      </c>
      <c r="B272" s="1">
        <v>41455</v>
      </c>
      <c r="C272" t="s">
        <v>3541</v>
      </c>
      <c r="D272">
        <v>1</v>
      </c>
      <c r="E272" t="s">
        <v>3542</v>
      </c>
      <c r="F272" s="28" t="s">
        <v>913</v>
      </c>
      <c r="G272" s="28" t="s">
        <v>914</v>
      </c>
      <c r="H272" s="47">
        <f t="shared" si="11"/>
        <v>536.375</v>
      </c>
      <c r="I272" s="47">
        <v>85.82</v>
      </c>
      <c r="J272" s="14"/>
      <c r="K272" s="14">
        <f>244.5-I269-I270-I271-I272</f>
        <v>0</v>
      </c>
      <c r="L272" t="s">
        <v>900</v>
      </c>
    </row>
    <row r="273" spans="1:12">
      <c r="A273" t="s">
        <v>405</v>
      </c>
      <c r="B273" s="1">
        <v>41455</v>
      </c>
      <c r="C273" t="s">
        <v>3570</v>
      </c>
      <c r="D273">
        <v>1</v>
      </c>
      <c r="E273" t="s">
        <v>3571</v>
      </c>
      <c r="F273" s="28" t="s">
        <v>2277</v>
      </c>
      <c r="G273" s="28" t="s">
        <v>2278</v>
      </c>
      <c r="H273" s="47">
        <f t="shared" si="11"/>
        <v>383.125</v>
      </c>
      <c r="I273" s="47">
        <v>61.3</v>
      </c>
      <c r="J273" s="3"/>
      <c r="K273" s="3"/>
    </row>
    <row r="274" spans="1:12">
      <c r="A274" t="s">
        <v>405</v>
      </c>
      <c r="B274" s="1">
        <v>41455</v>
      </c>
      <c r="C274" t="s">
        <v>3570</v>
      </c>
      <c r="D274">
        <v>1</v>
      </c>
      <c r="E274" t="s">
        <v>3571</v>
      </c>
      <c r="F274" s="9" t="s">
        <v>3751</v>
      </c>
      <c r="G274" s="9" t="s">
        <v>3752</v>
      </c>
      <c r="H274" s="65">
        <f t="shared" si="11"/>
        <v>77.5625</v>
      </c>
      <c r="I274" s="65">
        <v>12.41</v>
      </c>
    </row>
    <row r="275" spans="1:12">
      <c r="A275" t="s">
        <v>405</v>
      </c>
      <c r="B275" s="1">
        <v>41455</v>
      </c>
      <c r="C275" t="s">
        <v>3570</v>
      </c>
      <c r="D275">
        <v>1</v>
      </c>
      <c r="E275" t="s">
        <v>3571</v>
      </c>
      <c r="F275" s="33" t="s">
        <v>948</v>
      </c>
      <c r="G275" t="s">
        <v>947</v>
      </c>
      <c r="H275" s="3">
        <f t="shared" si="11"/>
        <v>284</v>
      </c>
      <c r="I275" s="46">
        <f>43.46+1.98</f>
        <v>45.44</v>
      </c>
      <c r="J275" s="14">
        <f>744.69-H273-H274-H275</f>
        <v>2.5000000000545697E-3</v>
      </c>
      <c r="K275" s="14">
        <f>119.15-I273-I274-I275</f>
        <v>0</v>
      </c>
      <c r="L275" t="s">
        <v>900</v>
      </c>
    </row>
    <row r="276" spans="1:12">
      <c r="A276" t="s">
        <v>1972</v>
      </c>
      <c r="B276" s="1">
        <v>41455</v>
      </c>
      <c r="C276" t="s">
        <v>3543</v>
      </c>
      <c r="D276">
        <v>1</v>
      </c>
      <c r="E276" t="s">
        <v>3544</v>
      </c>
      <c r="F276" s="9" t="s">
        <v>941</v>
      </c>
      <c r="G276" s="9" t="s">
        <v>942</v>
      </c>
      <c r="H276" s="80">
        <f t="shared" si="11"/>
        <v>68.9375</v>
      </c>
      <c r="I276" s="65">
        <v>11.03</v>
      </c>
      <c r="J276" s="3"/>
      <c r="K276" s="3"/>
    </row>
    <row r="277" spans="1:12">
      <c r="A277" t="s">
        <v>1972</v>
      </c>
      <c r="B277" s="1">
        <v>41455</v>
      </c>
      <c r="C277" t="s">
        <v>3543</v>
      </c>
      <c r="D277">
        <v>1</v>
      </c>
      <c r="E277" t="s">
        <v>3544</v>
      </c>
      <c r="F277" s="28" t="s">
        <v>1651</v>
      </c>
      <c r="G277" s="28" t="s">
        <v>1652</v>
      </c>
      <c r="H277" s="47">
        <f t="shared" si="11"/>
        <v>417.5</v>
      </c>
      <c r="I277" s="47">
        <v>66.8</v>
      </c>
    </row>
    <row r="278" spans="1:12">
      <c r="A278" t="s">
        <v>1972</v>
      </c>
      <c r="B278" s="1">
        <v>41455</v>
      </c>
      <c r="C278" t="s">
        <v>3543</v>
      </c>
      <c r="D278">
        <v>1</v>
      </c>
      <c r="E278" t="s">
        <v>3544</v>
      </c>
      <c r="F278" s="33" t="s">
        <v>948</v>
      </c>
      <c r="G278" t="s">
        <v>947</v>
      </c>
      <c r="H278" s="46">
        <f t="shared" si="11"/>
        <v>401.49999999999994</v>
      </c>
      <c r="I278" s="46">
        <f>62.08+2.16</f>
        <v>64.239999999999995</v>
      </c>
      <c r="J278" s="14">
        <f>887.94-H276-H277-H278</f>
        <v>2.5000000001114131E-3</v>
      </c>
      <c r="K278" s="14">
        <f>142.07-I276-I277-I278</f>
        <v>0</v>
      </c>
      <c r="L278" t="s">
        <v>900</v>
      </c>
    </row>
    <row r="279" spans="1:12" ht="18" customHeight="1">
      <c r="A279" t="s">
        <v>1996</v>
      </c>
      <c r="B279" s="1">
        <v>41455</v>
      </c>
      <c r="C279" t="s">
        <v>3568</v>
      </c>
      <c r="D279">
        <v>1</v>
      </c>
      <c r="E279" t="s">
        <v>3569</v>
      </c>
      <c r="F279" s="28" t="s">
        <v>3777</v>
      </c>
      <c r="G279" s="28" t="s">
        <v>3778</v>
      </c>
      <c r="H279" s="47">
        <f t="shared" ref="H279:H286" si="12">I279/0.16</f>
        <v>333.5</v>
      </c>
      <c r="I279" s="47">
        <v>53.36</v>
      </c>
      <c r="J279" s="3"/>
      <c r="K279" s="3"/>
    </row>
    <row r="280" spans="1:12" ht="18" customHeight="1">
      <c r="A280" t="s">
        <v>1996</v>
      </c>
      <c r="B280" s="1">
        <v>41455</v>
      </c>
      <c r="C280" t="s">
        <v>3568</v>
      </c>
      <c r="D280">
        <v>1</v>
      </c>
      <c r="E280" t="s">
        <v>3569</v>
      </c>
      <c r="F280" s="28" t="s">
        <v>3799</v>
      </c>
      <c r="G280" s="28" t="s">
        <v>3800</v>
      </c>
      <c r="H280" s="47">
        <f t="shared" si="12"/>
        <v>417.5</v>
      </c>
      <c r="I280" s="47">
        <v>66.8</v>
      </c>
    </row>
    <row r="281" spans="1:12" ht="18" customHeight="1">
      <c r="A281" t="s">
        <v>1996</v>
      </c>
      <c r="B281" s="1">
        <v>41455</v>
      </c>
      <c r="C281" t="s">
        <v>3568</v>
      </c>
      <c r="D281">
        <v>1</v>
      </c>
      <c r="E281" t="s">
        <v>3569</v>
      </c>
      <c r="F281" s="28" t="s">
        <v>3801</v>
      </c>
      <c r="G281" s="28" t="s">
        <v>3802</v>
      </c>
      <c r="H281" s="47">
        <f t="shared" si="12"/>
        <v>217.125</v>
      </c>
      <c r="I281" s="47">
        <v>34.74</v>
      </c>
    </row>
    <row r="282" spans="1:12" ht="18" customHeight="1">
      <c r="A282" t="s">
        <v>1996</v>
      </c>
      <c r="B282" s="1">
        <v>41455</v>
      </c>
      <c r="C282" t="s">
        <v>3568</v>
      </c>
      <c r="D282">
        <v>1</v>
      </c>
      <c r="E282" t="s">
        <v>3569</v>
      </c>
      <c r="F282" s="33" t="s">
        <v>948</v>
      </c>
      <c r="G282" t="s">
        <v>947</v>
      </c>
      <c r="H282" s="46">
        <f t="shared" si="12"/>
        <v>472.00000000000006</v>
      </c>
      <c r="I282" s="46">
        <f>48.7+26.82</f>
        <v>75.52000000000001</v>
      </c>
      <c r="J282" s="14">
        <f>1440.13-H279-H280-H281-H282</f>
        <v>5.0000000000522959E-3</v>
      </c>
      <c r="K282" s="14">
        <f>230.42-I279-I280-I281-I282</f>
        <v>0</v>
      </c>
      <c r="L282" t="s">
        <v>900</v>
      </c>
    </row>
    <row r="283" spans="1:12">
      <c r="A283" t="s">
        <v>3120</v>
      </c>
      <c r="B283" s="1">
        <v>41455</v>
      </c>
      <c r="C283" t="s">
        <v>3627</v>
      </c>
      <c r="D283">
        <v>1</v>
      </c>
      <c r="E283" t="s">
        <v>3628</v>
      </c>
      <c r="F283" s="33" t="s">
        <v>948</v>
      </c>
      <c r="G283" t="s">
        <v>947</v>
      </c>
      <c r="H283" s="46">
        <f t="shared" si="12"/>
        <v>708.625</v>
      </c>
      <c r="I283" s="46">
        <f>109.12+4.26</f>
        <v>113.38000000000001</v>
      </c>
      <c r="J283" s="3"/>
      <c r="K283" s="3"/>
    </row>
    <row r="284" spans="1:12">
      <c r="A284" t="s">
        <v>3120</v>
      </c>
      <c r="B284" s="1">
        <v>41455</v>
      </c>
      <c r="C284" t="s">
        <v>3627</v>
      </c>
      <c r="D284">
        <v>1</v>
      </c>
      <c r="E284" t="s">
        <v>3628</v>
      </c>
      <c r="F284" s="28" t="s">
        <v>939</v>
      </c>
      <c r="G284" s="28" t="s">
        <v>940</v>
      </c>
      <c r="H284" s="47">
        <f t="shared" si="12"/>
        <v>192.0625</v>
      </c>
      <c r="I284" s="47">
        <v>30.73</v>
      </c>
    </row>
    <row r="285" spans="1:12">
      <c r="A285" t="s">
        <v>3120</v>
      </c>
      <c r="B285" s="1">
        <v>41455</v>
      </c>
      <c r="C285" t="s">
        <v>3627</v>
      </c>
      <c r="D285">
        <v>1</v>
      </c>
      <c r="E285" t="s">
        <v>3628</v>
      </c>
      <c r="F285" s="9" t="s">
        <v>1687</v>
      </c>
      <c r="G285" s="9" t="s">
        <v>1688</v>
      </c>
      <c r="H285" s="65">
        <f t="shared" si="12"/>
        <v>633.625</v>
      </c>
      <c r="I285" s="65">
        <v>101.38</v>
      </c>
    </row>
    <row r="286" spans="1:12">
      <c r="A286" t="s">
        <v>3120</v>
      </c>
      <c r="B286" s="1">
        <v>41455</v>
      </c>
      <c r="C286" t="s">
        <v>3627</v>
      </c>
      <c r="D286">
        <v>1</v>
      </c>
      <c r="E286" t="s">
        <v>3628</v>
      </c>
      <c r="F286" s="9" t="s">
        <v>3803</v>
      </c>
      <c r="G286" s="9" t="s">
        <v>3804</v>
      </c>
      <c r="H286" s="65">
        <f t="shared" si="12"/>
        <v>78</v>
      </c>
      <c r="I286" s="65">
        <v>12.48</v>
      </c>
      <c r="J286" s="14">
        <f>1612.31-H283-H284-H285-H286</f>
        <v>-2.5000000000545697E-3</v>
      </c>
      <c r="K286" s="14">
        <f>257.97-I283-I284-I285-I286</f>
        <v>3.1974423109204508E-14</v>
      </c>
      <c r="L286" t="s">
        <v>900</v>
      </c>
    </row>
    <row r="287" spans="1:12">
      <c r="A287" t="s">
        <v>3417</v>
      </c>
      <c r="B287" s="1">
        <v>41431</v>
      </c>
      <c r="C287" t="s">
        <v>3418</v>
      </c>
      <c r="D287">
        <v>1</v>
      </c>
      <c r="E287" t="s">
        <v>3419</v>
      </c>
      <c r="F287" s="32" t="s">
        <v>890</v>
      </c>
      <c r="G287" s="33" t="s">
        <v>891</v>
      </c>
      <c r="H287" s="3">
        <f>+I287/0.16</f>
        <v>277621.375</v>
      </c>
      <c r="I287" s="3">
        <v>44419.42</v>
      </c>
    </row>
    <row r="288" spans="1:12">
      <c r="A288" t="s">
        <v>3400</v>
      </c>
      <c r="B288" s="1">
        <v>41426</v>
      </c>
      <c r="C288" t="s">
        <v>3401</v>
      </c>
      <c r="D288">
        <v>1</v>
      </c>
      <c r="E288" t="s">
        <v>3402</v>
      </c>
      <c r="F288" s="41" t="s">
        <v>2317</v>
      </c>
      <c r="G288" s="33" t="s">
        <v>1808</v>
      </c>
      <c r="H288" s="3">
        <f>+I288/0.16</f>
        <v>161302.0625</v>
      </c>
      <c r="I288" s="3">
        <v>25808.33</v>
      </c>
    </row>
    <row r="289" spans="1:11">
      <c r="A289" t="s">
        <v>2017</v>
      </c>
      <c r="B289" s="1">
        <v>41455</v>
      </c>
      <c r="C289" t="s">
        <v>3582</v>
      </c>
      <c r="D289">
        <v>1</v>
      </c>
      <c r="E289" t="s">
        <v>3583</v>
      </c>
      <c r="F289" s="9" t="s">
        <v>818</v>
      </c>
      <c r="G289" s="9" t="s">
        <v>819</v>
      </c>
      <c r="H289" s="3">
        <f>+I289/0.16</f>
        <v>315</v>
      </c>
      <c r="I289" s="3">
        <v>50.4</v>
      </c>
    </row>
    <row r="290" spans="1:11">
      <c r="A290" t="s">
        <v>161</v>
      </c>
      <c r="B290" s="1">
        <v>41442</v>
      </c>
      <c r="C290" t="s">
        <v>3677</v>
      </c>
      <c r="D290">
        <v>1</v>
      </c>
      <c r="E290" t="s">
        <v>118</v>
      </c>
      <c r="F290" s="33" t="s">
        <v>889</v>
      </c>
      <c r="G290" t="s">
        <v>118</v>
      </c>
      <c r="H290" s="3">
        <f>+I290/0.16</f>
        <v>1800</v>
      </c>
      <c r="I290" s="3">
        <v>288</v>
      </c>
    </row>
    <row r="291" spans="1:11">
      <c r="A291" t="s">
        <v>3069</v>
      </c>
      <c r="B291" s="1">
        <v>41455</v>
      </c>
      <c r="C291" t="s">
        <v>436</v>
      </c>
      <c r="D291">
        <v>1</v>
      </c>
      <c r="E291" t="s">
        <v>3515</v>
      </c>
      <c r="F291" s="9" t="s">
        <v>2910</v>
      </c>
      <c r="G291" s="9" t="s">
        <v>2911</v>
      </c>
      <c r="H291" s="65">
        <f t="shared" ref="H291:H297" si="13">I291/0.16</f>
        <v>99.125</v>
      </c>
      <c r="I291" s="65">
        <v>15.86</v>
      </c>
      <c r="J291" s="3"/>
      <c r="K291" s="3"/>
    </row>
    <row r="292" spans="1:11">
      <c r="A292" t="s">
        <v>3069</v>
      </c>
      <c r="B292" s="1">
        <v>41455</v>
      </c>
      <c r="C292" t="s">
        <v>436</v>
      </c>
      <c r="D292">
        <v>1</v>
      </c>
      <c r="E292" t="s">
        <v>3515</v>
      </c>
      <c r="F292" s="9" t="s">
        <v>2922</v>
      </c>
      <c r="G292" s="9" t="s">
        <v>2923</v>
      </c>
      <c r="H292" s="65">
        <f t="shared" si="13"/>
        <v>1109.25</v>
      </c>
      <c r="I292" s="65">
        <v>177.48</v>
      </c>
      <c r="J292" s="14">
        <f>1208.38-H291-H292</f>
        <v>5.0000000001091394E-3</v>
      </c>
      <c r="K292" s="14">
        <f>193.34-I291-I292</f>
        <v>0</v>
      </c>
    </row>
    <row r="293" spans="1:11">
      <c r="A293" t="s">
        <v>3508</v>
      </c>
      <c r="B293" s="1">
        <v>41439</v>
      </c>
      <c r="C293" t="s">
        <v>436</v>
      </c>
      <c r="D293">
        <v>1</v>
      </c>
      <c r="E293" t="s">
        <v>3509</v>
      </c>
      <c r="F293" s="9" t="s">
        <v>2922</v>
      </c>
      <c r="G293" s="9" t="s">
        <v>2923</v>
      </c>
      <c r="H293" s="65">
        <f t="shared" si="13"/>
        <v>1663.8750000000002</v>
      </c>
      <c r="I293" s="65">
        <v>266.22000000000003</v>
      </c>
      <c r="J293" s="3"/>
      <c r="K293" s="3"/>
    </row>
    <row r="294" spans="1:11">
      <c r="A294" t="s">
        <v>3508</v>
      </c>
      <c r="B294" s="1">
        <v>41439</v>
      </c>
      <c r="C294" t="s">
        <v>436</v>
      </c>
      <c r="D294">
        <v>1</v>
      </c>
      <c r="E294" t="s">
        <v>3509</v>
      </c>
      <c r="F294" s="9" t="s">
        <v>2924</v>
      </c>
      <c r="G294" s="9" t="s">
        <v>2925</v>
      </c>
      <c r="H294" s="65">
        <f t="shared" si="13"/>
        <v>101.75</v>
      </c>
      <c r="I294" s="65">
        <v>16.28</v>
      </c>
    </row>
    <row r="295" spans="1:11">
      <c r="A295" t="s">
        <v>3508</v>
      </c>
      <c r="B295" s="1">
        <v>41439</v>
      </c>
      <c r="C295" t="s">
        <v>436</v>
      </c>
      <c r="D295">
        <v>1</v>
      </c>
      <c r="E295" t="s">
        <v>3509</v>
      </c>
      <c r="F295" s="9" t="s">
        <v>2910</v>
      </c>
      <c r="G295" s="9" t="s">
        <v>2911</v>
      </c>
      <c r="H295" s="65">
        <f t="shared" si="13"/>
        <v>99.125</v>
      </c>
      <c r="I295" s="65">
        <v>15.86</v>
      </c>
    </row>
    <row r="296" spans="1:11">
      <c r="A296" t="s">
        <v>3508</v>
      </c>
      <c r="B296" s="1">
        <v>41439</v>
      </c>
      <c r="C296" t="s">
        <v>436</v>
      </c>
      <c r="D296">
        <v>1</v>
      </c>
      <c r="E296" t="s">
        <v>3509</v>
      </c>
      <c r="F296" s="9" t="s">
        <v>2910</v>
      </c>
      <c r="G296" s="9" t="s">
        <v>2911</v>
      </c>
      <c r="H296" s="65">
        <f t="shared" si="13"/>
        <v>85.3125</v>
      </c>
      <c r="I296" s="65">
        <v>13.65</v>
      </c>
      <c r="J296" s="14">
        <f>1950.06-H293-H294-H295-H296</f>
        <v>-2.5000000002819434E-3</v>
      </c>
      <c r="K296" s="14">
        <f>312.01-I293-I294-I295-I296</f>
        <v>-3.730349362740526E-14</v>
      </c>
    </row>
    <row r="297" spans="1:11">
      <c r="A297" t="s">
        <v>3510</v>
      </c>
      <c r="B297" s="1">
        <v>41451</v>
      </c>
      <c r="C297" t="s">
        <v>436</v>
      </c>
      <c r="D297">
        <v>1</v>
      </c>
      <c r="E297" t="s">
        <v>3511</v>
      </c>
      <c r="F297" s="9" t="s">
        <v>2922</v>
      </c>
      <c r="G297" s="9" t="s">
        <v>2923</v>
      </c>
      <c r="H297" s="65">
        <f t="shared" si="13"/>
        <v>1109.25</v>
      </c>
      <c r="I297" s="80">
        <v>177.48</v>
      </c>
      <c r="J297" s="3"/>
      <c r="K297" s="3"/>
    </row>
    <row r="298" spans="1:11">
      <c r="A298" t="s">
        <v>3510</v>
      </c>
      <c r="B298" s="1">
        <v>41451</v>
      </c>
      <c r="C298" t="s">
        <v>436</v>
      </c>
      <c r="D298">
        <v>1</v>
      </c>
      <c r="E298" t="s">
        <v>3511</v>
      </c>
      <c r="F298" s="9" t="s">
        <v>2910</v>
      </c>
      <c r="G298" s="9" t="s">
        <v>2911</v>
      </c>
      <c r="H298" s="65">
        <f t="shared" ref="H298:H301" si="14">I298/0.16</f>
        <v>99.125</v>
      </c>
      <c r="I298" s="80">
        <v>15.86</v>
      </c>
      <c r="J298" s="14">
        <f>1208.38-H297-H298</f>
        <v>5.0000000001091394E-3</v>
      </c>
      <c r="K298" s="14">
        <f>193.34-I297-I298</f>
        <v>1.4210854715202004E-14</v>
      </c>
    </row>
    <row r="299" spans="1:11">
      <c r="A299" t="s">
        <v>3506</v>
      </c>
      <c r="B299" s="1">
        <v>41448</v>
      </c>
      <c r="C299" t="s">
        <v>436</v>
      </c>
      <c r="D299">
        <v>1</v>
      </c>
      <c r="E299" t="s">
        <v>3507</v>
      </c>
      <c r="F299" s="12" t="s">
        <v>2910</v>
      </c>
      <c r="G299" s="9" t="s">
        <v>2911</v>
      </c>
      <c r="H299" s="65">
        <f t="shared" si="14"/>
        <v>99.125</v>
      </c>
      <c r="I299" s="65">
        <v>15.86</v>
      </c>
      <c r="J299" s="3"/>
      <c r="K299" s="3"/>
    </row>
    <row r="300" spans="1:11">
      <c r="A300" t="s">
        <v>3506</v>
      </c>
      <c r="B300" s="1">
        <v>41448</v>
      </c>
      <c r="C300" t="s">
        <v>436</v>
      </c>
      <c r="D300">
        <v>1</v>
      </c>
      <c r="E300" t="s">
        <v>3507</v>
      </c>
      <c r="F300" s="12" t="s">
        <v>2910</v>
      </c>
      <c r="G300" s="9" t="s">
        <v>2911</v>
      </c>
      <c r="H300" s="65">
        <f t="shared" si="14"/>
        <v>99.125</v>
      </c>
      <c r="I300" s="65">
        <v>15.86</v>
      </c>
    </row>
    <row r="301" spans="1:11">
      <c r="A301" t="s">
        <v>3506</v>
      </c>
      <c r="B301" s="1">
        <v>41448</v>
      </c>
      <c r="C301" t="s">
        <v>436</v>
      </c>
      <c r="D301">
        <v>1</v>
      </c>
      <c r="E301" t="s">
        <v>3507</v>
      </c>
      <c r="F301" s="12" t="s">
        <v>2922</v>
      </c>
      <c r="G301" s="9" t="s">
        <v>2923</v>
      </c>
      <c r="H301" s="65">
        <f t="shared" si="14"/>
        <v>1109.25</v>
      </c>
      <c r="I301" s="65">
        <v>177.48</v>
      </c>
      <c r="J301" s="14">
        <f>1307.5-H299-H300-H301</f>
        <v>0</v>
      </c>
      <c r="K301" s="14">
        <f>209.2-I299-I300-I301</f>
        <v>0</v>
      </c>
    </row>
    <row r="302" spans="1:11">
      <c r="B302" s="1"/>
    </row>
    <row r="303" spans="1:11">
      <c r="H303" s="3">
        <f>SUM(H11:H301)</f>
        <v>12852452.3125</v>
      </c>
      <c r="I303" s="3">
        <f>SUM(I11:I301)</f>
        <v>2056392.3700000017</v>
      </c>
    </row>
    <row r="304" spans="1:11">
      <c r="H304" s="3">
        <f>2365251.51-308859.14</f>
        <v>2056392.3699999996</v>
      </c>
      <c r="I304" s="3">
        <f>+I303-H304</f>
        <v>2.0954757928848267E-9</v>
      </c>
    </row>
    <row r="308" spans="1:10">
      <c r="A308" s="151"/>
      <c r="B308" s="151"/>
      <c r="C308" s="151"/>
      <c r="D308" s="151"/>
      <c r="E308" s="151"/>
      <c r="F308" s="151" t="s">
        <v>724</v>
      </c>
      <c r="G308" s="151" t="s">
        <v>725</v>
      </c>
      <c r="H308" s="152" t="s">
        <v>732</v>
      </c>
      <c r="I308" s="151" t="s">
        <v>726</v>
      </c>
      <c r="J308" s="151" t="s">
        <v>7073</v>
      </c>
    </row>
    <row r="309" spans="1:10">
      <c r="A309" s="174" t="s">
        <v>7099</v>
      </c>
      <c r="B309">
        <v>85</v>
      </c>
      <c r="F309" s="77" t="s">
        <v>3749</v>
      </c>
      <c r="G309" s="77" t="s">
        <v>3636</v>
      </c>
      <c r="H309" s="3">
        <f>+I309/0.16</f>
        <v>887.93749999999989</v>
      </c>
      <c r="I309" s="3">
        <f>+SUMIF($F$11:$F$301,F309,$I$11:$I$301)</f>
        <v>142.07</v>
      </c>
    </row>
    <row r="310" spans="1:10">
      <c r="A310" s="174" t="s">
        <v>7099</v>
      </c>
      <c r="B310">
        <v>85</v>
      </c>
      <c r="F310" s="77" t="s">
        <v>747</v>
      </c>
      <c r="G310" s="77" t="s">
        <v>273</v>
      </c>
      <c r="H310" s="3">
        <f t="shared" ref="H310:H373" si="15">+I310/0.16</f>
        <v>132.25</v>
      </c>
      <c r="I310" s="3">
        <f t="shared" ref="I310:I373" si="16">+SUMIF($F$11:$F$301,F310,$I$11:$I$301)</f>
        <v>21.16</v>
      </c>
    </row>
    <row r="311" spans="1:10">
      <c r="A311" s="174" t="s">
        <v>7099</v>
      </c>
      <c r="B311">
        <v>85</v>
      </c>
      <c r="F311" s="78" t="s">
        <v>1578</v>
      </c>
      <c r="G311" s="79" t="s">
        <v>1579</v>
      </c>
      <c r="H311" s="3">
        <f t="shared" si="15"/>
        <v>899.375</v>
      </c>
      <c r="I311" s="3">
        <f t="shared" si="16"/>
        <v>143.9</v>
      </c>
    </row>
    <row r="312" spans="1:10">
      <c r="A312" s="174" t="s">
        <v>7099</v>
      </c>
      <c r="B312">
        <v>85</v>
      </c>
      <c r="F312" s="28" t="s">
        <v>939</v>
      </c>
      <c r="G312" s="28" t="s">
        <v>940</v>
      </c>
      <c r="H312" s="3">
        <f t="shared" si="15"/>
        <v>1486.0624999999998</v>
      </c>
      <c r="I312" s="3">
        <f t="shared" si="16"/>
        <v>237.76999999999998</v>
      </c>
    </row>
    <row r="313" spans="1:10">
      <c r="A313" s="174" t="s">
        <v>7099</v>
      </c>
      <c r="B313">
        <v>85</v>
      </c>
      <c r="F313" s="9" t="s">
        <v>1649</v>
      </c>
      <c r="G313" s="9" t="s">
        <v>3781</v>
      </c>
      <c r="H313" s="3">
        <f t="shared" si="15"/>
        <v>213.8125</v>
      </c>
      <c r="I313" s="3">
        <f t="shared" si="16"/>
        <v>34.21</v>
      </c>
    </row>
    <row r="314" spans="1:10">
      <c r="A314" s="174" t="s">
        <v>7099</v>
      </c>
      <c r="B314">
        <v>85</v>
      </c>
      <c r="F314" s="9" t="s">
        <v>2269</v>
      </c>
      <c r="G314" s="9" t="s">
        <v>3762</v>
      </c>
      <c r="H314" s="3">
        <f t="shared" si="15"/>
        <v>336</v>
      </c>
      <c r="I314" s="3">
        <f t="shared" si="16"/>
        <v>53.76</v>
      </c>
    </row>
    <row r="315" spans="1:10">
      <c r="A315" s="174" t="s">
        <v>7099</v>
      </c>
      <c r="B315">
        <v>85</v>
      </c>
      <c r="F315" s="9" t="s">
        <v>941</v>
      </c>
      <c r="G315" s="9" t="s">
        <v>942</v>
      </c>
      <c r="H315" s="3">
        <f t="shared" si="15"/>
        <v>401.5625</v>
      </c>
      <c r="I315" s="3">
        <f t="shared" si="16"/>
        <v>64.25</v>
      </c>
    </row>
    <row r="316" spans="1:10">
      <c r="A316" s="174" t="s">
        <v>7099</v>
      </c>
      <c r="B316">
        <v>85</v>
      </c>
      <c r="F316" s="9" t="s">
        <v>736</v>
      </c>
      <c r="G316" s="9" t="s">
        <v>3053</v>
      </c>
      <c r="H316" s="3">
        <f t="shared" si="15"/>
        <v>259912.62499999997</v>
      </c>
      <c r="I316" s="3">
        <f t="shared" si="16"/>
        <v>41586.019999999997</v>
      </c>
    </row>
    <row r="317" spans="1:10">
      <c r="A317" s="174" t="s">
        <v>7099</v>
      </c>
      <c r="B317">
        <v>85</v>
      </c>
      <c r="F317" s="8" t="s">
        <v>734</v>
      </c>
      <c r="G317" s="9" t="s">
        <v>735</v>
      </c>
      <c r="H317" s="3">
        <f t="shared" si="15"/>
        <v>291469.8125</v>
      </c>
      <c r="I317" s="3">
        <f t="shared" si="16"/>
        <v>46635.17</v>
      </c>
    </row>
    <row r="318" spans="1:10">
      <c r="A318" s="174" t="s">
        <v>7099</v>
      </c>
      <c r="B318">
        <v>85</v>
      </c>
      <c r="F318" s="28" t="s">
        <v>1651</v>
      </c>
      <c r="G318" s="28" t="s">
        <v>3782</v>
      </c>
      <c r="H318" s="3">
        <f t="shared" si="15"/>
        <v>772.375</v>
      </c>
      <c r="I318" s="3">
        <f t="shared" si="16"/>
        <v>123.58</v>
      </c>
    </row>
    <row r="319" spans="1:10">
      <c r="A319" s="174" t="s">
        <v>7099</v>
      </c>
      <c r="B319">
        <v>85</v>
      </c>
      <c r="F319" s="9" t="s">
        <v>3753</v>
      </c>
      <c r="G319" s="9" t="s">
        <v>3597</v>
      </c>
      <c r="H319" s="3">
        <f t="shared" si="15"/>
        <v>120</v>
      </c>
      <c r="I319" s="3">
        <f t="shared" si="16"/>
        <v>19.2</v>
      </c>
    </row>
    <row r="320" spans="1:10">
      <c r="A320" s="174" t="s">
        <v>7099</v>
      </c>
      <c r="B320">
        <v>85</v>
      </c>
      <c r="F320" s="12" t="s">
        <v>821</v>
      </c>
      <c r="G320" s="12" t="s">
        <v>2272</v>
      </c>
      <c r="H320" s="3">
        <f t="shared" si="15"/>
        <v>320</v>
      </c>
      <c r="I320" s="3">
        <f t="shared" si="16"/>
        <v>51.2</v>
      </c>
    </row>
    <row r="321" spans="1:9">
      <c r="A321" s="174" t="s">
        <v>7099</v>
      </c>
      <c r="B321">
        <v>85</v>
      </c>
      <c r="F321" s="21" t="s">
        <v>827</v>
      </c>
      <c r="G321" s="22" t="s">
        <v>828</v>
      </c>
      <c r="H321" s="3">
        <f t="shared" si="15"/>
        <v>14713.749999999998</v>
      </c>
      <c r="I321" s="3">
        <f t="shared" si="16"/>
        <v>2354.1999999999998</v>
      </c>
    </row>
    <row r="322" spans="1:9">
      <c r="A322" s="174" t="s">
        <v>7099</v>
      </c>
      <c r="B322">
        <v>85</v>
      </c>
      <c r="F322" s="12" t="s">
        <v>2855</v>
      </c>
      <c r="G322" s="9" t="s">
        <v>2724</v>
      </c>
      <c r="H322" s="3">
        <f t="shared" si="15"/>
        <v>7000</v>
      </c>
      <c r="I322" s="3">
        <f t="shared" si="16"/>
        <v>1120</v>
      </c>
    </row>
    <row r="323" spans="1:9">
      <c r="A323" s="174" t="s">
        <v>7099</v>
      </c>
      <c r="B323">
        <v>85</v>
      </c>
      <c r="F323" s="12" t="s">
        <v>823</v>
      </c>
      <c r="G323" s="20" t="s">
        <v>824</v>
      </c>
      <c r="H323" s="3">
        <f t="shared" si="15"/>
        <v>257</v>
      </c>
      <c r="I323" s="3">
        <f t="shared" si="16"/>
        <v>41.12</v>
      </c>
    </row>
    <row r="324" spans="1:9">
      <c r="A324" s="174" t="s">
        <v>7099</v>
      </c>
      <c r="B324">
        <v>85</v>
      </c>
      <c r="F324" s="12" t="s">
        <v>950</v>
      </c>
      <c r="G324" s="20" t="s">
        <v>951</v>
      </c>
      <c r="H324" s="3">
        <f t="shared" si="15"/>
        <v>8234.5</v>
      </c>
      <c r="I324" s="3">
        <f t="shared" si="16"/>
        <v>1317.52</v>
      </c>
    </row>
    <row r="325" spans="1:9">
      <c r="A325" s="174" t="s">
        <v>7099</v>
      </c>
      <c r="B325">
        <v>85</v>
      </c>
      <c r="F325" s="12" t="s">
        <v>825</v>
      </c>
      <c r="G325" s="20" t="s">
        <v>826</v>
      </c>
      <c r="H325" s="3">
        <f t="shared" si="15"/>
        <v>321</v>
      </c>
      <c r="I325" s="3">
        <f t="shared" si="16"/>
        <v>51.36</v>
      </c>
    </row>
    <row r="326" spans="1:9">
      <c r="A326" s="174" t="s">
        <v>7099</v>
      </c>
      <c r="B326">
        <v>85</v>
      </c>
      <c r="F326" s="64" t="s">
        <v>772</v>
      </c>
      <c r="G326" s="9" t="s">
        <v>29</v>
      </c>
      <c r="H326" s="3">
        <f t="shared" si="15"/>
        <v>1085358.8749999998</v>
      </c>
      <c r="I326" s="3">
        <f t="shared" si="16"/>
        <v>173657.41999999998</v>
      </c>
    </row>
    <row r="327" spans="1:9">
      <c r="A327" s="174" t="s">
        <v>7099</v>
      </c>
      <c r="B327">
        <v>85</v>
      </c>
      <c r="F327" s="12" t="s">
        <v>755</v>
      </c>
      <c r="G327" s="9" t="s">
        <v>756</v>
      </c>
      <c r="H327" s="3">
        <f t="shared" si="15"/>
        <v>166395.75000000003</v>
      </c>
      <c r="I327" s="3">
        <f t="shared" si="16"/>
        <v>26623.320000000007</v>
      </c>
    </row>
    <row r="328" spans="1:9">
      <c r="A328" s="174" t="s">
        <v>7099</v>
      </c>
      <c r="B328">
        <v>85</v>
      </c>
      <c r="F328" s="9" t="s">
        <v>3389</v>
      </c>
      <c r="G328" s="9" t="s">
        <v>3798</v>
      </c>
      <c r="H328" s="3">
        <f t="shared" si="15"/>
        <v>58.4375</v>
      </c>
      <c r="I328" s="3">
        <f t="shared" si="16"/>
        <v>9.35</v>
      </c>
    </row>
    <row r="329" spans="1:9">
      <c r="A329" s="174" t="s">
        <v>7099</v>
      </c>
      <c r="B329">
        <v>85</v>
      </c>
      <c r="F329" s="9" t="s">
        <v>764</v>
      </c>
      <c r="G329" s="9" t="s">
        <v>100</v>
      </c>
      <c r="H329" s="3">
        <f t="shared" si="15"/>
        <v>22270.6875</v>
      </c>
      <c r="I329" s="3">
        <f t="shared" si="16"/>
        <v>3563.31</v>
      </c>
    </row>
    <row r="330" spans="1:9">
      <c r="A330" s="174" t="s">
        <v>7099</v>
      </c>
      <c r="B330">
        <v>85</v>
      </c>
      <c r="F330" s="9" t="s">
        <v>3794</v>
      </c>
      <c r="G330" s="9" t="s">
        <v>3795</v>
      </c>
      <c r="H330" s="3">
        <f t="shared" si="15"/>
        <v>594.125</v>
      </c>
      <c r="I330" s="3">
        <f t="shared" si="16"/>
        <v>95.06</v>
      </c>
    </row>
    <row r="331" spans="1:9">
      <c r="A331" s="174" t="s">
        <v>7099</v>
      </c>
      <c r="B331">
        <v>85</v>
      </c>
      <c r="F331" s="8" t="s">
        <v>759</v>
      </c>
      <c r="G331" s="9" t="s">
        <v>760</v>
      </c>
      <c r="H331" s="3">
        <f t="shared" si="15"/>
        <v>169250.3125</v>
      </c>
      <c r="I331" s="3">
        <f t="shared" si="16"/>
        <v>27080.05</v>
      </c>
    </row>
    <row r="332" spans="1:9">
      <c r="A332" s="174" t="s">
        <v>7099</v>
      </c>
      <c r="B332">
        <v>85</v>
      </c>
      <c r="F332" s="28" t="s">
        <v>3770</v>
      </c>
      <c r="G332" s="28" t="s">
        <v>3771</v>
      </c>
      <c r="H332" s="3">
        <f t="shared" si="15"/>
        <v>711.1875</v>
      </c>
      <c r="I332" s="3">
        <f t="shared" si="16"/>
        <v>113.79</v>
      </c>
    </row>
    <row r="333" spans="1:9">
      <c r="A333" s="174" t="s">
        <v>7099</v>
      </c>
      <c r="B333">
        <v>85</v>
      </c>
      <c r="F333" s="9" t="s">
        <v>773</v>
      </c>
      <c r="G333" s="9" t="s">
        <v>514</v>
      </c>
      <c r="H333" s="3">
        <f t="shared" si="15"/>
        <v>100</v>
      </c>
      <c r="I333" s="3">
        <f t="shared" si="16"/>
        <v>16</v>
      </c>
    </row>
    <row r="334" spans="1:9">
      <c r="A334" s="174" t="s">
        <v>7099</v>
      </c>
      <c r="B334">
        <v>85</v>
      </c>
      <c r="F334" s="9" t="s">
        <v>767</v>
      </c>
      <c r="G334" s="9" t="s">
        <v>549</v>
      </c>
      <c r="H334" s="3">
        <f t="shared" si="15"/>
        <v>1644.8125</v>
      </c>
      <c r="I334" s="3">
        <f t="shared" si="16"/>
        <v>263.17</v>
      </c>
    </row>
    <row r="335" spans="1:9">
      <c r="A335" s="174" t="s">
        <v>7099</v>
      </c>
      <c r="B335">
        <v>85</v>
      </c>
      <c r="F335" s="9" t="s">
        <v>1587</v>
      </c>
      <c r="G335" s="9" t="s">
        <v>1239</v>
      </c>
      <c r="H335" s="3">
        <f t="shared" si="15"/>
        <v>204</v>
      </c>
      <c r="I335" s="3">
        <f t="shared" si="16"/>
        <v>32.64</v>
      </c>
    </row>
    <row r="336" spans="1:9">
      <c r="A336" s="174" t="s">
        <v>7099</v>
      </c>
      <c r="B336">
        <v>85</v>
      </c>
      <c r="F336" s="28" t="s">
        <v>3393</v>
      </c>
      <c r="G336" s="28" t="s">
        <v>3394</v>
      </c>
      <c r="H336" s="3">
        <f t="shared" si="15"/>
        <v>220.5</v>
      </c>
      <c r="I336" s="3">
        <f t="shared" si="16"/>
        <v>35.28</v>
      </c>
    </row>
    <row r="337" spans="1:10">
      <c r="A337" s="174" t="s">
        <v>7099</v>
      </c>
      <c r="B337">
        <v>85</v>
      </c>
      <c r="F337" s="9" t="s">
        <v>2290</v>
      </c>
      <c r="G337" s="9" t="s">
        <v>2064</v>
      </c>
      <c r="H337" s="3">
        <f t="shared" si="15"/>
        <v>425</v>
      </c>
      <c r="I337" s="3">
        <f t="shared" si="16"/>
        <v>68</v>
      </c>
    </row>
    <row r="338" spans="1:10">
      <c r="A338" s="174" t="s">
        <v>7099</v>
      </c>
      <c r="B338">
        <v>85</v>
      </c>
      <c r="F338" s="9" t="s">
        <v>3783</v>
      </c>
      <c r="G338" s="9" t="s">
        <v>3784</v>
      </c>
      <c r="H338" s="3">
        <f t="shared" si="15"/>
        <v>344.875</v>
      </c>
      <c r="I338" s="3">
        <f t="shared" si="16"/>
        <v>55.18</v>
      </c>
    </row>
    <row r="339" spans="1:10">
      <c r="A339" s="174" t="s">
        <v>7099</v>
      </c>
      <c r="B339">
        <v>85</v>
      </c>
      <c r="F339" s="12" t="s">
        <v>775</v>
      </c>
      <c r="G339" s="9" t="s">
        <v>776</v>
      </c>
      <c r="H339" s="3">
        <f t="shared" si="15"/>
        <v>199492.125</v>
      </c>
      <c r="I339" s="3">
        <f t="shared" si="16"/>
        <v>31918.74</v>
      </c>
    </row>
    <row r="340" spans="1:10">
      <c r="A340" s="174" t="s">
        <v>7099</v>
      </c>
      <c r="B340">
        <v>85</v>
      </c>
      <c r="F340" s="9" t="s">
        <v>1595</v>
      </c>
      <c r="G340" s="9" t="s">
        <v>1596</v>
      </c>
      <c r="H340" s="3">
        <f t="shared" si="15"/>
        <v>199344.9375</v>
      </c>
      <c r="I340" s="3">
        <f t="shared" si="16"/>
        <v>31895.19</v>
      </c>
    </row>
    <row r="341" spans="1:10">
      <c r="A341" s="174" t="s">
        <v>7099</v>
      </c>
      <c r="B341">
        <v>85</v>
      </c>
      <c r="F341" s="12" t="s">
        <v>1594</v>
      </c>
      <c r="G341" s="9" t="s">
        <v>973</v>
      </c>
      <c r="H341" s="3">
        <f t="shared" si="15"/>
        <v>21385.000000000004</v>
      </c>
      <c r="I341" s="3">
        <f t="shared" si="16"/>
        <v>3421.6000000000004</v>
      </c>
    </row>
    <row r="342" spans="1:10">
      <c r="A342" s="174" t="s">
        <v>7099</v>
      </c>
      <c r="B342">
        <v>85</v>
      </c>
      <c r="F342" s="9" t="s">
        <v>781</v>
      </c>
      <c r="G342" s="9" t="s">
        <v>80</v>
      </c>
      <c r="H342" s="3">
        <f t="shared" si="15"/>
        <v>4631.9999999999991</v>
      </c>
      <c r="I342" s="3">
        <f t="shared" si="16"/>
        <v>741.11999999999989</v>
      </c>
    </row>
    <row r="343" spans="1:10">
      <c r="A343" s="174" t="s">
        <v>7099</v>
      </c>
      <c r="B343">
        <v>85</v>
      </c>
      <c r="F343" s="9" t="s">
        <v>1593</v>
      </c>
      <c r="G343" s="9" t="s">
        <v>1446</v>
      </c>
      <c r="H343" s="3">
        <f t="shared" si="15"/>
        <v>1172.8124999999998</v>
      </c>
      <c r="I343" s="3">
        <f t="shared" si="16"/>
        <v>187.64999999999998</v>
      </c>
    </row>
    <row r="344" spans="1:10">
      <c r="A344" s="174" t="s">
        <v>7099</v>
      </c>
      <c r="B344">
        <v>85</v>
      </c>
      <c r="F344" s="9" t="s">
        <v>780</v>
      </c>
      <c r="G344" s="9" t="s">
        <v>373</v>
      </c>
      <c r="H344" s="3">
        <f t="shared" si="15"/>
        <v>21971</v>
      </c>
      <c r="I344" s="3">
        <f t="shared" si="16"/>
        <v>3515.36</v>
      </c>
    </row>
    <row r="345" spans="1:10">
      <c r="A345" s="174" t="s">
        <v>7099</v>
      </c>
      <c r="B345">
        <v>85</v>
      </c>
      <c r="F345" s="9" t="s">
        <v>784</v>
      </c>
      <c r="G345" s="9" t="s">
        <v>618</v>
      </c>
      <c r="H345" s="3">
        <f t="shared" si="15"/>
        <v>173</v>
      </c>
      <c r="I345" s="3">
        <f t="shared" si="16"/>
        <v>27.68</v>
      </c>
    </row>
    <row r="346" spans="1:10">
      <c r="A346" s="174" t="s">
        <v>7099</v>
      </c>
      <c r="B346">
        <v>85</v>
      </c>
      <c r="F346" s="9" t="s">
        <v>739</v>
      </c>
      <c r="G346" s="9" t="s">
        <v>469</v>
      </c>
      <c r="H346" s="3">
        <f t="shared" si="15"/>
        <v>861.99999999999989</v>
      </c>
      <c r="I346" s="3">
        <f t="shared" si="16"/>
        <v>137.91999999999999</v>
      </c>
    </row>
    <row r="347" spans="1:10">
      <c r="A347" s="174" t="s">
        <v>7099</v>
      </c>
      <c r="B347">
        <v>85</v>
      </c>
      <c r="F347" s="9" t="s">
        <v>788</v>
      </c>
      <c r="G347" s="9" t="s">
        <v>569</v>
      </c>
      <c r="H347" s="3">
        <f t="shared" si="15"/>
        <v>70.6875</v>
      </c>
      <c r="I347" s="3">
        <f t="shared" si="16"/>
        <v>11.31</v>
      </c>
    </row>
    <row r="348" spans="1:10">
      <c r="A348" s="174" t="s">
        <v>7099</v>
      </c>
      <c r="B348">
        <v>85</v>
      </c>
      <c r="F348" s="28" t="s">
        <v>954</v>
      </c>
      <c r="G348" s="28" t="s">
        <v>2276</v>
      </c>
      <c r="H348" s="3">
        <f t="shared" si="15"/>
        <v>844.06249999999989</v>
      </c>
      <c r="I348" s="3">
        <f t="shared" si="16"/>
        <v>135.04999999999998</v>
      </c>
    </row>
    <row r="349" spans="1:10">
      <c r="A349" s="174" t="s">
        <v>7099</v>
      </c>
      <c r="B349">
        <v>85</v>
      </c>
      <c r="F349" s="28" t="s">
        <v>1655</v>
      </c>
      <c r="G349" s="28" t="s">
        <v>3772</v>
      </c>
      <c r="H349" s="3">
        <f t="shared" si="15"/>
        <v>825.75</v>
      </c>
      <c r="I349" s="3">
        <f t="shared" si="16"/>
        <v>132.12</v>
      </c>
    </row>
    <row r="350" spans="1:10">
      <c r="A350" s="174" t="s">
        <v>7099</v>
      </c>
      <c r="B350">
        <v>85</v>
      </c>
      <c r="F350" s="9" t="s">
        <v>3763</v>
      </c>
      <c r="G350" s="9" t="s">
        <v>3624</v>
      </c>
      <c r="H350" s="3">
        <f t="shared" si="15"/>
        <v>206.875</v>
      </c>
      <c r="I350" s="3">
        <f t="shared" si="16"/>
        <v>33.1</v>
      </c>
    </row>
    <row r="351" spans="1:10">
      <c r="A351" s="174" t="s">
        <v>7099</v>
      </c>
      <c r="B351">
        <v>6</v>
      </c>
      <c r="F351" s="9" t="s">
        <v>2302</v>
      </c>
      <c r="G351" s="9" t="s">
        <v>1969</v>
      </c>
      <c r="H351" s="3">
        <f t="shared" si="15"/>
        <v>238.375</v>
      </c>
      <c r="I351" s="3">
        <f t="shared" si="16"/>
        <v>38.14</v>
      </c>
      <c r="J351">
        <v>9.5399999999999991</v>
      </c>
    </row>
    <row r="352" spans="1:10">
      <c r="A352" s="174" t="s">
        <v>7099</v>
      </c>
      <c r="B352">
        <v>85</v>
      </c>
      <c r="F352" s="9" t="s">
        <v>794</v>
      </c>
      <c r="G352" s="9" t="s">
        <v>612</v>
      </c>
      <c r="H352" s="3">
        <f t="shared" si="15"/>
        <v>454.0625</v>
      </c>
      <c r="I352" s="3">
        <f t="shared" si="16"/>
        <v>72.650000000000006</v>
      </c>
    </row>
    <row r="353" spans="1:9">
      <c r="A353" s="174" t="s">
        <v>7099</v>
      </c>
      <c r="B353">
        <v>85</v>
      </c>
      <c r="F353" s="9" t="s">
        <v>778</v>
      </c>
      <c r="G353" s="9" t="s">
        <v>3765</v>
      </c>
      <c r="H353" s="3">
        <f t="shared" si="15"/>
        <v>1150</v>
      </c>
      <c r="I353" s="3">
        <f t="shared" si="16"/>
        <v>184</v>
      </c>
    </row>
    <row r="354" spans="1:9">
      <c r="A354" s="174" t="s">
        <v>7099</v>
      </c>
      <c r="B354">
        <v>85</v>
      </c>
      <c r="F354" s="9" t="s">
        <v>3347</v>
      </c>
      <c r="G354" s="9" t="s">
        <v>3606</v>
      </c>
      <c r="H354" s="3">
        <f t="shared" si="15"/>
        <v>447.49999999999994</v>
      </c>
      <c r="I354" s="3">
        <f t="shared" si="16"/>
        <v>71.599999999999994</v>
      </c>
    </row>
    <row r="355" spans="1:9">
      <c r="A355" s="174" t="s">
        <v>7099</v>
      </c>
      <c r="B355">
        <v>85</v>
      </c>
      <c r="F355" s="9" t="s">
        <v>3758</v>
      </c>
      <c r="G355" s="9" t="s">
        <v>3592</v>
      </c>
      <c r="H355" s="3">
        <f t="shared" si="15"/>
        <v>734.5</v>
      </c>
      <c r="I355" s="3">
        <f t="shared" si="16"/>
        <v>117.52</v>
      </c>
    </row>
    <row r="356" spans="1:9">
      <c r="A356" s="174" t="s">
        <v>7099</v>
      </c>
      <c r="B356">
        <v>85</v>
      </c>
      <c r="F356" s="12" t="s">
        <v>798</v>
      </c>
      <c r="G356" s="9" t="s">
        <v>77</v>
      </c>
      <c r="H356" s="3">
        <f t="shared" si="15"/>
        <v>1239.9999999999998</v>
      </c>
      <c r="I356" s="3">
        <f t="shared" si="16"/>
        <v>198.39999999999998</v>
      </c>
    </row>
    <row r="357" spans="1:9">
      <c r="A357" s="174" t="s">
        <v>7099</v>
      </c>
      <c r="B357">
        <v>85</v>
      </c>
      <c r="F357" s="28" t="s">
        <v>3766</v>
      </c>
      <c r="G357" s="28" t="s">
        <v>3767</v>
      </c>
      <c r="H357" s="3">
        <f t="shared" si="15"/>
        <v>434.25</v>
      </c>
      <c r="I357" s="3">
        <f t="shared" si="16"/>
        <v>69.48</v>
      </c>
    </row>
    <row r="358" spans="1:9">
      <c r="A358" s="174" t="s">
        <v>7099</v>
      </c>
      <c r="B358">
        <v>85</v>
      </c>
      <c r="F358" s="9" t="s">
        <v>3365</v>
      </c>
      <c r="G358" s="9" t="s">
        <v>3366</v>
      </c>
      <c r="H358" s="3">
        <f t="shared" si="15"/>
        <v>3006.0625</v>
      </c>
      <c r="I358" s="3">
        <f t="shared" si="16"/>
        <v>480.97</v>
      </c>
    </row>
    <row r="359" spans="1:9">
      <c r="A359" s="174" t="s">
        <v>7099</v>
      </c>
      <c r="B359">
        <v>85</v>
      </c>
      <c r="F359" s="33" t="s">
        <v>948</v>
      </c>
      <c r="G359" t="s">
        <v>947</v>
      </c>
      <c r="H359" s="3">
        <f t="shared" si="15"/>
        <v>10909.749999999998</v>
      </c>
      <c r="I359" s="3">
        <f t="shared" si="16"/>
        <v>1745.5599999999997</v>
      </c>
    </row>
    <row r="360" spans="1:9">
      <c r="A360" s="174" t="s">
        <v>7099</v>
      </c>
      <c r="B360">
        <v>85</v>
      </c>
      <c r="F360" s="9" t="s">
        <v>1687</v>
      </c>
      <c r="G360" s="9" t="s">
        <v>1688</v>
      </c>
      <c r="H360" s="3">
        <f t="shared" si="15"/>
        <v>633.625</v>
      </c>
      <c r="I360" s="3">
        <f t="shared" si="16"/>
        <v>101.38</v>
      </c>
    </row>
    <row r="361" spans="1:9">
      <c r="A361" s="174" t="s">
        <v>7099</v>
      </c>
      <c r="B361">
        <v>85</v>
      </c>
      <c r="F361" s="28" t="s">
        <v>3785</v>
      </c>
      <c r="G361" s="28" t="s">
        <v>3786</v>
      </c>
      <c r="H361" s="3">
        <f t="shared" si="15"/>
        <v>167</v>
      </c>
      <c r="I361" s="3">
        <f t="shared" si="16"/>
        <v>26.72</v>
      </c>
    </row>
    <row r="362" spans="1:9">
      <c r="A362" s="174" t="s">
        <v>7099</v>
      </c>
      <c r="B362">
        <v>85</v>
      </c>
      <c r="F362" s="9" t="s">
        <v>2851</v>
      </c>
      <c r="G362" s="9" t="s">
        <v>2852</v>
      </c>
      <c r="H362" s="3">
        <f t="shared" si="15"/>
        <v>334.0625</v>
      </c>
      <c r="I362" s="3">
        <f t="shared" si="16"/>
        <v>53.45</v>
      </c>
    </row>
    <row r="363" spans="1:9">
      <c r="A363" s="174" t="s">
        <v>7099</v>
      </c>
      <c r="B363">
        <v>85</v>
      </c>
      <c r="F363" s="9" t="s">
        <v>3759</v>
      </c>
      <c r="G363" s="9" t="s">
        <v>3612</v>
      </c>
      <c r="H363" s="3">
        <f t="shared" si="15"/>
        <v>409.49999999999994</v>
      </c>
      <c r="I363" s="3">
        <f t="shared" si="16"/>
        <v>65.52</v>
      </c>
    </row>
    <row r="364" spans="1:9">
      <c r="A364" s="174" t="s">
        <v>7099</v>
      </c>
      <c r="B364">
        <v>85</v>
      </c>
      <c r="F364" s="28" t="s">
        <v>2277</v>
      </c>
      <c r="G364" s="28" t="s">
        <v>2278</v>
      </c>
      <c r="H364" s="3">
        <f t="shared" si="15"/>
        <v>383.125</v>
      </c>
      <c r="I364" s="3">
        <f t="shared" si="16"/>
        <v>61.3</v>
      </c>
    </row>
    <row r="365" spans="1:9">
      <c r="A365" s="174" t="s">
        <v>7099</v>
      </c>
      <c r="B365">
        <v>85</v>
      </c>
      <c r="F365" s="12" t="s">
        <v>3754</v>
      </c>
      <c r="G365" s="9" t="s">
        <v>3755</v>
      </c>
      <c r="H365" s="3">
        <f t="shared" si="15"/>
        <v>431.0625</v>
      </c>
      <c r="I365" s="3">
        <f t="shared" si="16"/>
        <v>68.97</v>
      </c>
    </row>
    <row r="366" spans="1:9">
      <c r="A366" s="174" t="s">
        <v>7099</v>
      </c>
      <c r="B366">
        <v>85</v>
      </c>
      <c r="F366" s="28" t="s">
        <v>2336</v>
      </c>
      <c r="G366" s="28" t="s">
        <v>2337</v>
      </c>
      <c r="H366" s="3">
        <f t="shared" si="15"/>
        <v>334.125</v>
      </c>
      <c r="I366" s="3">
        <f t="shared" si="16"/>
        <v>53.46</v>
      </c>
    </row>
    <row r="367" spans="1:9">
      <c r="A367" s="174" t="s">
        <v>7099</v>
      </c>
      <c r="B367">
        <v>85</v>
      </c>
      <c r="F367" s="28" t="s">
        <v>3787</v>
      </c>
      <c r="G367" s="28" t="s">
        <v>3788</v>
      </c>
      <c r="H367" s="3">
        <f t="shared" si="15"/>
        <v>367.5</v>
      </c>
      <c r="I367" s="3">
        <f t="shared" si="16"/>
        <v>58.8</v>
      </c>
    </row>
    <row r="368" spans="1:9">
      <c r="A368" s="174" t="s">
        <v>7099</v>
      </c>
      <c r="B368">
        <v>85</v>
      </c>
      <c r="F368" s="9" t="s">
        <v>3803</v>
      </c>
      <c r="G368" s="9" t="s">
        <v>3804</v>
      </c>
      <c r="H368" s="3">
        <f t="shared" si="15"/>
        <v>78</v>
      </c>
      <c r="I368" s="3">
        <f t="shared" si="16"/>
        <v>12.48</v>
      </c>
    </row>
    <row r="369" spans="1:10">
      <c r="A369" s="174" t="s">
        <v>7099</v>
      </c>
      <c r="B369">
        <v>85</v>
      </c>
      <c r="F369" s="9" t="s">
        <v>3764</v>
      </c>
      <c r="G369" s="9" t="s">
        <v>3616</v>
      </c>
      <c r="H369" s="3">
        <f t="shared" si="15"/>
        <v>110.31249999999999</v>
      </c>
      <c r="I369" s="3">
        <f t="shared" si="16"/>
        <v>17.649999999999999</v>
      </c>
    </row>
    <row r="370" spans="1:10">
      <c r="A370" s="174" t="s">
        <v>7099</v>
      </c>
      <c r="B370">
        <v>85</v>
      </c>
      <c r="F370" s="12" t="s">
        <v>830</v>
      </c>
      <c r="G370" s="20" t="s">
        <v>831</v>
      </c>
      <c r="H370" s="3">
        <f t="shared" si="15"/>
        <v>430</v>
      </c>
      <c r="I370" s="3">
        <f t="shared" si="16"/>
        <v>68.8</v>
      </c>
    </row>
    <row r="371" spans="1:10">
      <c r="A371" s="174" t="s">
        <v>7099</v>
      </c>
      <c r="B371">
        <v>85</v>
      </c>
      <c r="F371" s="9" t="s">
        <v>803</v>
      </c>
      <c r="G371" s="9" t="s">
        <v>74</v>
      </c>
      <c r="H371" s="3">
        <f t="shared" si="15"/>
        <v>14458.1875</v>
      </c>
      <c r="I371" s="3">
        <f t="shared" si="16"/>
        <v>2313.31</v>
      </c>
    </row>
    <row r="372" spans="1:10">
      <c r="A372" s="174" t="s">
        <v>7099</v>
      </c>
      <c r="B372">
        <v>85</v>
      </c>
      <c r="F372" s="9" t="s">
        <v>805</v>
      </c>
      <c r="G372" s="9" t="s">
        <v>112</v>
      </c>
      <c r="H372" s="3">
        <f t="shared" si="15"/>
        <v>25000</v>
      </c>
      <c r="I372" s="3">
        <f t="shared" si="16"/>
        <v>4000</v>
      </c>
    </row>
    <row r="373" spans="1:10">
      <c r="A373" s="174" t="s">
        <v>7099</v>
      </c>
      <c r="B373">
        <v>85</v>
      </c>
      <c r="F373" s="12" t="s">
        <v>2922</v>
      </c>
      <c r="G373" s="9" t="s">
        <v>2923</v>
      </c>
      <c r="H373" s="3">
        <f t="shared" si="15"/>
        <v>4991.625</v>
      </c>
      <c r="I373" s="3">
        <f t="shared" si="16"/>
        <v>798.66000000000008</v>
      </c>
    </row>
    <row r="374" spans="1:10">
      <c r="A374" s="174" t="s">
        <v>7099</v>
      </c>
      <c r="B374">
        <v>85</v>
      </c>
      <c r="F374" s="17" t="s">
        <v>814</v>
      </c>
      <c r="G374" s="9" t="s">
        <v>815</v>
      </c>
      <c r="H374" s="3">
        <f t="shared" ref="H374:H436" si="17">+I374/0.16</f>
        <v>398689.875</v>
      </c>
      <c r="I374" s="3">
        <f t="shared" ref="I374:I436" si="18">+SUMIF($F$11:$F$301,F374,$I$11:$I$301)</f>
        <v>63790.38</v>
      </c>
    </row>
    <row r="375" spans="1:10">
      <c r="A375" s="174" t="s">
        <v>7099</v>
      </c>
      <c r="B375">
        <v>85</v>
      </c>
      <c r="F375" s="9" t="s">
        <v>754</v>
      </c>
      <c r="G375" s="9" t="s">
        <v>1219</v>
      </c>
      <c r="H375" s="3">
        <f t="shared" si="17"/>
        <v>2500</v>
      </c>
      <c r="I375" s="3">
        <f t="shared" si="18"/>
        <v>400</v>
      </c>
    </row>
    <row r="376" spans="1:10">
      <c r="A376" s="174" t="s">
        <v>7099</v>
      </c>
      <c r="B376">
        <v>6</v>
      </c>
      <c r="F376" s="18" t="s">
        <v>816</v>
      </c>
      <c r="G376" s="19" t="s">
        <v>5</v>
      </c>
      <c r="H376" s="3">
        <f t="shared" si="17"/>
        <v>107142.875</v>
      </c>
      <c r="I376" s="3">
        <f t="shared" si="18"/>
        <v>17142.86</v>
      </c>
      <c r="J376">
        <v>11428.57</v>
      </c>
    </row>
    <row r="377" spans="1:10">
      <c r="A377" s="174" t="s">
        <v>7099</v>
      </c>
      <c r="B377">
        <v>85</v>
      </c>
      <c r="F377" s="28" t="s">
        <v>3789</v>
      </c>
      <c r="G377" s="28" t="s">
        <v>3790</v>
      </c>
      <c r="H377" s="3">
        <f t="shared" si="17"/>
        <v>506.4375</v>
      </c>
      <c r="I377" s="3">
        <f t="shared" si="18"/>
        <v>81.03</v>
      </c>
    </row>
    <row r="378" spans="1:10">
      <c r="A378" s="174" t="s">
        <v>7099</v>
      </c>
      <c r="B378">
        <v>85</v>
      </c>
      <c r="F378" s="9" t="s">
        <v>738</v>
      </c>
      <c r="G378" s="9" t="s">
        <v>517</v>
      </c>
      <c r="H378" s="3">
        <f t="shared" si="17"/>
        <v>182.25</v>
      </c>
      <c r="I378" s="3">
        <f t="shared" si="18"/>
        <v>29.16</v>
      </c>
    </row>
    <row r="379" spans="1:10">
      <c r="A379" s="174" t="s">
        <v>7099</v>
      </c>
      <c r="B379">
        <v>85</v>
      </c>
      <c r="F379" s="9" t="s">
        <v>3773</v>
      </c>
      <c r="G379" s="9" t="s">
        <v>3774</v>
      </c>
      <c r="H379" s="3">
        <f t="shared" si="17"/>
        <v>120.68749999999999</v>
      </c>
      <c r="I379" s="3">
        <f t="shared" si="18"/>
        <v>19.309999999999999</v>
      </c>
    </row>
    <row r="380" spans="1:10">
      <c r="A380" s="174" t="s">
        <v>7099</v>
      </c>
      <c r="B380">
        <v>85</v>
      </c>
      <c r="F380" s="9" t="s">
        <v>836</v>
      </c>
      <c r="G380" s="9" t="s">
        <v>3644</v>
      </c>
      <c r="H380" s="3">
        <f t="shared" si="17"/>
        <v>70</v>
      </c>
      <c r="I380" s="3">
        <f t="shared" si="18"/>
        <v>11.2</v>
      </c>
    </row>
    <row r="381" spans="1:10">
      <c r="A381" s="174" t="s">
        <v>7099</v>
      </c>
      <c r="B381">
        <v>85</v>
      </c>
      <c r="F381" s="9" t="s">
        <v>820</v>
      </c>
      <c r="G381" s="9" t="s">
        <v>97</v>
      </c>
      <c r="H381" s="3">
        <f t="shared" si="17"/>
        <v>3191.9375</v>
      </c>
      <c r="I381" s="3">
        <f t="shared" si="18"/>
        <v>510.71</v>
      </c>
    </row>
    <row r="382" spans="1:10">
      <c r="A382" s="174" t="s">
        <v>7099</v>
      </c>
      <c r="B382">
        <v>85</v>
      </c>
      <c r="F382" s="9" t="s">
        <v>1706</v>
      </c>
      <c r="G382" s="9" t="s">
        <v>1707</v>
      </c>
      <c r="H382" s="3">
        <f t="shared" si="17"/>
        <v>86.187499999999986</v>
      </c>
      <c r="I382" s="3">
        <f t="shared" si="18"/>
        <v>13.79</v>
      </c>
    </row>
    <row r="383" spans="1:10">
      <c r="A383" s="174" t="s">
        <v>7099</v>
      </c>
      <c r="B383">
        <v>85</v>
      </c>
      <c r="F383" s="9" t="s">
        <v>1615</v>
      </c>
      <c r="G383" s="9" t="s">
        <v>1449</v>
      </c>
      <c r="H383" s="3">
        <f t="shared" si="17"/>
        <v>334.1875</v>
      </c>
      <c r="I383" s="3">
        <f t="shared" si="18"/>
        <v>53.47</v>
      </c>
    </row>
    <row r="384" spans="1:10">
      <c r="A384" s="174" t="s">
        <v>7099</v>
      </c>
      <c r="B384">
        <v>85</v>
      </c>
      <c r="F384" s="9" t="s">
        <v>818</v>
      </c>
      <c r="G384" s="9" t="s">
        <v>584</v>
      </c>
      <c r="H384" s="3">
        <f t="shared" si="17"/>
        <v>934.87500000000011</v>
      </c>
      <c r="I384" s="3">
        <f t="shared" si="18"/>
        <v>149.58000000000001</v>
      </c>
    </row>
    <row r="385" spans="1:10">
      <c r="A385" s="174" t="s">
        <v>7099</v>
      </c>
      <c r="B385">
        <v>85</v>
      </c>
      <c r="F385" s="9" t="s">
        <v>733</v>
      </c>
      <c r="G385" s="9" t="s">
        <v>124</v>
      </c>
      <c r="H385" s="3">
        <f t="shared" si="17"/>
        <v>6614.6874999999991</v>
      </c>
      <c r="I385" s="3">
        <f t="shared" si="18"/>
        <v>1058.3499999999999</v>
      </c>
    </row>
    <row r="386" spans="1:10">
      <c r="A386" s="174" t="s">
        <v>7099</v>
      </c>
      <c r="B386">
        <v>85</v>
      </c>
      <c r="F386" s="12" t="s">
        <v>839</v>
      </c>
      <c r="G386" s="9" t="s">
        <v>229</v>
      </c>
      <c r="H386" s="3">
        <f t="shared" si="17"/>
        <v>2886</v>
      </c>
      <c r="I386" s="3">
        <f t="shared" si="18"/>
        <v>461.76</v>
      </c>
    </row>
    <row r="387" spans="1:10">
      <c r="A387" s="174" t="s">
        <v>7099</v>
      </c>
      <c r="B387">
        <v>85</v>
      </c>
      <c r="F387" s="9" t="s">
        <v>842</v>
      </c>
      <c r="G387" s="9" t="s">
        <v>716</v>
      </c>
      <c r="H387" s="3">
        <f t="shared" si="17"/>
        <v>2155.1875</v>
      </c>
      <c r="I387" s="3">
        <f t="shared" si="18"/>
        <v>344.83</v>
      </c>
    </row>
    <row r="388" spans="1:10">
      <c r="A388" s="174" t="s">
        <v>7099</v>
      </c>
      <c r="B388">
        <v>85</v>
      </c>
      <c r="F388" s="28" t="s">
        <v>1700</v>
      </c>
      <c r="G388" s="28" t="s">
        <v>1701</v>
      </c>
      <c r="H388" s="3">
        <f t="shared" si="17"/>
        <v>417.5</v>
      </c>
      <c r="I388" s="3">
        <f t="shared" si="18"/>
        <v>66.8</v>
      </c>
    </row>
    <row r="389" spans="1:10">
      <c r="A389" s="174" t="s">
        <v>7099</v>
      </c>
      <c r="B389">
        <v>85</v>
      </c>
      <c r="F389" s="12" t="s">
        <v>2858</v>
      </c>
      <c r="G389" s="9" t="s">
        <v>2830</v>
      </c>
      <c r="H389" s="3">
        <f t="shared" si="17"/>
        <v>7175.8125000000009</v>
      </c>
      <c r="I389" s="3">
        <f t="shared" si="18"/>
        <v>1148.1300000000001</v>
      </c>
    </row>
    <row r="390" spans="1:10">
      <c r="A390" s="174" t="s">
        <v>7099</v>
      </c>
      <c r="B390">
        <v>6</v>
      </c>
      <c r="F390" s="18" t="s">
        <v>843</v>
      </c>
      <c r="G390" s="19" t="s">
        <v>844</v>
      </c>
      <c r="H390" s="3">
        <f t="shared" si="17"/>
        <v>107142.875</v>
      </c>
      <c r="I390" s="3">
        <f t="shared" si="18"/>
        <v>17142.86</v>
      </c>
      <c r="J390">
        <v>11428.57</v>
      </c>
    </row>
    <row r="391" spans="1:10">
      <c r="A391" s="174" t="s">
        <v>7099</v>
      </c>
      <c r="B391">
        <v>85</v>
      </c>
      <c r="F391" s="9" t="s">
        <v>2924</v>
      </c>
      <c r="G391" s="9" t="s">
        <v>2925</v>
      </c>
      <c r="H391" s="3">
        <f t="shared" si="17"/>
        <v>101.75</v>
      </c>
      <c r="I391" s="3">
        <f t="shared" si="18"/>
        <v>16.28</v>
      </c>
    </row>
    <row r="392" spans="1:10">
      <c r="A392" s="174" t="s">
        <v>7099</v>
      </c>
      <c r="B392">
        <v>85</v>
      </c>
      <c r="F392" s="9" t="s">
        <v>847</v>
      </c>
      <c r="G392" s="9" t="s">
        <v>3750</v>
      </c>
      <c r="H392" s="3">
        <f t="shared" si="17"/>
        <v>168.875</v>
      </c>
      <c r="I392" s="3">
        <f t="shared" si="18"/>
        <v>27.02</v>
      </c>
    </row>
    <row r="393" spans="1:10">
      <c r="A393" s="174" t="s">
        <v>7099</v>
      </c>
      <c r="B393">
        <v>85</v>
      </c>
      <c r="F393" s="12" t="s">
        <v>856</v>
      </c>
      <c r="G393" s="9" t="s">
        <v>2947</v>
      </c>
      <c r="H393" s="3">
        <f t="shared" si="17"/>
        <v>836246.99999999988</v>
      </c>
      <c r="I393" s="3">
        <f t="shared" si="18"/>
        <v>133799.51999999999</v>
      </c>
    </row>
    <row r="394" spans="1:10">
      <c r="A394" s="174" t="s">
        <v>7099</v>
      </c>
      <c r="B394">
        <v>85</v>
      </c>
      <c r="F394" s="12" t="s">
        <v>851</v>
      </c>
      <c r="G394" s="9" t="s">
        <v>86</v>
      </c>
      <c r="H394" s="3">
        <f t="shared" si="17"/>
        <v>4313.375</v>
      </c>
      <c r="I394" s="3">
        <f t="shared" si="18"/>
        <v>690.14</v>
      </c>
    </row>
    <row r="395" spans="1:10">
      <c r="A395" s="174" t="s">
        <v>7099</v>
      </c>
      <c r="B395">
        <v>85</v>
      </c>
      <c r="F395" s="9" t="s">
        <v>3775</v>
      </c>
      <c r="G395" s="9" t="s">
        <v>3776</v>
      </c>
      <c r="H395" s="3">
        <f t="shared" si="17"/>
        <v>205.87499999999997</v>
      </c>
      <c r="I395" s="3">
        <f t="shared" si="18"/>
        <v>32.94</v>
      </c>
    </row>
    <row r="396" spans="1:10">
      <c r="A396" s="174" t="s">
        <v>7099</v>
      </c>
      <c r="B396">
        <v>85</v>
      </c>
      <c r="F396" s="9" t="s">
        <v>3374</v>
      </c>
      <c r="G396" s="9" t="s">
        <v>3609</v>
      </c>
      <c r="H396" s="3">
        <f t="shared" si="17"/>
        <v>431.0625</v>
      </c>
      <c r="I396" s="3">
        <f t="shared" si="18"/>
        <v>68.97</v>
      </c>
    </row>
    <row r="397" spans="1:10">
      <c r="A397" s="174" t="s">
        <v>7099</v>
      </c>
      <c r="B397">
        <v>85</v>
      </c>
      <c r="F397" s="28" t="s">
        <v>925</v>
      </c>
      <c r="G397" s="28" t="s">
        <v>926</v>
      </c>
      <c r="H397" s="3">
        <f t="shared" si="17"/>
        <v>709.75</v>
      </c>
      <c r="I397" s="3">
        <f t="shared" si="18"/>
        <v>113.56</v>
      </c>
    </row>
    <row r="398" spans="1:10">
      <c r="A398" s="174" t="s">
        <v>7099</v>
      </c>
      <c r="B398">
        <v>85</v>
      </c>
      <c r="F398" s="12" t="s">
        <v>849</v>
      </c>
      <c r="G398" s="9" t="s">
        <v>127</v>
      </c>
      <c r="H398" s="3">
        <f t="shared" si="17"/>
        <v>14800</v>
      </c>
      <c r="I398" s="3">
        <f t="shared" si="18"/>
        <v>2368</v>
      </c>
    </row>
    <row r="399" spans="1:10">
      <c r="A399" s="174" t="s">
        <v>7099</v>
      </c>
      <c r="B399">
        <v>85</v>
      </c>
      <c r="F399" s="9" t="s">
        <v>850</v>
      </c>
      <c r="G399" s="9" t="s">
        <v>89</v>
      </c>
      <c r="H399" s="3">
        <f t="shared" si="17"/>
        <v>20700</v>
      </c>
      <c r="I399" s="3">
        <f t="shared" si="18"/>
        <v>3312</v>
      </c>
    </row>
    <row r="400" spans="1:10">
      <c r="A400" s="174" t="s">
        <v>7099</v>
      </c>
      <c r="B400">
        <v>85</v>
      </c>
      <c r="F400" s="28" t="s">
        <v>2287</v>
      </c>
      <c r="G400" s="28" t="s">
        <v>2288</v>
      </c>
      <c r="H400" s="3">
        <f t="shared" si="17"/>
        <v>334</v>
      </c>
      <c r="I400" s="3">
        <f t="shared" si="18"/>
        <v>53.44</v>
      </c>
    </row>
    <row r="401" spans="1:9">
      <c r="A401" s="174" t="s">
        <v>7099</v>
      </c>
      <c r="B401">
        <v>85</v>
      </c>
      <c r="F401" s="12" t="s">
        <v>2861</v>
      </c>
      <c r="G401" s="9" t="s">
        <v>2750</v>
      </c>
      <c r="H401" s="3">
        <f t="shared" si="17"/>
        <v>8750</v>
      </c>
      <c r="I401" s="3">
        <f t="shared" si="18"/>
        <v>1400</v>
      </c>
    </row>
    <row r="402" spans="1:9">
      <c r="A402" s="174" t="s">
        <v>7099</v>
      </c>
      <c r="B402">
        <v>85</v>
      </c>
      <c r="F402" s="9" t="s">
        <v>1626</v>
      </c>
      <c r="G402" s="9" t="s">
        <v>3760</v>
      </c>
      <c r="H402" s="3">
        <f t="shared" si="17"/>
        <v>2200</v>
      </c>
      <c r="I402" s="3">
        <f t="shared" si="18"/>
        <v>352</v>
      </c>
    </row>
    <row r="403" spans="1:9">
      <c r="A403" s="174" t="s">
        <v>7099</v>
      </c>
      <c r="B403">
        <v>85</v>
      </c>
      <c r="F403" s="9" t="s">
        <v>858</v>
      </c>
      <c r="G403" s="9" t="s">
        <v>121</v>
      </c>
      <c r="H403" s="3">
        <f t="shared" si="17"/>
        <v>1886.4374999999998</v>
      </c>
      <c r="I403" s="3">
        <f t="shared" si="18"/>
        <v>301.83</v>
      </c>
    </row>
    <row r="404" spans="1:9">
      <c r="A404" s="174" t="s">
        <v>7099</v>
      </c>
      <c r="B404">
        <v>85</v>
      </c>
      <c r="F404" s="13" t="s">
        <v>862</v>
      </c>
      <c r="G404" s="9" t="s">
        <v>2394</v>
      </c>
      <c r="H404" s="3">
        <f t="shared" si="17"/>
        <v>288927.5</v>
      </c>
      <c r="I404" s="3">
        <f t="shared" si="18"/>
        <v>46228.4</v>
      </c>
    </row>
    <row r="405" spans="1:9">
      <c r="A405" s="174" t="s">
        <v>7099</v>
      </c>
      <c r="B405">
        <v>85</v>
      </c>
      <c r="F405" s="28" t="s">
        <v>3777</v>
      </c>
      <c r="G405" s="28" t="s">
        <v>3778</v>
      </c>
      <c r="H405" s="3">
        <f t="shared" si="17"/>
        <v>902.43749999999989</v>
      </c>
      <c r="I405" s="3">
        <f t="shared" si="18"/>
        <v>144.38999999999999</v>
      </c>
    </row>
    <row r="406" spans="1:9">
      <c r="A406" s="174" t="s">
        <v>7099</v>
      </c>
      <c r="B406">
        <v>85</v>
      </c>
      <c r="F406" s="9" t="s">
        <v>3768</v>
      </c>
      <c r="G406" s="9" t="s">
        <v>3769</v>
      </c>
      <c r="H406" s="3">
        <f t="shared" si="17"/>
        <v>709.62499999999989</v>
      </c>
      <c r="I406" s="3">
        <f t="shared" si="18"/>
        <v>113.53999999999999</v>
      </c>
    </row>
    <row r="407" spans="1:9">
      <c r="A407" s="174" t="s">
        <v>7099</v>
      </c>
      <c r="B407">
        <v>85</v>
      </c>
      <c r="F407" s="8" t="s">
        <v>921</v>
      </c>
      <c r="G407" s="9" t="s">
        <v>922</v>
      </c>
      <c r="H407" s="3">
        <f t="shared" si="17"/>
        <v>40533.3125</v>
      </c>
      <c r="I407" s="3">
        <f t="shared" si="18"/>
        <v>6485.33</v>
      </c>
    </row>
    <row r="408" spans="1:9">
      <c r="A408" s="174" t="s">
        <v>7099</v>
      </c>
      <c r="B408">
        <v>85</v>
      </c>
      <c r="F408" s="9" t="s">
        <v>2312</v>
      </c>
      <c r="G408" s="9" t="s">
        <v>2687</v>
      </c>
      <c r="H408" s="3">
        <f t="shared" si="17"/>
        <v>260.375</v>
      </c>
      <c r="I408" s="3">
        <f t="shared" si="18"/>
        <v>41.66</v>
      </c>
    </row>
    <row r="409" spans="1:9">
      <c r="A409" s="174" t="s">
        <v>7099</v>
      </c>
      <c r="B409">
        <v>85</v>
      </c>
      <c r="F409" s="9" t="s">
        <v>2313</v>
      </c>
      <c r="G409" s="9" t="s">
        <v>3090</v>
      </c>
      <c r="H409" s="3">
        <f t="shared" si="17"/>
        <v>600</v>
      </c>
      <c r="I409" s="3">
        <f t="shared" si="18"/>
        <v>96</v>
      </c>
    </row>
    <row r="410" spans="1:9">
      <c r="A410" s="174" t="s">
        <v>7099</v>
      </c>
      <c r="B410">
        <v>85</v>
      </c>
      <c r="F410" s="9" t="s">
        <v>869</v>
      </c>
      <c r="G410" s="9" t="s">
        <v>1455</v>
      </c>
      <c r="H410" s="3">
        <f t="shared" si="17"/>
        <v>113.25</v>
      </c>
      <c r="I410" s="3">
        <f t="shared" si="18"/>
        <v>18.12</v>
      </c>
    </row>
    <row r="411" spans="1:9">
      <c r="A411" s="174" t="s">
        <v>7099</v>
      </c>
      <c r="B411">
        <v>85</v>
      </c>
      <c r="F411" s="9" t="s">
        <v>868</v>
      </c>
      <c r="G411" s="9" t="s">
        <v>94</v>
      </c>
      <c r="H411" s="3">
        <f t="shared" si="17"/>
        <v>48850</v>
      </c>
      <c r="I411" s="3">
        <f t="shared" si="18"/>
        <v>7816</v>
      </c>
    </row>
    <row r="412" spans="1:9">
      <c r="A412" s="174" t="s">
        <v>7099</v>
      </c>
      <c r="B412">
        <v>85</v>
      </c>
      <c r="F412" s="12" t="s">
        <v>2910</v>
      </c>
      <c r="G412" s="9" t="s">
        <v>2911</v>
      </c>
      <c r="H412" s="3">
        <f t="shared" si="17"/>
        <v>580.9375</v>
      </c>
      <c r="I412" s="3">
        <f t="shared" si="18"/>
        <v>92.95</v>
      </c>
    </row>
    <row r="413" spans="1:9">
      <c r="A413" s="174" t="s">
        <v>7099</v>
      </c>
      <c r="B413">
        <v>85</v>
      </c>
      <c r="F413" s="9" t="s">
        <v>1682</v>
      </c>
      <c r="G413" s="9" t="s">
        <v>1683</v>
      </c>
      <c r="H413" s="3">
        <f t="shared" si="17"/>
        <v>90.5</v>
      </c>
      <c r="I413" s="3">
        <f t="shared" si="18"/>
        <v>14.48</v>
      </c>
    </row>
    <row r="414" spans="1:9">
      <c r="A414" s="174" t="s">
        <v>7099</v>
      </c>
      <c r="B414">
        <v>85</v>
      </c>
      <c r="F414" s="28" t="s">
        <v>943</v>
      </c>
      <c r="G414" s="28" t="s">
        <v>3761</v>
      </c>
      <c r="H414" s="3">
        <f t="shared" si="17"/>
        <v>82.375</v>
      </c>
      <c r="I414" s="3">
        <f t="shared" si="18"/>
        <v>13.18</v>
      </c>
    </row>
    <row r="415" spans="1:9">
      <c r="A415" s="174" t="s">
        <v>7099</v>
      </c>
      <c r="B415">
        <v>85</v>
      </c>
      <c r="F415" s="28" t="s">
        <v>3791</v>
      </c>
      <c r="G415" s="28" t="s">
        <v>3792</v>
      </c>
      <c r="H415" s="3">
        <f t="shared" si="17"/>
        <v>417.5</v>
      </c>
      <c r="I415" s="3">
        <f t="shared" si="18"/>
        <v>66.8</v>
      </c>
    </row>
    <row r="416" spans="1:9">
      <c r="A416" s="174" t="s">
        <v>7099</v>
      </c>
      <c r="B416">
        <v>85</v>
      </c>
      <c r="F416" s="69" t="s">
        <v>877</v>
      </c>
      <c r="G416" s="28" t="s">
        <v>223</v>
      </c>
      <c r="H416" s="3">
        <f t="shared" si="17"/>
        <v>32874.4375</v>
      </c>
      <c r="I416" s="3">
        <f t="shared" si="18"/>
        <v>5259.91</v>
      </c>
    </row>
    <row r="417" spans="1:9">
      <c r="A417" s="174" t="s">
        <v>7099</v>
      </c>
      <c r="B417">
        <v>85</v>
      </c>
      <c r="F417" s="28" t="s">
        <v>3799</v>
      </c>
      <c r="G417" s="28" t="s">
        <v>3800</v>
      </c>
      <c r="H417" s="3">
        <f t="shared" si="17"/>
        <v>417.5</v>
      </c>
      <c r="I417" s="3">
        <f t="shared" si="18"/>
        <v>66.8</v>
      </c>
    </row>
    <row r="418" spans="1:9">
      <c r="A418" s="174" t="s">
        <v>7099</v>
      </c>
      <c r="B418">
        <v>85</v>
      </c>
      <c r="F418" s="28" t="s">
        <v>913</v>
      </c>
      <c r="G418" s="28" t="s">
        <v>914</v>
      </c>
      <c r="H418" s="3">
        <f t="shared" si="17"/>
        <v>1119</v>
      </c>
      <c r="I418" s="3">
        <f t="shared" si="18"/>
        <v>179.04</v>
      </c>
    </row>
    <row r="419" spans="1:9">
      <c r="A419" s="174" t="s">
        <v>7099</v>
      </c>
      <c r="B419">
        <v>85</v>
      </c>
      <c r="F419" s="28" t="s">
        <v>3801</v>
      </c>
      <c r="G419" s="28" t="s">
        <v>3802</v>
      </c>
      <c r="H419" s="3">
        <f t="shared" si="17"/>
        <v>217.125</v>
      </c>
      <c r="I419" s="3">
        <f t="shared" si="18"/>
        <v>34.74</v>
      </c>
    </row>
    <row r="420" spans="1:9">
      <c r="A420" s="174" t="s">
        <v>7099</v>
      </c>
      <c r="B420">
        <v>85</v>
      </c>
      <c r="F420" s="25" t="s">
        <v>873</v>
      </c>
      <c r="G420" s="26" t="s">
        <v>874</v>
      </c>
      <c r="H420" s="3">
        <f t="shared" si="17"/>
        <v>299262.375</v>
      </c>
      <c r="I420" s="3">
        <f t="shared" si="18"/>
        <v>47881.98</v>
      </c>
    </row>
    <row r="421" spans="1:9">
      <c r="A421" s="174" t="s">
        <v>7099</v>
      </c>
      <c r="B421">
        <v>85</v>
      </c>
      <c r="F421" s="9" t="s">
        <v>884</v>
      </c>
      <c r="G421" s="9" t="s">
        <v>535</v>
      </c>
      <c r="H421" s="3">
        <f t="shared" si="17"/>
        <v>689.625</v>
      </c>
      <c r="I421" s="3">
        <f t="shared" si="18"/>
        <v>110.34</v>
      </c>
    </row>
    <row r="422" spans="1:9">
      <c r="A422" s="174" t="s">
        <v>7099</v>
      </c>
      <c r="B422">
        <v>85</v>
      </c>
      <c r="F422" s="9" t="s">
        <v>933</v>
      </c>
      <c r="G422" s="9" t="s">
        <v>934</v>
      </c>
      <c r="H422" s="3">
        <f t="shared" si="17"/>
        <v>85</v>
      </c>
      <c r="I422" s="3">
        <f t="shared" si="18"/>
        <v>13.6</v>
      </c>
    </row>
    <row r="423" spans="1:9">
      <c r="A423" s="174" t="s">
        <v>7099</v>
      </c>
      <c r="B423">
        <v>85</v>
      </c>
      <c r="F423" s="9" t="s">
        <v>3779</v>
      </c>
      <c r="G423" s="9" t="s">
        <v>3780</v>
      </c>
      <c r="H423" s="3">
        <f t="shared" si="17"/>
        <v>375.875</v>
      </c>
      <c r="I423" s="3">
        <f t="shared" si="18"/>
        <v>60.14</v>
      </c>
    </row>
    <row r="424" spans="1:9">
      <c r="A424" s="174" t="s">
        <v>7099</v>
      </c>
      <c r="B424">
        <v>85</v>
      </c>
      <c r="F424" s="12" t="s">
        <v>876</v>
      </c>
      <c r="G424" s="9" t="s">
        <v>306</v>
      </c>
      <c r="H424" s="3">
        <f t="shared" si="17"/>
        <v>32284.500000000004</v>
      </c>
      <c r="I424" s="3">
        <f t="shared" si="18"/>
        <v>5165.5200000000004</v>
      </c>
    </row>
    <row r="425" spans="1:9">
      <c r="A425" s="174" t="s">
        <v>7099</v>
      </c>
      <c r="B425">
        <v>85</v>
      </c>
      <c r="F425" s="28" t="s">
        <v>896</v>
      </c>
      <c r="G425" s="28" t="s">
        <v>3793</v>
      </c>
      <c r="H425" s="3">
        <f t="shared" si="17"/>
        <v>288.5625</v>
      </c>
      <c r="I425" s="3">
        <f t="shared" si="18"/>
        <v>46.17</v>
      </c>
    </row>
    <row r="426" spans="1:9">
      <c r="A426" s="174" t="s">
        <v>7099</v>
      </c>
      <c r="B426">
        <v>85</v>
      </c>
      <c r="F426" s="9" t="s">
        <v>903</v>
      </c>
      <c r="G426" s="9" t="s">
        <v>904</v>
      </c>
      <c r="H426" s="3">
        <f t="shared" si="17"/>
        <v>207.625</v>
      </c>
      <c r="I426" s="3">
        <f t="shared" si="18"/>
        <v>33.22</v>
      </c>
    </row>
    <row r="427" spans="1:9">
      <c r="A427" s="174" t="s">
        <v>7099</v>
      </c>
      <c r="B427">
        <v>85</v>
      </c>
      <c r="F427" s="9" t="s">
        <v>3756</v>
      </c>
      <c r="G427" s="9" t="s">
        <v>3757</v>
      </c>
      <c r="H427" s="3">
        <f t="shared" si="17"/>
        <v>4534.5</v>
      </c>
      <c r="I427" s="3">
        <f t="shared" si="18"/>
        <v>725.52</v>
      </c>
    </row>
    <row r="428" spans="1:9">
      <c r="A428" s="174" t="s">
        <v>7099</v>
      </c>
      <c r="B428">
        <v>85</v>
      </c>
      <c r="F428" s="28" t="s">
        <v>2343</v>
      </c>
      <c r="G428" s="28" t="s">
        <v>2344</v>
      </c>
      <c r="H428" s="3">
        <f t="shared" si="17"/>
        <v>292.25</v>
      </c>
      <c r="I428" s="3">
        <f t="shared" si="18"/>
        <v>46.76</v>
      </c>
    </row>
    <row r="429" spans="1:9">
      <c r="A429" s="174" t="s">
        <v>7099</v>
      </c>
      <c r="B429">
        <v>85</v>
      </c>
      <c r="F429" s="9" t="s">
        <v>3796</v>
      </c>
      <c r="G429" s="9" t="s">
        <v>3797</v>
      </c>
      <c r="H429" s="3">
        <f t="shared" si="17"/>
        <v>55.937499999999993</v>
      </c>
      <c r="I429" s="3">
        <f t="shared" si="18"/>
        <v>8.9499999999999993</v>
      </c>
    </row>
    <row r="430" spans="1:9">
      <c r="A430" s="174" t="s">
        <v>7099</v>
      </c>
      <c r="B430">
        <v>85</v>
      </c>
      <c r="F430" s="67" t="s">
        <v>829</v>
      </c>
      <c r="G430" s="68" t="s">
        <v>6</v>
      </c>
      <c r="H430" s="3">
        <f t="shared" si="17"/>
        <v>987390.25</v>
      </c>
      <c r="I430" s="3">
        <f t="shared" si="18"/>
        <v>157982.44</v>
      </c>
    </row>
    <row r="431" spans="1:9">
      <c r="A431" s="174" t="s">
        <v>7099</v>
      </c>
      <c r="B431">
        <v>85</v>
      </c>
      <c r="F431" s="9" t="s">
        <v>1632</v>
      </c>
      <c r="G431" s="9" t="s">
        <v>968</v>
      </c>
      <c r="H431" s="3">
        <f t="shared" si="17"/>
        <v>20132.687500000004</v>
      </c>
      <c r="I431" s="3">
        <f t="shared" si="18"/>
        <v>3221.2300000000005</v>
      </c>
    </row>
    <row r="432" spans="1:9">
      <c r="A432" s="174" t="s">
        <v>7099</v>
      </c>
      <c r="B432">
        <v>85</v>
      </c>
      <c r="F432" s="30" t="s">
        <v>886</v>
      </c>
      <c r="G432" s="31" t="s">
        <v>887</v>
      </c>
      <c r="H432" s="3">
        <f t="shared" si="17"/>
        <v>6565499.6875</v>
      </c>
      <c r="I432" s="3">
        <f t="shared" si="18"/>
        <v>1050479.95</v>
      </c>
    </row>
    <row r="433" spans="1:11">
      <c r="A433" s="174" t="s">
        <v>7099</v>
      </c>
      <c r="B433">
        <v>85</v>
      </c>
      <c r="F433" s="9" t="s">
        <v>3751</v>
      </c>
      <c r="G433" s="9" t="s">
        <v>3752</v>
      </c>
      <c r="H433" s="3">
        <f t="shared" si="17"/>
        <v>155.125</v>
      </c>
      <c r="I433" s="3">
        <f t="shared" si="18"/>
        <v>24.82</v>
      </c>
    </row>
    <row r="434" spans="1:11">
      <c r="A434" s="174" t="s">
        <v>7099</v>
      </c>
      <c r="B434">
        <v>85</v>
      </c>
      <c r="F434" s="32" t="s">
        <v>890</v>
      </c>
      <c r="G434" s="33" t="s">
        <v>891</v>
      </c>
      <c r="H434" s="3">
        <f t="shared" si="17"/>
        <v>277621.375</v>
      </c>
      <c r="I434" s="3">
        <f t="shared" si="18"/>
        <v>44419.42</v>
      </c>
    </row>
    <row r="435" spans="1:11">
      <c r="A435" s="174" t="s">
        <v>7099</v>
      </c>
      <c r="B435">
        <v>85</v>
      </c>
      <c r="F435" s="33" t="s">
        <v>889</v>
      </c>
      <c r="G435" t="s">
        <v>118</v>
      </c>
      <c r="H435" s="3">
        <f t="shared" si="17"/>
        <v>1800</v>
      </c>
      <c r="I435" s="3">
        <f t="shared" si="18"/>
        <v>288</v>
      </c>
    </row>
    <row r="436" spans="1:11">
      <c r="A436" s="174" t="s">
        <v>7099</v>
      </c>
      <c r="B436">
        <v>85</v>
      </c>
      <c r="F436" s="41" t="s">
        <v>2317</v>
      </c>
      <c r="G436" s="33" t="s">
        <v>1808</v>
      </c>
      <c r="H436" s="3">
        <f t="shared" si="17"/>
        <v>161302.0625</v>
      </c>
      <c r="I436" s="3">
        <f t="shared" si="18"/>
        <v>25808.33</v>
      </c>
    </row>
    <row r="438" spans="1:11">
      <c r="H438" s="3">
        <f>SUM(H309:H437)</f>
        <v>12852452.3125</v>
      </c>
      <c r="I438" s="3">
        <f>SUM(I309:I437)</f>
        <v>2056392.3699999999</v>
      </c>
      <c r="J438" s="3">
        <f>+SUM(J309:J436)</f>
        <v>22866.68</v>
      </c>
    </row>
    <row r="439" spans="1:11">
      <c r="H439" s="3">
        <f>+H303</f>
        <v>12852452.3125</v>
      </c>
      <c r="I439" s="3">
        <f>+I303</f>
        <v>2056392.3700000017</v>
      </c>
      <c r="J439">
        <f>22857.14+348.78</f>
        <v>23205.919999999998</v>
      </c>
    </row>
    <row r="440" spans="1:11">
      <c r="H440" s="3">
        <f>+H438-H439</f>
        <v>0</v>
      </c>
      <c r="I440" s="3">
        <f>+I438-I439</f>
        <v>-1.862645149230957E-9</v>
      </c>
      <c r="J440" s="14">
        <f>+J439-J438</f>
        <v>339.23999999999796</v>
      </c>
      <c r="K440" t="s">
        <v>7077</v>
      </c>
    </row>
  </sheetData>
  <autoFilter ref="A10:I301"/>
  <sortState ref="A11:N232">
    <sortCondition ref="E11:E232"/>
  </sortState>
  <conditionalFormatting sqref="F309:G358 F360:G436 G359">
    <cfRule type="duplicateValues" dxfId="1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M552"/>
  <sheetViews>
    <sheetView zoomScale="80" zoomScaleNormal="80" workbookViewId="0">
      <pane ySplit="10" topLeftCell="A400" activePane="bottomLeft" state="frozen"/>
      <selection pane="bottomLeft" activeCell="A404" sqref="A404:A548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1.85546875" customWidth="1"/>
    <col min="4" max="4" width="3.85546875" customWidth="1"/>
    <col min="5" max="5" width="40.140625" bestFit="1" customWidth="1"/>
    <col min="6" max="6" width="16.28515625" bestFit="1" customWidth="1"/>
    <col min="7" max="7" width="61.42578125" bestFit="1" customWidth="1"/>
    <col min="8" max="8" width="17.85546875" style="3" bestFit="1" customWidth="1"/>
    <col min="9" max="9" width="13.85546875" style="3" bestFit="1" customWidth="1"/>
  </cols>
  <sheetData>
    <row r="1" spans="1:11">
      <c r="A1" t="s">
        <v>729</v>
      </c>
    </row>
    <row r="2" spans="1:11">
      <c r="A2" t="s">
        <v>4332</v>
      </c>
      <c r="B2">
        <v>2013</v>
      </c>
    </row>
    <row r="3" spans="1:11">
      <c r="A3" t="s">
        <v>731</v>
      </c>
    </row>
    <row r="10" spans="1:11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11">
      <c r="A11" t="s">
        <v>3317</v>
      </c>
      <c r="B11" s="1">
        <v>41486</v>
      </c>
      <c r="C11" t="s">
        <v>4302</v>
      </c>
      <c r="D11">
        <v>1</v>
      </c>
      <c r="E11" t="s">
        <v>124</v>
      </c>
      <c r="F11" s="9" t="s">
        <v>733</v>
      </c>
      <c r="G11" s="9" t="s">
        <v>124</v>
      </c>
      <c r="H11" s="3">
        <f>+I11/0.16</f>
        <v>6614.6874999999991</v>
      </c>
      <c r="I11" s="3">
        <v>1058.3499999999999</v>
      </c>
    </row>
    <row r="12" spans="1:11">
      <c r="A12" t="s">
        <v>309</v>
      </c>
      <c r="B12" s="1">
        <v>41486</v>
      </c>
      <c r="C12" t="s">
        <v>4314</v>
      </c>
      <c r="D12">
        <v>1</v>
      </c>
      <c r="E12" t="s">
        <v>124</v>
      </c>
      <c r="F12" s="9" t="s">
        <v>733</v>
      </c>
      <c r="G12" s="9" t="s">
        <v>124</v>
      </c>
      <c r="H12" s="3">
        <f t="shared" ref="H12:H91" si="0">+I12/0.16</f>
        <v>38400</v>
      </c>
      <c r="I12" s="3">
        <v>6144</v>
      </c>
    </row>
    <row r="13" spans="1:11">
      <c r="A13" t="s">
        <v>4059</v>
      </c>
      <c r="B13" s="1">
        <v>41480</v>
      </c>
      <c r="C13">
        <v>8675</v>
      </c>
      <c r="D13">
        <v>1</v>
      </c>
      <c r="E13" t="s">
        <v>4060</v>
      </c>
      <c r="F13" s="81" t="s">
        <v>941</v>
      </c>
      <c r="G13" s="81" t="s">
        <v>1641</v>
      </c>
      <c r="H13" s="82">
        <f>I13/0.16</f>
        <v>60.3125</v>
      </c>
      <c r="I13" s="83">
        <v>9.65</v>
      </c>
      <c r="J13" s="3"/>
      <c r="K13" s="3"/>
    </row>
    <row r="14" spans="1:11">
      <c r="A14" t="s">
        <v>4059</v>
      </c>
      <c r="B14" s="1">
        <v>41480</v>
      </c>
      <c r="C14">
        <v>8675</v>
      </c>
      <c r="D14">
        <v>1</v>
      </c>
      <c r="E14" t="s">
        <v>4060</v>
      </c>
      <c r="F14" t="s">
        <v>946</v>
      </c>
      <c r="G14" t="s">
        <v>947</v>
      </c>
      <c r="H14" s="3">
        <f t="shared" ref="H14" si="1">I14/0.16</f>
        <v>112.9375</v>
      </c>
      <c r="I14" s="3">
        <v>18.07</v>
      </c>
      <c r="J14" s="14">
        <f>173.25-H13-H14</f>
        <v>0</v>
      </c>
      <c r="K14" s="14">
        <f>27.72-I13-I14</f>
        <v>0</v>
      </c>
    </row>
    <row r="15" spans="1:11">
      <c r="A15" t="s">
        <v>3832</v>
      </c>
      <c r="B15" s="1">
        <v>41463</v>
      </c>
      <c r="C15" t="s">
        <v>3833</v>
      </c>
      <c r="D15">
        <v>1</v>
      </c>
      <c r="E15" t="s">
        <v>3834</v>
      </c>
      <c r="F15" s="84" t="s">
        <v>734</v>
      </c>
      <c r="G15" s="81" t="s">
        <v>735</v>
      </c>
      <c r="H15" s="3">
        <f t="shared" si="0"/>
        <v>212746.875</v>
      </c>
      <c r="I15" s="3">
        <v>34039.5</v>
      </c>
    </row>
    <row r="16" spans="1:11">
      <c r="A16" t="s">
        <v>247</v>
      </c>
      <c r="B16" s="1">
        <v>41473</v>
      </c>
      <c r="C16" t="s">
        <v>3891</v>
      </c>
      <c r="D16">
        <v>1</v>
      </c>
      <c r="E16" t="s">
        <v>3892</v>
      </c>
      <c r="F16" s="84" t="s">
        <v>734</v>
      </c>
      <c r="G16" s="81" t="s">
        <v>735</v>
      </c>
      <c r="H16" s="3">
        <f t="shared" si="0"/>
        <v>212747.3125</v>
      </c>
      <c r="I16" s="3">
        <v>34039.57</v>
      </c>
    </row>
    <row r="17" spans="1:11">
      <c r="A17" t="s">
        <v>3829</v>
      </c>
      <c r="B17" s="1">
        <v>41463</v>
      </c>
      <c r="C17" t="s">
        <v>3830</v>
      </c>
      <c r="D17">
        <v>1</v>
      </c>
      <c r="E17" t="s">
        <v>3831</v>
      </c>
      <c r="F17" s="84" t="s">
        <v>734</v>
      </c>
      <c r="G17" s="81" t="s">
        <v>735</v>
      </c>
      <c r="H17" s="3">
        <f t="shared" si="0"/>
        <v>212747.3125</v>
      </c>
      <c r="I17" s="3">
        <v>34039.57</v>
      </c>
    </row>
    <row r="18" spans="1:11">
      <c r="A18" t="s">
        <v>3984</v>
      </c>
      <c r="B18" s="1">
        <v>41482</v>
      </c>
      <c r="C18" t="s">
        <v>3985</v>
      </c>
      <c r="D18">
        <v>1</v>
      </c>
      <c r="E18" t="s">
        <v>3986</v>
      </c>
      <c r="F18" s="81" t="s">
        <v>736</v>
      </c>
      <c r="G18" s="81" t="s">
        <v>3053</v>
      </c>
      <c r="H18" s="3">
        <f t="shared" si="0"/>
        <v>221634.8125</v>
      </c>
      <c r="I18" s="3">
        <v>35461.57</v>
      </c>
    </row>
    <row r="19" spans="1:11">
      <c r="A19" t="s">
        <v>2416</v>
      </c>
      <c r="B19" s="1">
        <v>41472</v>
      </c>
      <c r="C19" t="s">
        <v>3887</v>
      </c>
      <c r="D19">
        <v>1</v>
      </c>
      <c r="E19" t="s">
        <v>2500</v>
      </c>
      <c r="F19" s="81" t="s">
        <v>736</v>
      </c>
      <c r="G19" s="81" t="s">
        <v>3053</v>
      </c>
      <c r="H19" s="3">
        <f t="shared" si="0"/>
        <v>360357.5</v>
      </c>
      <c r="I19" s="3">
        <v>57657.2</v>
      </c>
    </row>
    <row r="20" spans="1:11">
      <c r="A20" t="s">
        <v>4152</v>
      </c>
      <c r="B20" s="1">
        <v>41485</v>
      </c>
      <c r="C20">
        <v>8721</v>
      </c>
      <c r="D20">
        <v>1</v>
      </c>
      <c r="E20" t="s">
        <v>4153</v>
      </c>
      <c r="F20" s="9" t="s">
        <v>738</v>
      </c>
      <c r="G20" s="9" t="s">
        <v>2268</v>
      </c>
      <c r="H20" s="3">
        <f t="shared" si="0"/>
        <v>234.68749999999997</v>
      </c>
      <c r="I20" s="3">
        <v>37.549999999999997</v>
      </c>
    </row>
    <row r="21" spans="1:11">
      <c r="A21" t="s">
        <v>2842</v>
      </c>
      <c r="B21" s="1">
        <v>41486</v>
      </c>
      <c r="C21" t="s">
        <v>4315</v>
      </c>
      <c r="D21">
        <v>1</v>
      </c>
      <c r="E21" t="s">
        <v>4316</v>
      </c>
      <c r="F21" s="81" t="s">
        <v>4333</v>
      </c>
      <c r="G21" s="81" t="s">
        <v>4316</v>
      </c>
      <c r="H21" s="3">
        <f t="shared" si="0"/>
        <v>4827.5625</v>
      </c>
      <c r="I21" s="3">
        <v>772.41</v>
      </c>
    </row>
    <row r="22" spans="1:11">
      <c r="A22" t="s">
        <v>4183</v>
      </c>
      <c r="B22" s="1">
        <v>41486</v>
      </c>
      <c r="C22">
        <v>8762</v>
      </c>
      <c r="D22">
        <v>1</v>
      </c>
      <c r="E22" t="s">
        <v>4184</v>
      </c>
      <c r="F22" s="9" t="s">
        <v>739</v>
      </c>
      <c r="G22" s="9" t="s">
        <v>4334</v>
      </c>
      <c r="H22" s="3">
        <f t="shared" si="0"/>
        <v>100</v>
      </c>
      <c r="I22" s="3">
        <v>16</v>
      </c>
    </row>
    <row r="23" spans="1:11">
      <c r="A23" t="s">
        <v>4041</v>
      </c>
      <c r="B23" s="1">
        <v>41477</v>
      </c>
      <c r="C23">
        <v>8668</v>
      </c>
      <c r="D23">
        <v>1</v>
      </c>
      <c r="E23" t="s">
        <v>4042</v>
      </c>
      <c r="F23" s="9" t="s">
        <v>742</v>
      </c>
      <c r="G23" s="9" t="s">
        <v>4335</v>
      </c>
      <c r="H23" s="3">
        <f t="shared" si="0"/>
        <v>144.8125</v>
      </c>
      <c r="I23" s="3">
        <v>23.17</v>
      </c>
    </row>
    <row r="24" spans="1:11">
      <c r="A24" t="s">
        <v>4147</v>
      </c>
      <c r="B24" s="1">
        <v>41484</v>
      </c>
      <c r="C24">
        <v>8715</v>
      </c>
      <c r="D24">
        <v>1</v>
      </c>
      <c r="E24" t="s">
        <v>4148</v>
      </c>
      <c r="F24" s="81" t="s">
        <v>2269</v>
      </c>
      <c r="G24" s="81" t="s">
        <v>4148</v>
      </c>
      <c r="H24" s="3">
        <f t="shared" si="0"/>
        <v>660</v>
      </c>
      <c r="I24" s="3">
        <v>105.6</v>
      </c>
    </row>
    <row r="25" spans="1:11">
      <c r="A25" t="s">
        <v>1031</v>
      </c>
      <c r="B25" s="1">
        <v>41466</v>
      </c>
      <c r="C25" t="s">
        <v>4226</v>
      </c>
      <c r="D25">
        <v>1</v>
      </c>
      <c r="E25" t="s">
        <v>210</v>
      </c>
      <c r="F25" s="81" t="s">
        <v>744</v>
      </c>
      <c r="G25" s="81" t="s">
        <v>210</v>
      </c>
      <c r="H25" s="3">
        <f t="shared" si="0"/>
        <v>8340.1875</v>
      </c>
      <c r="I25" s="3">
        <v>1334.43</v>
      </c>
    </row>
    <row r="26" spans="1:11">
      <c r="A26" t="s">
        <v>1476</v>
      </c>
      <c r="B26" s="1">
        <v>41485</v>
      </c>
      <c r="C26" t="s">
        <v>3995</v>
      </c>
      <c r="D26">
        <v>1</v>
      </c>
      <c r="E26" t="s">
        <v>746</v>
      </c>
      <c r="F26" s="84" t="s">
        <v>745</v>
      </c>
      <c r="G26" s="81" t="s">
        <v>746</v>
      </c>
      <c r="H26" s="3">
        <f t="shared" si="0"/>
        <v>221634.8125</v>
      </c>
      <c r="I26" s="3">
        <v>35461.57</v>
      </c>
    </row>
    <row r="27" spans="1:11">
      <c r="A27" t="s">
        <v>4114</v>
      </c>
      <c r="B27" s="1">
        <v>41484</v>
      </c>
      <c r="C27" t="s">
        <v>4115</v>
      </c>
      <c r="D27">
        <v>1</v>
      </c>
      <c r="E27" t="s">
        <v>4116</v>
      </c>
      <c r="F27" s="81" t="s">
        <v>941</v>
      </c>
      <c r="G27" s="81" t="s">
        <v>1641</v>
      </c>
      <c r="H27" s="82">
        <f>I27/0.16</f>
        <v>79.25</v>
      </c>
      <c r="I27" s="83">
        <v>12.68</v>
      </c>
      <c r="J27" s="3"/>
      <c r="K27" s="3"/>
    </row>
    <row r="28" spans="1:11">
      <c r="A28" t="s">
        <v>4114</v>
      </c>
      <c r="B28" s="1">
        <v>41484</v>
      </c>
      <c r="C28" t="s">
        <v>4115</v>
      </c>
      <c r="D28">
        <v>1</v>
      </c>
      <c r="E28" t="s">
        <v>4116</v>
      </c>
      <c r="F28" t="s">
        <v>946</v>
      </c>
      <c r="G28" t="s">
        <v>947</v>
      </c>
      <c r="H28" s="46">
        <f t="shared" ref="H28" si="2">I28/0.16</f>
        <v>388.0625</v>
      </c>
      <c r="I28" s="46">
        <v>62.09</v>
      </c>
    </row>
    <row r="29" spans="1:11">
      <c r="A29" t="s">
        <v>4114</v>
      </c>
      <c r="B29" s="1">
        <v>41484</v>
      </c>
      <c r="C29" t="s">
        <v>4115</v>
      </c>
      <c r="D29">
        <v>1</v>
      </c>
      <c r="E29" t="s">
        <v>4116</v>
      </c>
      <c r="F29" s="28" t="s">
        <v>1651</v>
      </c>
      <c r="G29" s="28" t="s">
        <v>1652</v>
      </c>
      <c r="H29" s="47">
        <f>I29/0.16</f>
        <v>329.8125</v>
      </c>
      <c r="I29" s="83">
        <v>52.77</v>
      </c>
      <c r="J29" s="14">
        <f>797.13-H27-H28-H29</f>
        <v>4.9999999999954525E-3</v>
      </c>
      <c r="K29" s="14">
        <f>127.54-I27-I28-I29</f>
        <v>0</v>
      </c>
    </row>
    <row r="30" spans="1:11">
      <c r="A30" t="s">
        <v>4035</v>
      </c>
      <c r="B30" s="1">
        <v>41466</v>
      </c>
      <c r="C30" t="s">
        <v>4036</v>
      </c>
      <c r="D30">
        <v>1</v>
      </c>
      <c r="E30" t="s">
        <v>3359</v>
      </c>
      <c r="F30" s="81" t="s">
        <v>3389</v>
      </c>
      <c r="G30" s="81" t="s">
        <v>4336</v>
      </c>
      <c r="H30" s="82">
        <f>I30/0.16</f>
        <v>62</v>
      </c>
      <c r="I30" s="85">
        <v>9.92</v>
      </c>
      <c r="J30" s="3"/>
      <c r="K30" s="3"/>
    </row>
    <row r="31" spans="1:11">
      <c r="A31" t="s">
        <v>4035</v>
      </c>
      <c r="B31" s="1">
        <v>41466</v>
      </c>
      <c r="C31" t="s">
        <v>4036</v>
      </c>
      <c r="D31">
        <v>1</v>
      </c>
      <c r="E31" t="s">
        <v>3359</v>
      </c>
      <c r="F31" t="s">
        <v>946</v>
      </c>
      <c r="G31" t="s">
        <v>947</v>
      </c>
      <c r="H31" s="46">
        <f t="shared" ref="H31" si="3">I31/0.16</f>
        <v>394.0625</v>
      </c>
      <c r="I31" s="46">
        <v>63.05</v>
      </c>
    </row>
    <row r="32" spans="1:11">
      <c r="A32" t="s">
        <v>4035</v>
      </c>
      <c r="B32" s="1">
        <v>41466</v>
      </c>
      <c r="C32" t="s">
        <v>4036</v>
      </c>
      <c r="D32">
        <v>1</v>
      </c>
      <c r="E32" t="s">
        <v>3359</v>
      </c>
      <c r="F32" s="28" t="s">
        <v>939</v>
      </c>
      <c r="G32" s="28" t="s">
        <v>940</v>
      </c>
      <c r="H32" s="47">
        <f>I32/0.16</f>
        <v>417.5</v>
      </c>
      <c r="I32" s="83">
        <v>66.8</v>
      </c>
      <c r="J32" s="14">
        <f>873.56-H30-H31-H32</f>
        <v>-2.5000000000545697E-3</v>
      </c>
      <c r="K32" s="14">
        <f>139.77-I30-I31-I32</f>
        <v>0</v>
      </c>
    </row>
    <row r="33" spans="1:11">
      <c r="A33" t="s">
        <v>4037</v>
      </c>
      <c r="B33" s="1">
        <v>41466</v>
      </c>
      <c r="C33" t="s">
        <v>4038</v>
      </c>
      <c r="D33">
        <v>1</v>
      </c>
      <c r="E33" t="s">
        <v>3359</v>
      </c>
      <c r="F33" t="s">
        <v>946</v>
      </c>
      <c r="G33" t="s">
        <v>947</v>
      </c>
      <c r="H33" s="46">
        <f t="shared" ref="H33" si="4">I33/0.16</f>
        <v>394.0625</v>
      </c>
      <c r="I33" s="46">
        <v>63.05</v>
      </c>
      <c r="J33" s="3"/>
      <c r="K33" s="3"/>
    </row>
    <row r="34" spans="1:11">
      <c r="A34" t="s">
        <v>4037</v>
      </c>
      <c r="B34" s="1">
        <v>41466</v>
      </c>
      <c r="C34" t="s">
        <v>4038</v>
      </c>
      <c r="D34">
        <v>1</v>
      </c>
      <c r="E34" t="s">
        <v>3359</v>
      </c>
      <c r="F34" s="28" t="s">
        <v>939</v>
      </c>
      <c r="G34" s="28" t="s">
        <v>940</v>
      </c>
      <c r="H34" s="47">
        <f>I34/0.16</f>
        <v>334</v>
      </c>
      <c r="I34" s="83">
        <v>53.44</v>
      </c>
    </row>
    <row r="35" spans="1:11">
      <c r="A35" t="s">
        <v>4037</v>
      </c>
      <c r="B35" s="1">
        <v>41466</v>
      </c>
      <c r="C35" t="s">
        <v>4038</v>
      </c>
      <c r="D35">
        <v>1</v>
      </c>
      <c r="E35" t="s">
        <v>3359</v>
      </c>
      <c r="F35" s="9" t="s">
        <v>933</v>
      </c>
      <c r="G35" s="9" t="s">
        <v>4337</v>
      </c>
      <c r="H35" s="65">
        <f>I35/0.16</f>
        <v>90</v>
      </c>
      <c r="I35" s="65">
        <v>14.4</v>
      </c>
      <c r="J35" s="14">
        <f>818.06-H33-H34-H35</f>
        <v>-2.5000000000545697E-3</v>
      </c>
      <c r="K35" s="14">
        <f>130.89-I33-I34-I35</f>
        <v>0</v>
      </c>
    </row>
    <row r="36" spans="1:11">
      <c r="A36" t="s">
        <v>4092</v>
      </c>
      <c r="B36" s="1">
        <v>41481</v>
      </c>
      <c r="C36" t="s">
        <v>4093</v>
      </c>
      <c r="D36">
        <v>1</v>
      </c>
      <c r="E36" t="s">
        <v>3359</v>
      </c>
      <c r="F36" t="s">
        <v>946</v>
      </c>
      <c r="G36" s="33" t="s">
        <v>947</v>
      </c>
      <c r="H36" s="3">
        <f t="shared" ref="H36" si="5">I36/0.16</f>
        <v>338</v>
      </c>
      <c r="I36" s="46">
        <v>54.08</v>
      </c>
      <c r="J36" s="3"/>
      <c r="K36" s="3"/>
    </row>
    <row r="37" spans="1:11">
      <c r="A37" t="s">
        <v>4092</v>
      </c>
      <c r="B37" s="1">
        <v>41481</v>
      </c>
      <c r="C37" t="s">
        <v>4093</v>
      </c>
      <c r="D37">
        <v>1</v>
      </c>
      <c r="E37" t="s">
        <v>3359</v>
      </c>
      <c r="F37" s="69" t="s">
        <v>939</v>
      </c>
      <c r="G37" s="28" t="s">
        <v>940</v>
      </c>
      <c r="H37" s="47">
        <f>I37/0.16</f>
        <v>417.5</v>
      </c>
      <c r="I37" s="83">
        <v>66.8</v>
      </c>
      <c r="J37" s="14">
        <f>755.5-H36-H37</f>
        <v>0</v>
      </c>
      <c r="K37" s="14">
        <f>120.88-I36-I37</f>
        <v>0</v>
      </c>
    </row>
    <row r="38" spans="1:11">
      <c r="A38" t="s">
        <v>4124</v>
      </c>
      <c r="B38" s="1">
        <v>41484</v>
      </c>
      <c r="C38" t="s">
        <v>4125</v>
      </c>
      <c r="D38">
        <v>1</v>
      </c>
      <c r="E38" t="s">
        <v>3359</v>
      </c>
      <c r="F38" t="s">
        <v>946</v>
      </c>
      <c r="G38" t="s">
        <v>947</v>
      </c>
      <c r="H38" s="46">
        <f t="shared" ref="H38" si="6">I38/0.16</f>
        <v>394.0625</v>
      </c>
      <c r="I38" s="46">
        <v>63.05</v>
      </c>
      <c r="J38" s="3"/>
      <c r="K38" s="3"/>
    </row>
    <row r="39" spans="1:11">
      <c r="A39" t="s">
        <v>4124</v>
      </c>
      <c r="B39" s="1">
        <v>41484</v>
      </c>
      <c r="C39" t="s">
        <v>4125</v>
      </c>
      <c r="D39">
        <v>1</v>
      </c>
      <c r="E39" t="s">
        <v>3359</v>
      </c>
      <c r="F39" s="28" t="s">
        <v>939</v>
      </c>
      <c r="G39" s="28" t="s">
        <v>940</v>
      </c>
      <c r="H39" s="47">
        <f>I39/0.16</f>
        <v>459.375</v>
      </c>
      <c r="I39" s="83">
        <v>73.5</v>
      </c>
    </row>
    <row r="40" spans="1:11">
      <c r="A40" t="s">
        <v>4124</v>
      </c>
      <c r="B40" s="1">
        <v>41484</v>
      </c>
      <c r="C40" t="s">
        <v>4125</v>
      </c>
      <c r="D40">
        <v>1</v>
      </c>
      <c r="E40" t="s">
        <v>3359</v>
      </c>
      <c r="F40" s="9" t="s">
        <v>927</v>
      </c>
      <c r="G40" s="9" t="s">
        <v>3360</v>
      </c>
      <c r="H40" s="65">
        <f>I40/0.16</f>
        <v>65</v>
      </c>
      <c r="I40" s="86">
        <v>10.4</v>
      </c>
      <c r="J40" s="14">
        <f>918.44-H38-H39-H40</f>
        <v>2.5000000000545697E-3</v>
      </c>
      <c r="K40" s="14">
        <f>146.95-I38-I39-I40</f>
        <v>0</v>
      </c>
    </row>
    <row r="41" spans="1:11">
      <c r="A41" t="s">
        <v>4158</v>
      </c>
      <c r="B41" s="1">
        <v>41485</v>
      </c>
      <c r="C41">
        <v>8732</v>
      </c>
      <c r="D41">
        <v>1</v>
      </c>
      <c r="E41" t="s">
        <v>481</v>
      </c>
      <c r="F41" s="81" t="s">
        <v>748</v>
      </c>
      <c r="G41" s="81" t="s">
        <v>481</v>
      </c>
      <c r="H41" s="3">
        <f t="shared" si="0"/>
        <v>129.1875</v>
      </c>
      <c r="I41" s="3">
        <v>20.67</v>
      </c>
    </row>
    <row r="42" spans="1:11">
      <c r="A42" t="s">
        <v>4159</v>
      </c>
      <c r="B42" s="1">
        <v>41485</v>
      </c>
      <c r="C42">
        <v>8733</v>
      </c>
      <c r="D42">
        <v>1</v>
      </c>
      <c r="E42" t="s">
        <v>481</v>
      </c>
      <c r="F42" s="81" t="s">
        <v>748</v>
      </c>
      <c r="G42" s="81" t="s">
        <v>481</v>
      </c>
      <c r="H42" s="154">
        <f>+I42/0.16</f>
        <v>155.125</v>
      </c>
      <c r="I42" s="3">
        <v>24.82</v>
      </c>
    </row>
    <row r="43" spans="1:11">
      <c r="A43" t="s">
        <v>4190</v>
      </c>
      <c r="B43" s="1">
        <v>41486</v>
      </c>
      <c r="C43">
        <v>8774</v>
      </c>
      <c r="D43">
        <v>1</v>
      </c>
      <c r="E43" t="s">
        <v>481</v>
      </c>
      <c r="F43" s="81" t="s">
        <v>748</v>
      </c>
      <c r="G43" s="81" t="s">
        <v>481</v>
      </c>
      <c r="H43" s="154">
        <f t="shared" si="0"/>
        <v>64.625</v>
      </c>
      <c r="I43" s="3">
        <v>10.34</v>
      </c>
    </row>
    <row r="44" spans="1:11">
      <c r="A44" t="s">
        <v>4150</v>
      </c>
      <c r="B44" s="1">
        <v>41485</v>
      </c>
      <c r="C44">
        <v>8719</v>
      </c>
      <c r="D44">
        <v>1</v>
      </c>
      <c r="E44" t="s">
        <v>475</v>
      </c>
      <c r="F44" s="81" t="s">
        <v>750</v>
      </c>
      <c r="G44" s="81" t="s">
        <v>475</v>
      </c>
      <c r="H44" s="3">
        <f t="shared" si="0"/>
        <v>59.499999999999993</v>
      </c>
      <c r="I44" s="3">
        <v>9.52</v>
      </c>
    </row>
    <row r="45" spans="1:11">
      <c r="A45" t="s">
        <v>324</v>
      </c>
      <c r="B45" s="1">
        <v>41482</v>
      </c>
      <c r="C45" t="s">
        <v>4288</v>
      </c>
      <c r="D45">
        <v>1</v>
      </c>
      <c r="E45" t="s">
        <v>4289</v>
      </c>
      <c r="F45" s="81" t="s">
        <v>4338</v>
      </c>
      <c r="G45" s="81" t="s">
        <v>4289</v>
      </c>
      <c r="H45" s="3">
        <f t="shared" si="0"/>
        <v>11400</v>
      </c>
      <c r="I45" s="3">
        <v>1824</v>
      </c>
    </row>
    <row r="46" spans="1:11">
      <c r="A46" t="s">
        <v>4193</v>
      </c>
      <c r="B46" s="1">
        <v>41486</v>
      </c>
      <c r="C46">
        <v>8777</v>
      </c>
      <c r="D46">
        <v>1</v>
      </c>
      <c r="E46" t="s">
        <v>4194</v>
      </c>
      <c r="F46" t="s">
        <v>946</v>
      </c>
      <c r="G46" t="s">
        <v>4194</v>
      </c>
      <c r="H46" s="3">
        <f t="shared" si="0"/>
        <v>1576.6875</v>
      </c>
      <c r="I46" s="3">
        <v>252.27</v>
      </c>
    </row>
    <row r="47" spans="1:11">
      <c r="A47" t="s">
        <v>4196</v>
      </c>
      <c r="B47" s="1">
        <v>41486</v>
      </c>
      <c r="C47">
        <v>8784</v>
      </c>
      <c r="D47">
        <v>1</v>
      </c>
      <c r="E47" t="s">
        <v>4194</v>
      </c>
      <c r="F47" t="s">
        <v>946</v>
      </c>
      <c r="G47" t="s">
        <v>1581</v>
      </c>
      <c r="H47" s="3">
        <f t="shared" si="0"/>
        <v>336.375</v>
      </c>
      <c r="I47" s="3">
        <v>53.82</v>
      </c>
    </row>
    <row r="48" spans="1:11">
      <c r="A48" t="s">
        <v>1793</v>
      </c>
      <c r="B48" s="1">
        <v>41468</v>
      </c>
      <c r="C48" t="s">
        <v>2453</v>
      </c>
      <c r="D48">
        <v>1</v>
      </c>
      <c r="E48" t="s">
        <v>3850</v>
      </c>
      <c r="F48" s="87" t="s">
        <v>755</v>
      </c>
      <c r="G48" s="81" t="s">
        <v>756</v>
      </c>
      <c r="H48" s="3">
        <f t="shared" si="0"/>
        <v>-277751.8125</v>
      </c>
      <c r="I48" s="3">
        <v>-44440.29</v>
      </c>
      <c r="J48" s="2"/>
    </row>
    <row r="49" spans="1:11">
      <c r="A49" t="s">
        <v>1972</v>
      </c>
      <c r="B49" s="1">
        <v>41484</v>
      </c>
      <c r="C49" t="s">
        <v>3993</v>
      </c>
      <c r="D49">
        <v>1</v>
      </c>
      <c r="E49" t="s">
        <v>388</v>
      </c>
      <c r="F49" s="87" t="s">
        <v>755</v>
      </c>
      <c r="G49" s="81" t="s">
        <v>756</v>
      </c>
      <c r="H49" s="3">
        <f t="shared" si="0"/>
        <v>180602.62499999997</v>
      </c>
      <c r="I49" s="3">
        <v>28896.42</v>
      </c>
    </row>
    <row r="50" spans="1:11">
      <c r="A50" t="s">
        <v>539</v>
      </c>
      <c r="B50" s="1">
        <v>41486</v>
      </c>
      <c r="C50" t="s">
        <v>4003</v>
      </c>
      <c r="D50">
        <v>1</v>
      </c>
      <c r="E50" t="s">
        <v>4004</v>
      </c>
      <c r="F50" s="87" t="s">
        <v>755</v>
      </c>
      <c r="G50" s="81" t="s">
        <v>756</v>
      </c>
      <c r="H50" s="3">
        <f t="shared" si="0"/>
        <v>221635.43749999997</v>
      </c>
      <c r="I50" s="3">
        <v>35461.67</v>
      </c>
    </row>
    <row r="51" spans="1:11">
      <c r="A51" t="s">
        <v>3826</v>
      </c>
      <c r="B51" s="1">
        <v>41461</v>
      </c>
      <c r="C51" t="s">
        <v>3827</v>
      </c>
      <c r="D51">
        <v>1</v>
      </c>
      <c r="E51" t="s">
        <v>3828</v>
      </c>
      <c r="F51" s="87" t="s">
        <v>755</v>
      </c>
      <c r="G51" s="81" t="s">
        <v>756</v>
      </c>
      <c r="H51" s="3">
        <f t="shared" si="0"/>
        <v>161302.0625</v>
      </c>
      <c r="I51" s="3">
        <v>25808.33</v>
      </c>
    </row>
    <row r="52" spans="1:11">
      <c r="A52" t="s">
        <v>3851</v>
      </c>
      <c r="B52" s="1">
        <v>41468</v>
      </c>
      <c r="C52" t="s">
        <v>2453</v>
      </c>
      <c r="D52">
        <v>1</v>
      </c>
      <c r="E52" t="s">
        <v>3852</v>
      </c>
      <c r="F52" s="87" t="s">
        <v>755</v>
      </c>
      <c r="G52" s="81" t="s">
        <v>756</v>
      </c>
      <c r="H52" s="3">
        <f t="shared" si="0"/>
        <v>330512.6875</v>
      </c>
      <c r="I52" s="3">
        <v>52882.03</v>
      </c>
    </row>
    <row r="53" spans="1:11">
      <c r="A53" t="s">
        <v>3835</v>
      </c>
      <c r="B53" s="1">
        <v>41463</v>
      </c>
      <c r="C53" t="s">
        <v>3836</v>
      </c>
      <c r="D53">
        <v>1</v>
      </c>
      <c r="E53" t="s">
        <v>3837</v>
      </c>
      <c r="F53" s="84" t="s">
        <v>759</v>
      </c>
      <c r="G53" s="81" t="s">
        <v>760</v>
      </c>
      <c r="H53" s="3">
        <f t="shared" si="0"/>
        <v>288927.5</v>
      </c>
      <c r="I53" s="3">
        <v>46228.4</v>
      </c>
    </row>
    <row r="54" spans="1:11">
      <c r="A54" t="s">
        <v>3903</v>
      </c>
      <c r="B54" s="1">
        <v>41473</v>
      </c>
      <c r="C54" t="s">
        <v>3904</v>
      </c>
      <c r="D54">
        <v>1</v>
      </c>
      <c r="E54" t="s">
        <v>3905</v>
      </c>
      <c r="F54" s="84" t="s">
        <v>761</v>
      </c>
      <c r="G54" s="81" t="s">
        <v>762</v>
      </c>
      <c r="H54" s="3">
        <f t="shared" si="0"/>
        <v>212747.3125</v>
      </c>
      <c r="I54" s="3">
        <v>34039.57</v>
      </c>
    </row>
    <row r="55" spans="1:11">
      <c r="A55" t="s">
        <v>3971</v>
      </c>
      <c r="B55" s="1">
        <v>41480</v>
      </c>
      <c r="C55" t="s">
        <v>3972</v>
      </c>
      <c r="D55">
        <v>1</v>
      </c>
      <c r="E55" t="s">
        <v>3973</v>
      </c>
      <c r="F55" s="84" t="s">
        <v>761</v>
      </c>
      <c r="G55" s="81" t="s">
        <v>762</v>
      </c>
      <c r="H55" s="3">
        <f t="shared" si="0"/>
        <v>322350.8125</v>
      </c>
      <c r="I55" s="3">
        <v>51576.13</v>
      </c>
    </row>
    <row r="56" spans="1:11">
      <c r="A56" t="s">
        <v>1029</v>
      </c>
      <c r="B56" s="1">
        <v>41466</v>
      </c>
      <c r="C56" t="s">
        <v>4225</v>
      </c>
      <c r="D56">
        <v>2</v>
      </c>
      <c r="E56" t="s">
        <v>1062</v>
      </c>
      <c r="F56" s="81" t="s">
        <v>1577</v>
      </c>
      <c r="G56" s="81" t="s">
        <v>1062</v>
      </c>
      <c r="H56" s="3">
        <f t="shared" si="0"/>
        <v>1887.9375</v>
      </c>
      <c r="I56" s="3">
        <v>302.07</v>
      </c>
    </row>
    <row r="57" spans="1:11">
      <c r="A57" t="s">
        <v>4308</v>
      </c>
      <c r="B57" s="1">
        <v>41479</v>
      </c>
      <c r="C57" t="s">
        <v>4309</v>
      </c>
      <c r="D57">
        <v>1</v>
      </c>
      <c r="E57" t="s">
        <v>4310</v>
      </c>
      <c r="F57" s="9" t="s">
        <v>4339</v>
      </c>
      <c r="G57" s="9" t="s">
        <v>4310</v>
      </c>
      <c r="H57" s="3">
        <f t="shared" si="0"/>
        <v>86206.875</v>
      </c>
      <c r="I57" s="3">
        <v>13793.1</v>
      </c>
    </row>
    <row r="58" spans="1:11">
      <c r="A58" t="s">
        <v>4043</v>
      </c>
      <c r="B58" s="1">
        <v>41478</v>
      </c>
      <c r="C58" t="s">
        <v>4044</v>
      </c>
      <c r="D58">
        <v>1</v>
      </c>
      <c r="E58" t="s">
        <v>4045</v>
      </c>
      <c r="F58" s="28" t="s">
        <v>3395</v>
      </c>
      <c r="G58" s="28" t="s">
        <v>4340</v>
      </c>
      <c r="H58" s="47">
        <f>I58/0.16</f>
        <v>334.125</v>
      </c>
      <c r="I58" s="83">
        <v>53.46</v>
      </c>
      <c r="J58" s="3"/>
      <c r="K58" s="3"/>
    </row>
    <row r="59" spans="1:11">
      <c r="A59" t="s">
        <v>4043</v>
      </c>
      <c r="B59" s="1">
        <v>41478</v>
      </c>
      <c r="C59" t="s">
        <v>4044</v>
      </c>
      <c r="D59">
        <v>1</v>
      </c>
      <c r="E59" t="s">
        <v>4045</v>
      </c>
      <c r="F59" s="9" t="s">
        <v>3751</v>
      </c>
      <c r="G59" s="9" t="s">
        <v>4341</v>
      </c>
      <c r="H59" s="65">
        <f>I59/0.16</f>
        <v>77.5625</v>
      </c>
      <c r="I59" s="65">
        <v>12.41</v>
      </c>
    </row>
    <row r="60" spans="1:11">
      <c r="A60" t="s">
        <v>4043</v>
      </c>
      <c r="B60" s="1">
        <v>41478</v>
      </c>
      <c r="C60" t="s">
        <v>4044</v>
      </c>
      <c r="D60">
        <v>1</v>
      </c>
      <c r="E60" t="s">
        <v>4045</v>
      </c>
      <c r="F60" t="s">
        <v>946</v>
      </c>
      <c r="G60" t="s">
        <v>946</v>
      </c>
      <c r="H60" s="46">
        <f t="shared" ref="H60" si="7">I60/0.16</f>
        <v>206.9375</v>
      </c>
      <c r="I60" s="46">
        <v>33.11</v>
      </c>
      <c r="J60" s="14">
        <f>618.63-H58-H59-H60</f>
        <v>4.9999999999954525E-3</v>
      </c>
      <c r="K60" s="14">
        <f>98.98-I58-I59-I60</f>
        <v>0</v>
      </c>
    </row>
    <row r="61" spans="1:11" ht="16.5" customHeight="1">
      <c r="A61" t="s">
        <v>4046</v>
      </c>
      <c r="B61" s="1">
        <v>41479</v>
      </c>
      <c r="C61" t="s">
        <v>4047</v>
      </c>
      <c r="D61">
        <v>1</v>
      </c>
      <c r="E61" t="s">
        <v>4045</v>
      </c>
      <c r="F61" s="28" t="s">
        <v>3395</v>
      </c>
      <c r="G61" s="28" t="s">
        <v>4340</v>
      </c>
      <c r="H61" s="47">
        <f>I61/0.16</f>
        <v>417.62499999999994</v>
      </c>
      <c r="I61" s="83">
        <v>66.819999999999993</v>
      </c>
      <c r="J61" s="3"/>
      <c r="K61" s="3"/>
    </row>
    <row r="62" spans="1:11" ht="16.5" customHeight="1">
      <c r="A62" t="s">
        <v>4046</v>
      </c>
      <c r="B62" s="1">
        <v>41479</v>
      </c>
      <c r="C62" t="s">
        <v>4047</v>
      </c>
      <c r="D62">
        <v>1</v>
      </c>
      <c r="E62" t="s">
        <v>4045</v>
      </c>
      <c r="F62" s="9" t="s">
        <v>3751</v>
      </c>
      <c r="G62" s="9" t="s">
        <v>4342</v>
      </c>
      <c r="H62" s="65">
        <f>I62/0.16</f>
        <v>68.9375</v>
      </c>
      <c r="I62" s="65">
        <v>11.03</v>
      </c>
    </row>
    <row r="63" spans="1:11" ht="16.5" customHeight="1">
      <c r="A63" t="s">
        <v>4046</v>
      </c>
      <c r="B63" s="1">
        <v>41479</v>
      </c>
      <c r="C63" t="s">
        <v>4047</v>
      </c>
      <c r="D63">
        <v>1</v>
      </c>
      <c r="E63" t="s">
        <v>4045</v>
      </c>
      <c r="F63" t="s">
        <v>946</v>
      </c>
      <c r="G63" t="s">
        <v>947</v>
      </c>
      <c r="H63" s="46">
        <f t="shared" ref="H63" si="8">I63/0.16</f>
        <v>263</v>
      </c>
      <c r="I63" s="46">
        <v>42.08</v>
      </c>
      <c r="J63" s="14">
        <f>749.56-H61-H62-H63</f>
        <v>-2.4999999999977263E-3</v>
      </c>
      <c r="K63" s="14">
        <f>119.93-I61-I62-I63</f>
        <v>0</v>
      </c>
    </row>
    <row r="64" spans="1:11" ht="16.5" customHeight="1">
      <c r="A64" t="s">
        <v>4051</v>
      </c>
      <c r="B64" s="1">
        <v>41479</v>
      </c>
      <c r="C64" t="s">
        <v>4052</v>
      </c>
      <c r="D64">
        <v>1</v>
      </c>
      <c r="E64" t="s">
        <v>4045</v>
      </c>
      <c r="F64" s="28" t="s">
        <v>3395</v>
      </c>
      <c r="G64" s="28" t="s">
        <v>4340</v>
      </c>
      <c r="H64" s="47">
        <f>I64/0.16</f>
        <v>375.875</v>
      </c>
      <c r="I64" s="83">
        <v>60.14</v>
      </c>
      <c r="J64" s="3"/>
      <c r="K64" s="3"/>
    </row>
    <row r="65" spans="1:12" ht="16.5" customHeight="1">
      <c r="A65" t="s">
        <v>4051</v>
      </c>
      <c r="B65" s="1">
        <v>41479</v>
      </c>
      <c r="C65" t="s">
        <v>4052</v>
      </c>
      <c r="D65">
        <v>1</v>
      </c>
      <c r="E65" t="s">
        <v>4045</v>
      </c>
      <c r="F65" t="s">
        <v>946</v>
      </c>
      <c r="G65" t="s">
        <v>947</v>
      </c>
      <c r="H65" s="3">
        <f t="shared" ref="H65" si="9">I65/0.16</f>
        <v>283.6875</v>
      </c>
      <c r="I65" s="46">
        <f>33.11+12.28</f>
        <v>45.39</v>
      </c>
      <c r="J65" s="14">
        <f>659.56-H64-H65</f>
        <v>-2.5000000000545697E-3</v>
      </c>
      <c r="K65" s="14">
        <f>105.53-I64-I65</f>
        <v>0</v>
      </c>
      <c r="L65" t="s">
        <v>900</v>
      </c>
    </row>
    <row r="66" spans="1:12" ht="16.5" customHeight="1">
      <c r="A66" t="s">
        <v>4064</v>
      </c>
      <c r="B66" s="1">
        <v>41480</v>
      </c>
      <c r="C66" t="s">
        <v>4065</v>
      </c>
      <c r="D66">
        <v>1</v>
      </c>
      <c r="E66" t="s">
        <v>4045</v>
      </c>
      <c r="F66" t="s">
        <v>946</v>
      </c>
      <c r="G66" t="s">
        <v>947</v>
      </c>
      <c r="H66" s="46">
        <f t="shared" ref="H66" si="10">I66/0.16</f>
        <v>263</v>
      </c>
      <c r="I66" s="46">
        <v>42.08</v>
      </c>
      <c r="J66" s="3"/>
      <c r="K66" s="3"/>
    </row>
    <row r="67" spans="1:12" ht="16.5" customHeight="1">
      <c r="A67" t="s">
        <v>4064</v>
      </c>
      <c r="B67" s="1">
        <v>41480</v>
      </c>
      <c r="C67" t="s">
        <v>4065</v>
      </c>
      <c r="D67">
        <v>1</v>
      </c>
      <c r="E67" t="s">
        <v>4045</v>
      </c>
      <c r="F67" s="28" t="s">
        <v>3395</v>
      </c>
      <c r="G67" s="28" t="s">
        <v>4340</v>
      </c>
      <c r="H67" s="47">
        <f>I67/0.16</f>
        <v>417.62499999999994</v>
      </c>
      <c r="I67" s="83">
        <v>66.819999999999993</v>
      </c>
    </row>
    <row r="68" spans="1:12" ht="16.5" customHeight="1">
      <c r="A68" t="s">
        <v>4064</v>
      </c>
      <c r="B68" s="1">
        <v>41480</v>
      </c>
      <c r="C68" t="s">
        <v>4065</v>
      </c>
      <c r="D68">
        <v>1</v>
      </c>
      <c r="E68" t="s">
        <v>4045</v>
      </c>
      <c r="F68" s="9" t="s">
        <v>3751</v>
      </c>
      <c r="G68" s="9" t="s">
        <v>4343</v>
      </c>
      <c r="H68" s="65">
        <f>I68/0.16</f>
        <v>68.9375</v>
      </c>
      <c r="I68" s="65">
        <v>11.03</v>
      </c>
      <c r="J68" s="14">
        <f>749.56-H66-H67-H68</f>
        <v>-2.4999999999977263E-3</v>
      </c>
      <c r="K68" s="14">
        <f>119.93-I66-I67-I68</f>
        <v>1.5987211554602254E-14</v>
      </c>
    </row>
    <row r="69" spans="1:12" ht="16.5" customHeight="1">
      <c r="A69" t="s">
        <v>1069</v>
      </c>
      <c r="B69" s="1">
        <v>41472</v>
      </c>
      <c r="C69" t="s">
        <v>4238</v>
      </c>
      <c r="D69">
        <v>1</v>
      </c>
      <c r="E69" t="s">
        <v>100</v>
      </c>
      <c r="F69" s="81" t="s">
        <v>764</v>
      </c>
      <c r="G69" s="81" t="s">
        <v>100</v>
      </c>
      <c r="H69" s="3">
        <f t="shared" si="0"/>
        <v>21031.875</v>
      </c>
      <c r="I69" s="3">
        <v>3365.1</v>
      </c>
    </row>
    <row r="70" spans="1:12" ht="16.5" customHeight="1">
      <c r="A70" t="s">
        <v>4027</v>
      </c>
      <c r="B70" s="1">
        <v>41486</v>
      </c>
      <c r="C70" t="s">
        <v>433</v>
      </c>
      <c r="D70">
        <v>1</v>
      </c>
      <c r="E70" t="s">
        <v>4028</v>
      </c>
      <c r="F70" s="88" t="s">
        <v>1578</v>
      </c>
      <c r="G70" s="89" t="s">
        <v>1579</v>
      </c>
      <c r="H70" s="3">
        <f t="shared" si="0"/>
        <v>660.625</v>
      </c>
      <c r="I70" s="3">
        <v>105.7</v>
      </c>
    </row>
    <row r="71" spans="1:12">
      <c r="A71" t="s">
        <v>4013</v>
      </c>
      <c r="B71" s="1">
        <v>41486</v>
      </c>
      <c r="C71" t="s">
        <v>433</v>
      </c>
      <c r="D71">
        <v>1</v>
      </c>
      <c r="E71" t="s">
        <v>4014</v>
      </c>
      <c r="F71" s="87" t="s">
        <v>950</v>
      </c>
      <c r="G71" s="90" t="s">
        <v>951</v>
      </c>
      <c r="H71" s="3">
        <f t="shared" si="0"/>
        <v>8006.125</v>
      </c>
      <c r="I71" s="3">
        <v>1280.98</v>
      </c>
    </row>
    <row r="72" spans="1:12">
      <c r="A72" t="s">
        <v>4021</v>
      </c>
      <c r="B72" s="1">
        <v>41486</v>
      </c>
      <c r="C72" t="s">
        <v>433</v>
      </c>
      <c r="D72">
        <v>1</v>
      </c>
      <c r="E72" t="s">
        <v>4022</v>
      </c>
      <c r="F72" s="87" t="s">
        <v>823</v>
      </c>
      <c r="G72" s="90" t="s">
        <v>824</v>
      </c>
      <c r="H72" s="3">
        <f t="shared" si="0"/>
        <v>423.00000000000006</v>
      </c>
      <c r="I72" s="3">
        <v>67.680000000000007</v>
      </c>
    </row>
    <row r="73" spans="1:12">
      <c r="A73" t="s">
        <v>4015</v>
      </c>
      <c r="B73" s="1">
        <v>41486</v>
      </c>
      <c r="C73" t="s">
        <v>433</v>
      </c>
      <c r="D73">
        <v>1</v>
      </c>
      <c r="E73" t="s">
        <v>4016</v>
      </c>
      <c r="F73" s="12" t="s">
        <v>830</v>
      </c>
      <c r="G73" s="20" t="s">
        <v>831</v>
      </c>
      <c r="H73" s="3">
        <f t="shared" si="0"/>
        <v>475.99999999999994</v>
      </c>
      <c r="I73" s="3">
        <v>76.16</v>
      </c>
    </row>
    <row r="74" spans="1:12">
      <c r="A74" t="s">
        <v>4023</v>
      </c>
      <c r="B74" s="1">
        <v>41486</v>
      </c>
      <c r="C74" t="s">
        <v>433</v>
      </c>
      <c r="D74">
        <v>1</v>
      </c>
      <c r="E74" t="s">
        <v>4024</v>
      </c>
      <c r="F74" s="87" t="s">
        <v>825</v>
      </c>
      <c r="G74" s="90" t="s">
        <v>826</v>
      </c>
      <c r="H74" s="3">
        <f t="shared" si="0"/>
        <v>126</v>
      </c>
      <c r="I74" s="3">
        <v>20.16</v>
      </c>
    </row>
    <row r="75" spans="1:12">
      <c r="A75" t="s">
        <v>4019</v>
      </c>
      <c r="B75" s="1">
        <v>41486</v>
      </c>
      <c r="C75" t="s">
        <v>433</v>
      </c>
      <c r="D75">
        <v>1</v>
      </c>
      <c r="E75" t="s">
        <v>4020</v>
      </c>
      <c r="F75" s="87" t="s">
        <v>821</v>
      </c>
      <c r="G75" s="87" t="s">
        <v>2272</v>
      </c>
      <c r="H75" s="3">
        <f t="shared" si="0"/>
        <v>434.99999999999994</v>
      </c>
      <c r="I75" s="3">
        <v>69.599999999999994</v>
      </c>
    </row>
    <row r="76" spans="1:12">
      <c r="A76" t="s">
        <v>4017</v>
      </c>
      <c r="B76" s="1">
        <v>41486</v>
      </c>
      <c r="C76" t="s">
        <v>433</v>
      </c>
      <c r="D76">
        <v>1</v>
      </c>
      <c r="E76" t="s">
        <v>4018</v>
      </c>
      <c r="F76" s="12" t="s">
        <v>915</v>
      </c>
      <c r="G76" s="20" t="s">
        <v>916</v>
      </c>
      <c r="H76" s="3">
        <f t="shared" si="0"/>
        <v>285</v>
      </c>
      <c r="I76" s="3">
        <v>45.6</v>
      </c>
    </row>
    <row r="77" spans="1:12">
      <c r="A77" t="s">
        <v>3024</v>
      </c>
      <c r="B77" s="1">
        <v>41478</v>
      </c>
      <c r="C77" t="s">
        <v>3943</v>
      </c>
      <c r="D77">
        <v>1</v>
      </c>
      <c r="E77" t="s">
        <v>3944</v>
      </c>
      <c r="F77" s="81" t="s">
        <v>1594</v>
      </c>
      <c r="G77" s="81" t="s">
        <v>4344</v>
      </c>
      <c r="H77" s="3">
        <f t="shared" si="0"/>
        <v>4180</v>
      </c>
      <c r="I77" s="3">
        <v>668.8</v>
      </c>
    </row>
    <row r="78" spans="1:12">
      <c r="A78" t="s">
        <v>4192</v>
      </c>
      <c r="B78" s="1">
        <v>41486</v>
      </c>
      <c r="C78">
        <v>8776</v>
      </c>
      <c r="D78">
        <v>1</v>
      </c>
      <c r="E78" t="s">
        <v>549</v>
      </c>
      <c r="F78" s="81" t="s">
        <v>767</v>
      </c>
      <c r="G78" s="81" t="s">
        <v>4345</v>
      </c>
      <c r="H78" s="3">
        <f t="shared" si="0"/>
        <v>1019.125</v>
      </c>
      <c r="I78" s="3">
        <v>163.06</v>
      </c>
    </row>
    <row r="79" spans="1:12">
      <c r="A79" t="s">
        <v>2127</v>
      </c>
      <c r="B79" s="1">
        <v>41457</v>
      </c>
      <c r="C79" t="s">
        <v>4220</v>
      </c>
      <c r="D79">
        <v>1</v>
      </c>
      <c r="E79" t="s">
        <v>29</v>
      </c>
      <c r="F79" s="91" t="s">
        <v>772</v>
      </c>
      <c r="G79" s="81" t="s">
        <v>29</v>
      </c>
      <c r="H79" s="3">
        <f t="shared" si="0"/>
        <v>65000</v>
      </c>
      <c r="I79" s="3">
        <v>10400</v>
      </c>
      <c r="J79" s="46"/>
      <c r="K79" s="56"/>
    </row>
    <row r="80" spans="1:12">
      <c r="A80" t="s">
        <v>969</v>
      </c>
      <c r="B80" s="1">
        <v>41457</v>
      </c>
      <c r="C80" t="s">
        <v>4221</v>
      </c>
      <c r="D80">
        <v>1</v>
      </c>
      <c r="E80" t="s">
        <v>29</v>
      </c>
      <c r="F80" s="91" t="s">
        <v>772</v>
      </c>
      <c r="G80" s="81" t="s">
        <v>29</v>
      </c>
      <c r="H80" s="3">
        <f t="shared" si="0"/>
        <v>17931</v>
      </c>
      <c r="I80" s="3">
        <v>2868.96</v>
      </c>
      <c r="J80" s="46"/>
      <c r="K80" s="56"/>
    </row>
    <row r="81" spans="1:11">
      <c r="A81" t="s">
        <v>2700</v>
      </c>
      <c r="B81" s="1">
        <v>41461</v>
      </c>
      <c r="C81" t="s">
        <v>4222</v>
      </c>
      <c r="D81">
        <v>1</v>
      </c>
      <c r="E81" t="s">
        <v>29</v>
      </c>
      <c r="F81" s="81" t="s">
        <v>772</v>
      </c>
      <c r="G81" s="81" t="s">
        <v>29</v>
      </c>
      <c r="H81" s="3">
        <f t="shared" si="0"/>
        <v>95433.5625</v>
      </c>
      <c r="I81" s="3">
        <v>15269.37</v>
      </c>
      <c r="J81" s="46"/>
      <c r="K81" s="56"/>
    </row>
    <row r="82" spans="1:11">
      <c r="A82" t="s">
        <v>2140</v>
      </c>
      <c r="B82" s="1">
        <v>41464</v>
      </c>
      <c r="C82" t="s">
        <v>4223</v>
      </c>
      <c r="D82">
        <v>1</v>
      </c>
      <c r="E82" t="s">
        <v>29</v>
      </c>
      <c r="F82" s="81" t="s">
        <v>772</v>
      </c>
      <c r="G82" s="81" t="s">
        <v>29</v>
      </c>
      <c r="H82" s="3">
        <f t="shared" si="0"/>
        <v>9794</v>
      </c>
      <c r="I82" s="3">
        <v>1567.04</v>
      </c>
      <c r="J82" s="46"/>
      <c r="K82" s="56"/>
    </row>
    <row r="83" spans="1:11">
      <c r="A83" t="s">
        <v>98</v>
      </c>
      <c r="B83" s="1">
        <v>41472</v>
      </c>
      <c r="C83" t="s">
        <v>4236</v>
      </c>
      <c r="D83">
        <v>1</v>
      </c>
      <c r="E83" t="s">
        <v>29</v>
      </c>
      <c r="F83" s="81" t="s">
        <v>772</v>
      </c>
      <c r="G83" s="81" t="s">
        <v>29</v>
      </c>
      <c r="H83" s="3">
        <f t="shared" si="0"/>
        <v>60993.75</v>
      </c>
      <c r="I83" s="3">
        <v>9759</v>
      </c>
      <c r="J83" s="46"/>
      <c r="K83" s="56"/>
    </row>
    <row r="84" spans="1:11">
      <c r="A84" t="s">
        <v>1067</v>
      </c>
      <c r="B84" s="1">
        <v>41472</v>
      </c>
      <c r="C84" t="s">
        <v>4237</v>
      </c>
      <c r="D84">
        <v>1</v>
      </c>
      <c r="E84" t="s">
        <v>29</v>
      </c>
      <c r="F84" s="81" t="s">
        <v>772</v>
      </c>
      <c r="G84" s="81" t="s">
        <v>29</v>
      </c>
      <c r="H84" s="3">
        <f t="shared" si="0"/>
        <v>341294.9375</v>
      </c>
      <c r="I84" s="3">
        <v>54607.19</v>
      </c>
      <c r="J84" s="46"/>
      <c r="K84" s="56"/>
    </row>
    <row r="85" spans="1:11">
      <c r="A85" t="s">
        <v>2163</v>
      </c>
      <c r="B85" s="1">
        <v>41472</v>
      </c>
      <c r="C85" t="s">
        <v>4241</v>
      </c>
      <c r="D85">
        <v>1</v>
      </c>
      <c r="E85" t="s">
        <v>29</v>
      </c>
      <c r="F85" s="81" t="s">
        <v>772</v>
      </c>
      <c r="G85" s="81" t="s">
        <v>29</v>
      </c>
      <c r="H85" s="3">
        <f t="shared" si="0"/>
        <v>62303.499999999993</v>
      </c>
      <c r="I85" s="3">
        <v>9968.56</v>
      </c>
      <c r="J85" s="46"/>
      <c r="K85" s="56"/>
    </row>
    <row r="86" spans="1:11">
      <c r="A86" t="s">
        <v>1095</v>
      </c>
      <c r="B86" s="1">
        <v>41472</v>
      </c>
      <c r="C86" t="s">
        <v>4242</v>
      </c>
      <c r="D86">
        <v>1</v>
      </c>
      <c r="E86" t="s">
        <v>29</v>
      </c>
      <c r="F86" s="81" t="s">
        <v>772</v>
      </c>
      <c r="G86" s="81" t="s">
        <v>29</v>
      </c>
      <c r="H86" s="3">
        <f t="shared" si="0"/>
        <v>1460.875</v>
      </c>
      <c r="I86" s="3">
        <v>233.74</v>
      </c>
      <c r="J86" s="46"/>
      <c r="K86" s="56"/>
    </row>
    <row r="87" spans="1:11">
      <c r="A87" t="s">
        <v>136</v>
      </c>
      <c r="B87" s="1">
        <v>41472</v>
      </c>
      <c r="C87" t="s">
        <v>4243</v>
      </c>
      <c r="D87">
        <v>1</v>
      </c>
      <c r="E87" t="s">
        <v>29</v>
      </c>
      <c r="F87" s="81" t="s">
        <v>772</v>
      </c>
      <c r="G87" s="81" t="s">
        <v>29</v>
      </c>
      <c r="H87" s="3">
        <f t="shared" si="0"/>
        <v>8815.875</v>
      </c>
      <c r="I87" s="3">
        <v>1410.54</v>
      </c>
      <c r="J87" s="46"/>
      <c r="K87" s="56"/>
    </row>
    <row r="88" spans="1:11">
      <c r="A88" t="s">
        <v>2754</v>
      </c>
      <c r="B88" s="1">
        <v>41474</v>
      </c>
      <c r="C88" t="s">
        <v>4256</v>
      </c>
      <c r="D88">
        <v>1</v>
      </c>
      <c r="E88" t="s">
        <v>29</v>
      </c>
      <c r="F88" s="81" t="s">
        <v>772</v>
      </c>
      <c r="G88" s="81" t="s">
        <v>29</v>
      </c>
      <c r="H88" s="3">
        <f t="shared" si="0"/>
        <v>70736</v>
      </c>
      <c r="I88" s="3">
        <v>11317.76</v>
      </c>
      <c r="J88" s="46"/>
      <c r="K88" s="56"/>
    </row>
    <row r="89" spans="1:11">
      <c r="A89" t="s">
        <v>304</v>
      </c>
      <c r="B89" s="1">
        <v>41481</v>
      </c>
      <c r="C89" t="s">
        <v>4279</v>
      </c>
      <c r="D89">
        <v>1</v>
      </c>
      <c r="E89" t="s">
        <v>29</v>
      </c>
      <c r="F89" s="81" t="s">
        <v>772</v>
      </c>
      <c r="G89" s="81" t="s">
        <v>29</v>
      </c>
      <c r="H89" s="3">
        <f t="shared" si="0"/>
        <v>121383.31250000001</v>
      </c>
      <c r="I89" s="3">
        <v>19421.330000000002</v>
      </c>
      <c r="J89" s="46"/>
      <c r="K89" s="56"/>
    </row>
    <row r="90" spans="1:11">
      <c r="A90" t="s">
        <v>1333</v>
      </c>
      <c r="B90" s="1">
        <v>41485</v>
      </c>
      <c r="C90" t="s">
        <v>4293</v>
      </c>
      <c r="D90">
        <v>1</v>
      </c>
      <c r="E90" t="s">
        <v>29</v>
      </c>
      <c r="F90" s="81" t="s">
        <v>772</v>
      </c>
      <c r="G90" s="81" t="s">
        <v>29</v>
      </c>
      <c r="H90" s="3">
        <f t="shared" si="0"/>
        <v>1879.3125</v>
      </c>
      <c r="I90" s="3">
        <v>300.69</v>
      </c>
      <c r="J90" s="46"/>
      <c r="K90" s="56"/>
    </row>
    <row r="91" spans="1:11">
      <c r="A91" t="s">
        <v>2809</v>
      </c>
      <c r="B91" s="1">
        <v>41485</v>
      </c>
      <c r="C91" t="s">
        <v>4294</v>
      </c>
      <c r="D91">
        <v>1</v>
      </c>
      <c r="E91" t="s">
        <v>29</v>
      </c>
      <c r="F91" s="81" t="s">
        <v>772</v>
      </c>
      <c r="G91" s="81" t="s">
        <v>29</v>
      </c>
      <c r="H91" s="3">
        <f t="shared" si="0"/>
        <v>151452.8125</v>
      </c>
      <c r="I91" s="3">
        <v>24232.45</v>
      </c>
      <c r="J91" s="46"/>
      <c r="K91" s="56"/>
    </row>
    <row r="92" spans="1:11">
      <c r="A92" t="s">
        <v>697</v>
      </c>
      <c r="B92" s="1">
        <v>41486</v>
      </c>
      <c r="C92" t="s">
        <v>4304</v>
      </c>
      <c r="D92">
        <v>1</v>
      </c>
      <c r="E92" t="s">
        <v>29</v>
      </c>
      <c r="F92" s="81" t="s">
        <v>772</v>
      </c>
      <c r="G92" s="81" t="s">
        <v>29</v>
      </c>
      <c r="H92" s="3">
        <f t="shared" ref="H92:H166" si="11">+I92/0.16</f>
        <v>5714.25</v>
      </c>
      <c r="I92" s="3">
        <v>914.28</v>
      </c>
      <c r="J92" s="46"/>
      <c r="K92" s="56"/>
    </row>
    <row r="93" spans="1:11">
      <c r="A93" t="s">
        <v>218</v>
      </c>
      <c r="B93" s="1">
        <v>41477</v>
      </c>
      <c r="C93" t="s">
        <v>4262</v>
      </c>
      <c r="D93">
        <v>1</v>
      </c>
      <c r="E93" t="s">
        <v>1239</v>
      </c>
      <c r="F93" s="81" t="s">
        <v>1587</v>
      </c>
      <c r="G93" s="81" t="s">
        <v>1239</v>
      </c>
      <c r="H93" s="3">
        <f t="shared" si="11"/>
        <v>378</v>
      </c>
      <c r="I93" s="3">
        <v>60.48</v>
      </c>
    </row>
    <row r="94" spans="1:11">
      <c r="A94" t="s">
        <v>4163</v>
      </c>
      <c r="B94" s="1">
        <v>41485</v>
      </c>
      <c r="C94">
        <v>8736</v>
      </c>
      <c r="D94">
        <v>1</v>
      </c>
      <c r="E94" t="s">
        <v>514</v>
      </c>
      <c r="F94" s="81" t="s">
        <v>773</v>
      </c>
      <c r="G94" s="81" t="s">
        <v>514</v>
      </c>
      <c r="H94" s="3">
        <f t="shared" si="11"/>
        <v>46.1875</v>
      </c>
      <c r="I94" s="3">
        <v>7.39</v>
      </c>
    </row>
    <row r="95" spans="1:11">
      <c r="A95" t="s">
        <v>154</v>
      </c>
      <c r="B95" s="1">
        <v>41473</v>
      </c>
      <c r="C95" t="s">
        <v>4246</v>
      </c>
      <c r="D95">
        <v>1</v>
      </c>
      <c r="E95" t="s">
        <v>3312</v>
      </c>
      <c r="F95" s="81" t="s">
        <v>3362</v>
      </c>
      <c r="G95" s="81" t="s">
        <v>3312</v>
      </c>
      <c r="H95" s="3">
        <f t="shared" si="11"/>
        <v>1714</v>
      </c>
      <c r="I95" s="3">
        <v>274.24</v>
      </c>
    </row>
    <row r="96" spans="1:11">
      <c r="A96" t="s">
        <v>3922</v>
      </c>
      <c r="B96" s="1">
        <v>41474</v>
      </c>
      <c r="C96" t="s">
        <v>3923</v>
      </c>
      <c r="D96">
        <v>1</v>
      </c>
      <c r="E96" t="s">
        <v>3924</v>
      </c>
      <c r="F96" s="87" t="s">
        <v>775</v>
      </c>
      <c r="G96" s="81" t="s">
        <v>776</v>
      </c>
      <c r="H96" s="3">
        <f t="shared" si="11"/>
        <v>212747.3125</v>
      </c>
      <c r="I96" s="3">
        <v>34039.57</v>
      </c>
    </row>
    <row r="97" spans="1:11">
      <c r="A97" t="s">
        <v>3925</v>
      </c>
      <c r="B97" s="1">
        <v>41474</v>
      </c>
      <c r="C97" t="s">
        <v>3926</v>
      </c>
      <c r="D97">
        <v>1</v>
      </c>
      <c r="E97" t="s">
        <v>3924</v>
      </c>
      <c r="F97" s="87" t="s">
        <v>775</v>
      </c>
      <c r="G97" s="81" t="s">
        <v>776</v>
      </c>
      <c r="H97" s="3">
        <f t="shared" si="11"/>
        <v>212747.3125</v>
      </c>
      <c r="I97" s="3">
        <v>34039.57</v>
      </c>
    </row>
    <row r="98" spans="1:11">
      <c r="A98" t="s">
        <v>3927</v>
      </c>
      <c r="B98" s="1">
        <v>41474</v>
      </c>
      <c r="C98" t="s">
        <v>3928</v>
      </c>
      <c r="D98">
        <v>1</v>
      </c>
      <c r="E98" t="s">
        <v>3924</v>
      </c>
      <c r="F98" s="87" t="s">
        <v>775</v>
      </c>
      <c r="G98" s="81" t="s">
        <v>776</v>
      </c>
      <c r="H98" s="3">
        <f t="shared" si="11"/>
        <v>212747.3125</v>
      </c>
      <c r="I98" s="3">
        <v>34039.57</v>
      </c>
    </row>
    <row r="99" spans="1:11">
      <c r="A99" t="s">
        <v>3861</v>
      </c>
      <c r="B99" s="1">
        <v>41470</v>
      </c>
      <c r="C99" t="s">
        <v>3862</v>
      </c>
      <c r="D99">
        <v>1</v>
      </c>
      <c r="E99" t="s">
        <v>3863</v>
      </c>
      <c r="F99" s="87" t="s">
        <v>775</v>
      </c>
      <c r="G99" s="81" t="s">
        <v>776</v>
      </c>
      <c r="H99" s="3">
        <f t="shared" si="11"/>
        <v>212747.3125</v>
      </c>
      <c r="I99" s="3">
        <v>34039.57</v>
      </c>
    </row>
    <row r="100" spans="1:11">
      <c r="A100" t="s">
        <v>4140</v>
      </c>
      <c r="B100" s="1">
        <v>41484</v>
      </c>
      <c r="C100">
        <v>8706</v>
      </c>
      <c r="D100">
        <v>1</v>
      </c>
      <c r="E100" t="s">
        <v>4141</v>
      </c>
      <c r="F100" s="9" t="s">
        <v>778</v>
      </c>
      <c r="G100" s="9" t="s">
        <v>779</v>
      </c>
      <c r="H100" s="3">
        <f t="shared" si="11"/>
        <v>1000</v>
      </c>
      <c r="I100" s="3">
        <v>160</v>
      </c>
    </row>
    <row r="101" spans="1:11">
      <c r="A101" t="s">
        <v>1108</v>
      </c>
      <c r="B101" s="1">
        <v>41473</v>
      </c>
      <c r="C101" t="s">
        <v>4249</v>
      </c>
      <c r="D101">
        <v>1</v>
      </c>
      <c r="E101" t="s">
        <v>373</v>
      </c>
      <c r="F101" s="81" t="s">
        <v>780</v>
      </c>
      <c r="G101" s="81" t="s">
        <v>373</v>
      </c>
      <c r="H101" s="3">
        <f t="shared" si="11"/>
        <v>9610</v>
      </c>
      <c r="I101" s="3">
        <v>1537.6</v>
      </c>
    </row>
    <row r="102" spans="1:11">
      <c r="A102" t="s">
        <v>2835</v>
      </c>
      <c r="B102" s="1">
        <v>41486</v>
      </c>
      <c r="C102" t="s">
        <v>4311</v>
      </c>
      <c r="D102">
        <v>1</v>
      </c>
      <c r="E102" t="s">
        <v>373</v>
      </c>
      <c r="F102" s="81" t="s">
        <v>780</v>
      </c>
      <c r="G102" s="81" t="s">
        <v>373</v>
      </c>
      <c r="H102" s="3">
        <f t="shared" si="11"/>
        <v>34412.6875</v>
      </c>
      <c r="I102" s="3">
        <v>5506.03</v>
      </c>
    </row>
    <row r="103" spans="1:11">
      <c r="A103" t="s">
        <v>159</v>
      </c>
      <c r="B103" s="1">
        <v>41473</v>
      </c>
      <c r="C103" t="s">
        <v>4250</v>
      </c>
      <c r="D103">
        <v>1</v>
      </c>
      <c r="E103" t="s">
        <v>80</v>
      </c>
      <c r="F103" s="81" t="s">
        <v>781</v>
      </c>
      <c r="G103" s="81" t="s">
        <v>80</v>
      </c>
      <c r="H103" s="3">
        <f t="shared" si="11"/>
        <v>2009</v>
      </c>
      <c r="I103" s="3">
        <v>321.44</v>
      </c>
    </row>
    <row r="104" spans="1:11">
      <c r="A104" t="s">
        <v>208</v>
      </c>
      <c r="B104" s="1">
        <v>41477</v>
      </c>
      <c r="C104" t="s">
        <v>4258</v>
      </c>
      <c r="D104">
        <v>1</v>
      </c>
      <c r="E104" t="s">
        <v>80</v>
      </c>
      <c r="F104" s="81" t="s">
        <v>781</v>
      </c>
      <c r="G104" s="81" t="s">
        <v>80</v>
      </c>
      <c r="H104" s="3">
        <f t="shared" si="11"/>
        <v>1525</v>
      </c>
      <c r="I104" s="3">
        <v>244</v>
      </c>
    </row>
    <row r="105" spans="1:11">
      <c r="A105" t="s">
        <v>307</v>
      </c>
      <c r="B105" s="1">
        <v>41482</v>
      </c>
      <c r="C105" t="s">
        <v>4283</v>
      </c>
      <c r="D105">
        <v>1</v>
      </c>
      <c r="E105" t="s">
        <v>80</v>
      </c>
      <c r="F105" s="81" t="s">
        <v>781</v>
      </c>
      <c r="G105" s="81" t="s">
        <v>80</v>
      </c>
      <c r="H105" s="3">
        <f t="shared" si="11"/>
        <v>1162</v>
      </c>
      <c r="I105" s="3">
        <v>185.92</v>
      </c>
    </row>
    <row r="106" spans="1:11">
      <c r="A106" t="s">
        <v>4186</v>
      </c>
      <c r="B106" s="1">
        <v>41486</v>
      </c>
      <c r="C106">
        <v>8768</v>
      </c>
      <c r="D106">
        <v>1</v>
      </c>
      <c r="E106" t="s">
        <v>4187</v>
      </c>
      <c r="F106" s="9" t="s">
        <v>784</v>
      </c>
      <c r="G106" s="9" t="s">
        <v>618</v>
      </c>
      <c r="H106" s="3">
        <f t="shared" si="11"/>
        <v>86.375</v>
      </c>
      <c r="I106" s="3">
        <v>13.82</v>
      </c>
    </row>
    <row r="107" spans="1:11">
      <c r="A107" t="s">
        <v>4170</v>
      </c>
      <c r="B107" s="1">
        <v>41485</v>
      </c>
      <c r="C107">
        <v>8748</v>
      </c>
      <c r="D107">
        <v>1</v>
      </c>
      <c r="E107" t="s">
        <v>618</v>
      </c>
      <c r="F107" s="9" t="s">
        <v>784</v>
      </c>
      <c r="G107" s="9" t="s">
        <v>618</v>
      </c>
      <c r="H107" s="3">
        <f t="shared" si="11"/>
        <v>201.75</v>
      </c>
      <c r="I107" s="3">
        <v>32.28</v>
      </c>
    </row>
    <row r="108" spans="1:11">
      <c r="A108" t="s">
        <v>4216</v>
      </c>
      <c r="B108" s="1">
        <v>41485</v>
      </c>
      <c r="C108" t="s">
        <v>4217</v>
      </c>
      <c r="D108">
        <v>1</v>
      </c>
      <c r="E108" t="s">
        <v>618</v>
      </c>
      <c r="F108" s="9" t="s">
        <v>784</v>
      </c>
      <c r="G108" s="9" t="s">
        <v>4187</v>
      </c>
      <c r="H108" s="3">
        <f t="shared" si="11"/>
        <v>95.6875</v>
      </c>
      <c r="I108" s="3">
        <v>15.31</v>
      </c>
    </row>
    <row r="109" spans="1:11">
      <c r="A109" t="s">
        <v>4053</v>
      </c>
      <c r="B109" s="1">
        <v>41479</v>
      </c>
      <c r="C109" t="s">
        <v>4054</v>
      </c>
      <c r="D109">
        <v>1</v>
      </c>
      <c r="E109" t="s">
        <v>4055</v>
      </c>
      <c r="F109" s="28" t="s">
        <v>935</v>
      </c>
      <c r="G109" s="28" t="s">
        <v>936</v>
      </c>
      <c r="H109" s="47">
        <f t="shared" ref="H109:H114" si="12">I109/0.16</f>
        <v>83.5</v>
      </c>
      <c r="I109" s="92">
        <v>13.36</v>
      </c>
      <c r="J109" s="3"/>
      <c r="K109" s="3"/>
    </row>
    <row r="110" spans="1:11">
      <c r="A110" t="s">
        <v>4053</v>
      </c>
      <c r="B110" s="1">
        <v>41479</v>
      </c>
      <c r="C110" t="s">
        <v>4054</v>
      </c>
      <c r="D110">
        <v>1</v>
      </c>
      <c r="E110" t="s">
        <v>4055</v>
      </c>
      <c r="F110" s="9" t="s">
        <v>919</v>
      </c>
      <c r="G110" s="9" t="s">
        <v>920</v>
      </c>
      <c r="H110" s="65">
        <f t="shared" si="12"/>
        <v>67.25</v>
      </c>
      <c r="I110" s="85">
        <v>10.76</v>
      </c>
      <c r="J110" s="14">
        <f>150.75-H109-H110</f>
        <v>0</v>
      </c>
      <c r="K110" s="14">
        <f>24.12-I109-I110</f>
        <v>0</v>
      </c>
    </row>
    <row r="111" spans="1:11">
      <c r="A111" t="s">
        <v>4112</v>
      </c>
      <c r="B111" s="1">
        <v>41484</v>
      </c>
      <c r="C111" t="s">
        <v>4113</v>
      </c>
      <c r="D111">
        <v>1</v>
      </c>
      <c r="E111" t="s">
        <v>4055</v>
      </c>
      <c r="F111" s="28" t="s">
        <v>935</v>
      </c>
      <c r="G111" s="28" t="s">
        <v>936</v>
      </c>
      <c r="H111" s="47">
        <f t="shared" si="12"/>
        <v>83.5</v>
      </c>
      <c r="I111" s="92">
        <v>13.36</v>
      </c>
      <c r="J111" s="3"/>
      <c r="K111" s="3"/>
    </row>
    <row r="112" spans="1:11">
      <c r="A112" t="s">
        <v>4112</v>
      </c>
      <c r="B112" s="1">
        <v>41484</v>
      </c>
      <c r="C112" t="s">
        <v>4113</v>
      </c>
      <c r="D112">
        <v>1</v>
      </c>
      <c r="E112" t="s">
        <v>4055</v>
      </c>
      <c r="F112" s="9" t="s">
        <v>919</v>
      </c>
      <c r="G112" s="9" t="s">
        <v>920</v>
      </c>
      <c r="H112" s="65">
        <f t="shared" si="12"/>
        <v>67.25</v>
      </c>
      <c r="I112" s="85">
        <v>10.76</v>
      </c>
      <c r="J112" s="14">
        <f>150.75-H111-H112</f>
        <v>0</v>
      </c>
      <c r="K112" s="14">
        <f>24.12-I111-I112</f>
        <v>0</v>
      </c>
    </row>
    <row r="113" spans="1:11">
      <c r="A113" t="s">
        <v>4117</v>
      </c>
      <c r="B113" s="1">
        <v>41484</v>
      </c>
      <c r="C113" t="s">
        <v>4118</v>
      </c>
      <c r="D113">
        <v>1</v>
      </c>
      <c r="E113" t="s">
        <v>4055</v>
      </c>
      <c r="F113" s="9" t="s">
        <v>919</v>
      </c>
      <c r="G113" s="9" t="s">
        <v>920</v>
      </c>
      <c r="H113" s="65">
        <f t="shared" si="12"/>
        <v>67.25</v>
      </c>
      <c r="I113" s="85">
        <v>10.76</v>
      </c>
      <c r="J113" s="3"/>
      <c r="K113" s="3"/>
    </row>
    <row r="114" spans="1:11">
      <c r="A114" t="s">
        <v>4117</v>
      </c>
      <c r="B114" s="1">
        <v>41484</v>
      </c>
      <c r="C114" t="s">
        <v>4118</v>
      </c>
      <c r="D114">
        <v>1</v>
      </c>
      <c r="E114" t="s">
        <v>4055</v>
      </c>
      <c r="F114" s="28" t="s">
        <v>935</v>
      </c>
      <c r="G114" s="28" t="s">
        <v>936</v>
      </c>
      <c r="H114" s="47">
        <f t="shared" si="12"/>
        <v>83.5</v>
      </c>
      <c r="I114" s="92">
        <v>13.36</v>
      </c>
      <c r="J114" s="14">
        <f>150.75-H113-H114</f>
        <v>0</v>
      </c>
      <c r="K114" s="14">
        <f>24.12-I113-I114</f>
        <v>0</v>
      </c>
    </row>
    <row r="115" spans="1:11">
      <c r="A115" t="s">
        <v>271</v>
      </c>
      <c r="B115" s="1">
        <v>41486</v>
      </c>
      <c r="C115" t="s">
        <v>4317</v>
      </c>
      <c r="D115">
        <v>1</v>
      </c>
      <c r="E115" t="s">
        <v>4318</v>
      </c>
      <c r="F115" s="93" t="s">
        <v>4346</v>
      </c>
      <c r="G115" s="81" t="s">
        <v>4318</v>
      </c>
      <c r="H115" s="3">
        <f t="shared" si="11"/>
        <v>20937.9375</v>
      </c>
      <c r="I115" s="3">
        <v>3350.07</v>
      </c>
    </row>
    <row r="116" spans="1:11">
      <c r="A116" t="s">
        <v>255</v>
      </c>
      <c r="B116" s="1">
        <v>41478</v>
      </c>
      <c r="C116" t="s">
        <v>4265</v>
      </c>
      <c r="D116">
        <v>1</v>
      </c>
      <c r="E116" t="s">
        <v>973</v>
      </c>
      <c r="F116" s="81" t="s">
        <v>1594</v>
      </c>
      <c r="G116" s="81" t="s">
        <v>973</v>
      </c>
      <c r="H116" s="3">
        <f t="shared" si="11"/>
        <v>3150</v>
      </c>
      <c r="I116" s="3">
        <v>504</v>
      </c>
    </row>
    <row r="117" spans="1:11">
      <c r="A117" t="s">
        <v>4207</v>
      </c>
      <c r="B117" s="1">
        <v>41477</v>
      </c>
      <c r="C117" t="s">
        <v>4208</v>
      </c>
      <c r="D117">
        <v>1</v>
      </c>
      <c r="E117" t="s">
        <v>4209</v>
      </c>
      <c r="F117" s="9" t="s">
        <v>739</v>
      </c>
      <c r="G117" s="9" t="s">
        <v>4347</v>
      </c>
      <c r="H117" s="3">
        <f t="shared" si="11"/>
        <v>215.49999999999997</v>
      </c>
      <c r="I117" s="3">
        <v>34.479999999999997</v>
      </c>
    </row>
    <row r="118" spans="1:11">
      <c r="A118" t="s">
        <v>4210</v>
      </c>
      <c r="B118" s="1">
        <v>41479</v>
      </c>
      <c r="C118" t="s">
        <v>4211</v>
      </c>
      <c r="D118">
        <v>1</v>
      </c>
      <c r="E118" t="s">
        <v>4212</v>
      </c>
      <c r="F118" s="9" t="s">
        <v>739</v>
      </c>
      <c r="G118" s="9" t="s">
        <v>4347</v>
      </c>
      <c r="H118" s="3">
        <f t="shared" si="11"/>
        <v>215.49999999999997</v>
      </c>
      <c r="I118" s="3">
        <v>34.479999999999997</v>
      </c>
    </row>
    <row r="119" spans="1:11">
      <c r="A119" t="s">
        <v>4213</v>
      </c>
      <c r="B119" s="1">
        <v>41485</v>
      </c>
      <c r="C119" t="s">
        <v>4214</v>
      </c>
      <c r="D119">
        <v>1</v>
      </c>
      <c r="E119" t="s">
        <v>4215</v>
      </c>
      <c r="F119" s="9" t="s">
        <v>739</v>
      </c>
      <c r="G119" s="9" t="s">
        <v>4347</v>
      </c>
      <c r="H119" s="3">
        <f t="shared" si="11"/>
        <v>215.49999999999997</v>
      </c>
      <c r="I119" s="3">
        <v>34.479999999999997</v>
      </c>
    </row>
    <row r="120" spans="1:11">
      <c r="A120" t="s">
        <v>4154</v>
      </c>
      <c r="B120" s="1">
        <v>41485</v>
      </c>
      <c r="C120">
        <v>8722</v>
      </c>
      <c r="D120">
        <v>1</v>
      </c>
      <c r="E120" t="s">
        <v>569</v>
      </c>
      <c r="F120" s="9" t="s">
        <v>788</v>
      </c>
      <c r="G120" s="9" t="s">
        <v>569</v>
      </c>
      <c r="H120" s="3">
        <f t="shared" si="11"/>
        <v>74.125</v>
      </c>
      <c r="I120" s="3">
        <v>11.86</v>
      </c>
    </row>
    <row r="121" spans="1:11">
      <c r="A121" t="s">
        <v>4218</v>
      </c>
      <c r="B121" s="1">
        <v>41485</v>
      </c>
      <c r="C121" t="s">
        <v>4219</v>
      </c>
      <c r="D121">
        <v>1</v>
      </c>
      <c r="E121" t="s">
        <v>1444</v>
      </c>
      <c r="F121" s="9" t="s">
        <v>789</v>
      </c>
      <c r="G121" s="9" t="s">
        <v>1444</v>
      </c>
      <c r="H121" s="3">
        <f t="shared" si="11"/>
        <v>76.8125</v>
      </c>
      <c r="I121" s="3">
        <v>12.29</v>
      </c>
    </row>
    <row r="122" spans="1:11">
      <c r="A122" t="s">
        <v>4324</v>
      </c>
      <c r="B122" s="1">
        <v>41470</v>
      </c>
      <c r="C122" t="s">
        <v>4325</v>
      </c>
      <c r="D122">
        <v>1</v>
      </c>
      <c r="E122" t="s">
        <v>4326</v>
      </c>
      <c r="F122" s="67" t="s">
        <v>829</v>
      </c>
      <c r="G122" s="68" t="s">
        <v>6</v>
      </c>
      <c r="H122" s="3">
        <f t="shared" si="11"/>
        <v>489.25</v>
      </c>
      <c r="I122" s="3">
        <v>78.28</v>
      </c>
    </row>
    <row r="123" spans="1:11">
      <c r="A123" t="s">
        <v>4327</v>
      </c>
      <c r="B123" s="1">
        <v>41470</v>
      </c>
      <c r="C123" t="s">
        <v>4328</v>
      </c>
      <c r="D123">
        <v>1</v>
      </c>
      <c r="E123" t="s">
        <v>4326</v>
      </c>
      <c r="F123" s="67" t="s">
        <v>829</v>
      </c>
      <c r="G123" s="68" t="s">
        <v>6</v>
      </c>
      <c r="H123" s="3">
        <f t="shared" si="11"/>
        <v>426.875</v>
      </c>
      <c r="I123" s="3">
        <v>68.3</v>
      </c>
    </row>
    <row r="124" spans="1:11">
      <c r="A124" t="s">
        <v>4329</v>
      </c>
      <c r="B124" s="1">
        <v>41479</v>
      </c>
      <c r="C124" t="s">
        <v>4330</v>
      </c>
      <c r="D124">
        <v>1</v>
      </c>
      <c r="E124" t="s">
        <v>4331</v>
      </c>
      <c r="F124" s="67" t="s">
        <v>829</v>
      </c>
      <c r="G124" s="68" t="s">
        <v>6</v>
      </c>
      <c r="H124" s="3">
        <f t="shared" si="11"/>
        <v>412.1875</v>
      </c>
      <c r="I124" s="3">
        <v>65.95</v>
      </c>
    </row>
    <row r="125" spans="1:11">
      <c r="A125" t="s">
        <v>4321</v>
      </c>
      <c r="B125" s="1">
        <v>41470</v>
      </c>
      <c r="C125" t="s">
        <v>4322</v>
      </c>
      <c r="D125">
        <v>1</v>
      </c>
      <c r="E125" t="s">
        <v>4323</v>
      </c>
      <c r="F125" s="67" t="s">
        <v>829</v>
      </c>
      <c r="G125" s="68" t="s">
        <v>6</v>
      </c>
      <c r="H125" s="3">
        <f t="shared" si="11"/>
        <v>1253.125</v>
      </c>
      <c r="I125" s="3">
        <v>200.5</v>
      </c>
    </row>
    <row r="126" spans="1:11">
      <c r="A126" t="s">
        <v>4097</v>
      </c>
      <c r="B126" s="1">
        <v>41484</v>
      </c>
      <c r="C126">
        <v>8696</v>
      </c>
      <c r="D126">
        <v>1</v>
      </c>
      <c r="E126" t="s">
        <v>4098</v>
      </c>
      <c r="F126" s="9" t="s">
        <v>740</v>
      </c>
      <c r="G126" s="9" t="s">
        <v>4348</v>
      </c>
      <c r="H126" s="3">
        <f t="shared" si="11"/>
        <v>88</v>
      </c>
      <c r="I126" s="3">
        <v>14.08</v>
      </c>
    </row>
    <row r="127" spans="1:11">
      <c r="A127" t="s">
        <v>4137</v>
      </c>
      <c r="B127" s="1">
        <v>41484</v>
      </c>
      <c r="C127" t="s">
        <v>4138</v>
      </c>
      <c r="D127">
        <v>1</v>
      </c>
      <c r="E127" t="s">
        <v>4139</v>
      </c>
      <c r="F127" t="s">
        <v>946</v>
      </c>
      <c r="G127" s="33" t="s">
        <v>4194</v>
      </c>
      <c r="H127" s="46">
        <f t="shared" ref="H127" si="13">I127/0.16</f>
        <v>226.8125</v>
      </c>
      <c r="I127" s="46">
        <v>36.29</v>
      </c>
      <c r="J127" s="3"/>
      <c r="K127" s="3"/>
    </row>
    <row r="128" spans="1:11">
      <c r="A128" t="s">
        <v>4137</v>
      </c>
      <c r="B128" s="1">
        <v>41484</v>
      </c>
      <c r="C128" t="s">
        <v>4138</v>
      </c>
      <c r="D128">
        <v>1</v>
      </c>
      <c r="E128" t="s">
        <v>4139</v>
      </c>
      <c r="F128" s="28" t="s">
        <v>4349</v>
      </c>
      <c r="G128" s="28" t="s">
        <v>4139</v>
      </c>
      <c r="H128" s="47">
        <f>I128/0.16</f>
        <v>459.375</v>
      </c>
      <c r="I128" s="92">
        <v>73.5</v>
      </c>
      <c r="J128" s="14">
        <f>686.19-H127-H128</f>
        <v>2.5000000000545697E-3</v>
      </c>
      <c r="K128" s="14">
        <f>109.79-I127-I128</f>
        <v>0</v>
      </c>
    </row>
    <row r="129" spans="1:11">
      <c r="A129" t="s">
        <v>4080</v>
      </c>
      <c r="B129" s="1">
        <v>41480</v>
      </c>
      <c r="C129">
        <v>8676</v>
      </c>
      <c r="D129">
        <v>1</v>
      </c>
      <c r="E129" t="s">
        <v>4081</v>
      </c>
      <c r="F129" s="28" t="s">
        <v>954</v>
      </c>
      <c r="G129" s="28" t="s">
        <v>2276</v>
      </c>
      <c r="H129" s="47">
        <f>I129/0.16</f>
        <v>334</v>
      </c>
      <c r="I129" s="92">
        <v>53.44</v>
      </c>
      <c r="J129" s="3"/>
      <c r="K129" s="3"/>
    </row>
    <row r="130" spans="1:11">
      <c r="A130" t="s">
        <v>4080</v>
      </c>
      <c r="B130" s="1">
        <v>41480</v>
      </c>
      <c r="C130">
        <v>8676</v>
      </c>
      <c r="D130">
        <v>1</v>
      </c>
      <c r="E130" t="s">
        <v>4081</v>
      </c>
      <c r="F130" t="s">
        <v>946</v>
      </c>
      <c r="G130" t="s">
        <v>947</v>
      </c>
      <c r="H130" s="46">
        <f t="shared" ref="H130" si="14">I130/0.16</f>
        <v>120.75</v>
      </c>
      <c r="I130" s="46">
        <v>19.32</v>
      </c>
      <c r="J130" s="14">
        <f>454.75-H129-H130</f>
        <v>0</v>
      </c>
      <c r="K130" s="14">
        <f>72.76-I129-I130</f>
        <v>0</v>
      </c>
    </row>
    <row r="131" spans="1:11">
      <c r="A131" t="s">
        <v>3934</v>
      </c>
      <c r="B131" s="1">
        <v>41477</v>
      </c>
      <c r="C131" t="s">
        <v>3935</v>
      </c>
      <c r="D131">
        <v>1</v>
      </c>
      <c r="E131" t="s">
        <v>3936</v>
      </c>
      <c r="F131" s="13" t="s">
        <v>1598</v>
      </c>
      <c r="G131" s="9" t="s">
        <v>1599</v>
      </c>
      <c r="H131" s="3">
        <f t="shared" si="11"/>
        <v>212747.3125</v>
      </c>
      <c r="I131" s="3">
        <v>34039.57</v>
      </c>
    </row>
    <row r="132" spans="1:11">
      <c r="A132" t="s">
        <v>3888</v>
      </c>
      <c r="B132" s="1">
        <v>41473</v>
      </c>
      <c r="C132" t="s">
        <v>3889</v>
      </c>
      <c r="D132">
        <v>1</v>
      </c>
      <c r="E132" t="s">
        <v>3890</v>
      </c>
      <c r="F132" s="9" t="s">
        <v>1598</v>
      </c>
      <c r="G132" s="9" t="s">
        <v>3890</v>
      </c>
      <c r="H132" s="3">
        <f t="shared" si="11"/>
        <v>212747.3125</v>
      </c>
      <c r="I132" s="3">
        <v>34039.57</v>
      </c>
    </row>
    <row r="133" spans="1:11">
      <c r="A133" t="s">
        <v>3838</v>
      </c>
      <c r="B133" s="1">
        <v>41463</v>
      </c>
      <c r="C133" t="s">
        <v>3839</v>
      </c>
      <c r="D133">
        <v>1</v>
      </c>
      <c r="E133" t="s">
        <v>3840</v>
      </c>
      <c r="F133" s="13" t="s">
        <v>1598</v>
      </c>
      <c r="G133" s="9" t="s">
        <v>1599</v>
      </c>
      <c r="H133" s="3">
        <f t="shared" si="11"/>
        <v>212747.3125</v>
      </c>
      <c r="I133" s="3">
        <v>34039.57</v>
      </c>
    </row>
    <row r="134" spans="1:11">
      <c r="A134" t="s">
        <v>4162</v>
      </c>
      <c r="B134" s="1">
        <v>41485</v>
      </c>
      <c r="C134">
        <v>8735</v>
      </c>
      <c r="D134">
        <v>1</v>
      </c>
      <c r="E134" t="s">
        <v>612</v>
      </c>
      <c r="F134" s="9" t="s">
        <v>794</v>
      </c>
      <c r="G134" s="9" t="s">
        <v>612</v>
      </c>
      <c r="H134" s="3">
        <f t="shared" si="11"/>
        <v>68</v>
      </c>
      <c r="I134" s="3">
        <v>10.88</v>
      </c>
    </row>
    <row r="135" spans="1:11">
      <c r="A135" t="s">
        <v>4179</v>
      </c>
      <c r="B135" s="1">
        <v>41486</v>
      </c>
      <c r="C135">
        <v>8754</v>
      </c>
      <c r="D135">
        <v>1</v>
      </c>
      <c r="E135" t="s">
        <v>612</v>
      </c>
      <c r="F135" s="9" t="s">
        <v>794</v>
      </c>
      <c r="G135" s="9" t="s">
        <v>612</v>
      </c>
      <c r="H135" s="3">
        <f t="shared" si="11"/>
        <v>33.3125</v>
      </c>
      <c r="I135" s="3">
        <v>5.33</v>
      </c>
    </row>
    <row r="136" spans="1:11">
      <c r="A136" t="s">
        <v>4191</v>
      </c>
      <c r="B136" s="1">
        <v>41486</v>
      </c>
      <c r="C136">
        <v>8775</v>
      </c>
      <c r="D136">
        <v>1</v>
      </c>
      <c r="E136" t="s">
        <v>612</v>
      </c>
      <c r="F136" s="9" t="s">
        <v>794</v>
      </c>
      <c r="G136" s="9" t="s">
        <v>612</v>
      </c>
      <c r="H136" s="3">
        <f t="shared" si="11"/>
        <v>49.375</v>
      </c>
      <c r="I136" s="3">
        <v>7.9</v>
      </c>
    </row>
    <row r="137" spans="1:11">
      <c r="A137" t="s">
        <v>2194</v>
      </c>
      <c r="B137" s="1">
        <v>41479</v>
      </c>
      <c r="C137" t="s">
        <v>4276</v>
      </c>
      <c r="D137">
        <v>1</v>
      </c>
      <c r="E137" t="s">
        <v>1011</v>
      </c>
      <c r="F137" s="9" t="s">
        <v>1600</v>
      </c>
      <c r="G137" s="9" t="s">
        <v>1011</v>
      </c>
      <c r="H137" s="3">
        <f t="shared" si="11"/>
        <v>10379.375</v>
      </c>
      <c r="I137" s="3">
        <v>1660.7</v>
      </c>
    </row>
    <row r="138" spans="1:11">
      <c r="A138" t="s">
        <v>4290</v>
      </c>
      <c r="B138" s="1">
        <v>41485</v>
      </c>
      <c r="C138" t="s">
        <v>4291</v>
      </c>
      <c r="D138">
        <v>1</v>
      </c>
      <c r="E138" t="s">
        <v>1011</v>
      </c>
      <c r="F138" s="9" t="s">
        <v>1600</v>
      </c>
      <c r="G138" s="9" t="s">
        <v>1011</v>
      </c>
      <c r="H138" s="3">
        <f t="shared" si="11"/>
        <v>10379.375</v>
      </c>
      <c r="I138" s="3">
        <v>1660.7</v>
      </c>
    </row>
    <row r="139" spans="1:11">
      <c r="A139" t="s">
        <v>714</v>
      </c>
      <c r="B139" s="1">
        <v>41486</v>
      </c>
      <c r="C139" t="s">
        <v>4312</v>
      </c>
      <c r="D139">
        <v>1</v>
      </c>
      <c r="E139" t="s">
        <v>965</v>
      </c>
      <c r="F139" s="81" t="s">
        <v>773</v>
      </c>
      <c r="G139" s="81" t="s">
        <v>514</v>
      </c>
      <c r="H139" s="3">
        <f t="shared" si="11"/>
        <v>634.0625</v>
      </c>
      <c r="I139" s="3">
        <v>101.45</v>
      </c>
    </row>
    <row r="140" spans="1:11">
      <c r="A140" t="s">
        <v>4085</v>
      </c>
      <c r="B140" s="1">
        <v>41480</v>
      </c>
      <c r="C140" t="s">
        <v>4086</v>
      </c>
      <c r="D140">
        <v>1</v>
      </c>
      <c r="E140" t="s">
        <v>4087</v>
      </c>
      <c r="F140" s="28" t="s">
        <v>4350</v>
      </c>
      <c r="G140" s="28" t="s">
        <v>4351</v>
      </c>
      <c r="H140" s="47">
        <f>I140/0.16</f>
        <v>83.5</v>
      </c>
      <c r="I140" s="92">
        <v>13.36</v>
      </c>
      <c r="J140" s="3"/>
      <c r="K140" s="3"/>
    </row>
    <row r="141" spans="1:11">
      <c r="A141" t="s">
        <v>4085</v>
      </c>
      <c r="B141" s="1">
        <v>41480</v>
      </c>
      <c r="C141" t="s">
        <v>4086</v>
      </c>
      <c r="D141">
        <v>1</v>
      </c>
      <c r="E141" t="s">
        <v>4087</v>
      </c>
      <c r="F141" s="9" t="s">
        <v>882</v>
      </c>
      <c r="G141" s="9" t="s">
        <v>883</v>
      </c>
      <c r="H141" s="65">
        <f>I141/0.16</f>
        <v>64.4375</v>
      </c>
      <c r="I141" s="65">
        <v>10.31</v>
      </c>
    </row>
    <row r="142" spans="1:11">
      <c r="A142" t="s">
        <v>4085</v>
      </c>
      <c r="B142" s="1">
        <v>41480</v>
      </c>
      <c r="C142" t="s">
        <v>4086</v>
      </c>
      <c r="D142">
        <v>1</v>
      </c>
      <c r="E142" t="s">
        <v>4087</v>
      </c>
      <c r="F142" t="s">
        <v>946</v>
      </c>
      <c r="G142" t="s">
        <v>947</v>
      </c>
      <c r="H142" s="46">
        <f t="shared" ref="H142" si="15">I142/0.16</f>
        <v>394.0625</v>
      </c>
      <c r="I142" s="46">
        <v>63.05</v>
      </c>
      <c r="J142" s="14">
        <f>542-H140-H141-H142</f>
        <v>0</v>
      </c>
      <c r="K142" s="14">
        <f>86.72-I140-I141-I142</f>
        <v>0</v>
      </c>
    </row>
    <row r="143" spans="1:11">
      <c r="A143" t="s">
        <v>3818</v>
      </c>
      <c r="B143" s="1">
        <v>41460</v>
      </c>
      <c r="C143" t="s">
        <v>3819</v>
      </c>
      <c r="D143">
        <v>1</v>
      </c>
      <c r="E143" t="s">
        <v>3820</v>
      </c>
      <c r="F143" s="9" t="s">
        <v>2285</v>
      </c>
      <c r="G143" s="9" t="s">
        <v>3820</v>
      </c>
      <c r="H143" s="3">
        <f t="shared" si="11"/>
        <v>330512.6875</v>
      </c>
      <c r="I143" s="3">
        <v>52882.03</v>
      </c>
    </row>
    <row r="144" spans="1:11">
      <c r="A144" t="s">
        <v>3848</v>
      </c>
      <c r="B144" s="1">
        <v>41465</v>
      </c>
      <c r="C144" t="s">
        <v>3849</v>
      </c>
      <c r="D144">
        <v>1</v>
      </c>
      <c r="E144" t="s">
        <v>3820</v>
      </c>
      <c r="F144" s="9" t="s">
        <v>2285</v>
      </c>
      <c r="G144" s="9" t="s">
        <v>3820</v>
      </c>
      <c r="H144" s="3">
        <f t="shared" si="11"/>
        <v>161302.0625</v>
      </c>
      <c r="I144" s="3">
        <v>25808.33</v>
      </c>
    </row>
    <row r="145" spans="1:11">
      <c r="A145" t="s">
        <v>50</v>
      </c>
      <c r="B145" s="1">
        <v>41466</v>
      </c>
      <c r="C145" t="s">
        <v>4234</v>
      </c>
      <c r="D145">
        <v>2</v>
      </c>
      <c r="E145" t="s">
        <v>220</v>
      </c>
      <c r="F145" s="9" t="s">
        <v>797</v>
      </c>
      <c r="G145" s="9" t="s">
        <v>220</v>
      </c>
      <c r="H145" s="3">
        <f t="shared" si="11"/>
        <v>9995</v>
      </c>
      <c r="I145" s="3">
        <v>1599.2</v>
      </c>
    </row>
    <row r="146" spans="1:11">
      <c r="A146" t="s">
        <v>1038</v>
      </c>
      <c r="B146" s="1">
        <v>41466</v>
      </c>
      <c r="C146" t="s">
        <v>4231</v>
      </c>
      <c r="D146">
        <v>1</v>
      </c>
      <c r="E146" t="s">
        <v>77</v>
      </c>
      <c r="F146" s="9" t="s">
        <v>798</v>
      </c>
      <c r="G146" s="9" t="s">
        <v>77</v>
      </c>
      <c r="H146" s="3">
        <f t="shared" si="11"/>
        <v>988.00000000000011</v>
      </c>
      <c r="I146" s="3">
        <v>158.08000000000001</v>
      </c>
    </row>
    <row r="147" spans="1:11">
      <c r="A147" t="s">
        <v>156</v>
      </c>
      <c r="B147" s="1">
        <v>41473</v>
      </c>
      <c r="C147" t="s">
        <v>4247</v>
      </c>
      <c r="D147">
        <v>1</v>
      </c>
      <c r="E147" t="s">
        <v>77</v>
      </c>
      <c r="F147" s="9" t="s">
        <v>798</v>
      </c>
      <c r="G147" s="9" t="s">
        <v>77</v>
      </c>
      <c r="H147" s="3">
        <f t="shared" si="11"/>
        <v>2004.8124999999998</v>
      </c>
      <c r="I147" s="3">
        <v>320.77</v>
      </c>
    </row>
    <row r="148" spans="1:11">
      <c r="A148" t="s">
        <v>3255</v>
      </c>
      <c r="B148" s="1">
        <v>41477</v>
      </c>
      <c r="C148" t="s">
        <v>4260</v>
      </c>
      <c r="D148">
        <v>1</v>
      </c>
      <c r="E148" t="s">
        <v>77</v>
      </c>
      <c r="F148" s="9" t="s">
        <v>798</v>
      </c>
      <c r="G148" s="9" t="s">
        <v>77</v>
      </c>
      <c r="H148" s="3">
        <f t="shared" si="11"/>
        <v>540</v>
      </c>
      <c r="I148" s="3">
        <v>86.4</v>
      </c>
    </row>
    <row r="149" spans="1:11">
      <c r="A149" t="s">
        <v>1197</v>
      </c>
      <c r="B149" s="1">
        <v>41486</v>
      </c>
      <c r="C149" t="s">
        <v>4298</v>
      </c>
      <c r="D149">
        <v>1</v>
      </c>
      <c r="E149" t="s">
        <v>77</v>
      </c>
      <c r="F149" s="9" t="s">
        <v>798</v>
      </c>
      <c r="G149" s="9" t="s">
        <v>77</v>
      </c>
      <c r="H149" s="3">
        <f t="shared" si="11"/>
        <v>187.99999999999997</v>
      </c>
      <c r="I149" s="3">
        <v>30.08</v>
      </c>
    </row>
    <row r="150" spans="1:11">
      <c r="A150" t="s">
        <v>4104</v>
      </c>
      <c r="B150" s="1">
        <v>41484</v>
      </c>
      <c r="C150" t="s">
        <v>4105</v>
      </c>
      <c r="D150">
        <v>1</v>
      </c>
      <c r="E150" t="s">
        <v>4106</v>
      </c>
      <c r="F150" s="28" t="s">
        <v>1687</v>
      </c>
      <c r="G150" s="28" t="s">
        <v>1688</v>
      </c>
      <c r="H150" s="47">
        <f>I150/0.16</f>
        <v>292.375</v>
      </c>
      <c r="I150" s="92">
        <v>46.78</v>
      </c>
      <c r="J150" s="3"/>
      <c r="K150" s="3"/>
    </row>
    <row r="151" spans="1:11">
      <c r="A151" t="s">
        <v>4104</v>
      </c>
      <c r="B151" s="1">
        <v>41484</v>
      </c>
      <c r="C151" t="s">
        <v>4105</v>
      </c>
      <c r="D151">
        <v>1</v>
      </c>
      <c r="E151" t="s">
        <v>4106</v>
      </c>
      <c r="F151" s="9" t="s">
        <v>2358</v>
      </c>
      <c r="G151" s="9" t="s">
        <v>2359</v>
      </c>
      <c r="H151" s="65">
        <f>I151/0.16</f>
        <v>45</v>
      </c>
      <c r="I151" s="85">
        <v>7.2</v>
      </c>
    </row>
    <row r="152" spans="1:11">
      <c r="A152" t="s">
        <v>4104</v>
      </c>
      <c r="B152" s="1">
        <v>41484</v>
      </c>
      <c r="C152" t="s">
        <v>4105</v>
      </c>
      <c r="D152">
        <v>1</v>
      </c>
      <c r="E152" t="s">
        <v>4106</v>
      </c>
      <c r="F152" t="s">
        <v>946</v>
      </c>
      <c r="G152" t="s">
        <v>947</v>
      </c>
      <c r="H152" s="46">
        <f t="shared" ref="H152" si="16">I152/0.16</f>
        <v>120.68749999999999</v>
      </c>
      <c r="I152" s="46">
        <v>19.309999999999999</v>
      </c>
      <c r="J152" s="14">
        <f>458.06-H150-H151-H152</f>
        <v>-2.4999999999835154E-3</v>
      </c>
      <c r="K152" s="14">
        <f>73.29-I150-I151-I152</f>
        <v>0</v>
      </c>
    </row>
    <row r="153" spans="1:11">
      <c r="A153" t="s">
        <v>4133</v>
      </c>
      <c r="B153" s="1">
        <v>41484</v>
      </c>
      <c r="C153" t="s">
        <v>4134</v>
      </c>
      <c r="D153">
        <v>1</v>
      </c>
      <c r="E153" t="s">
        <v>4106</v>
      </c>
      <c r="F153" s="28" t="s">
        <v>1687</v>
      </c>
      <c r="G153" s="28" t="s">
        <v>1688</v>
      </c>
      <c r="H153" s="47">
        <f>I153/0.16</f>
        <v>292.3125</v>
      </c>
      <c r="I153" s="92">
        <v>46.77</v>
      </c>
      <c r="J153" s="3"/>
      <c r="K153" s="3"/>
    </row>
    <row r="154" spans="1:11">
      <c r="A154" t="s">
        <v>4133</v>
      </c>
      <c r="B154" s="1">
        <v>41484</v>
      </c>
      <c r="C154" t="s">
        <v>4134</v>
      </c>
      <c r="D154">
        <v>1</v>
      </c>
      <c r="E154" t="s">
        <v>4106</v>
      </c>
      <c r="F154" t="s">
        <v>946</v>
      </c>
      <c r="G154" t="s">
        <v>1581</v>
      </c>
      <c r="H154" s="46">
        <f t="shared" ref="H154" si="17">I154/0.16</f>
        <v>120.68749999999999</v>
      </c>
      <c r="I154" s="46">
        <v>19.309999999999999</v>
      </c>
      <c r="J154" s="14">
        <f>413-H153-H154</f>
        <v>0</v>
      </c>
      <c r="K154" s="14">
        <f>66.08-I153-I154</f>
        <v>0</v>
      </c>
    </row>
    <row r="155" spans="1:11">
      <c r="A155" t="s">
        <v>249</v>
      </c>
      <c r="B155" s="1">
        <v>41473</v>
      </c>
      <c r="C155" t="s">
        <v>3893</v>
      </c>
      <c r="D155">
        <v>1</v>
      </c>
      <c r="E155" t="s">
        <v>3894</v>
      </c>
      <c r="F155" s="9" t="s">
        <v>2285</v>
      </c>
      <c r="G155" s="9" t="s">
        <v>3820</v>
      </c>
      <c r="H155" s="3">
        <f t="shared" si="11"/>
        <v>212747.3125</v>
      </c>
      <c r="I155" s="3">
        <v>34039.57</v>
      </c>
    </row>
    <row r="156" spans="1:11">
      <c r="A156" t="s">
        <v>251</v>
      </c>
      <c r="B156" s="1">
        <v>41473</v>
      </c>
      <c r="C156" t="s">
        <v>3895</v>
      </c>
      <c r="D156">
        <v>1</v>
      </c>
      <c r="E156" t="s">
        <v>3894</v>
      </c>
      <c r="F156" s="9" t="s">
        <v>2285</v>
      </c>
      <c r="G156" s="9" t="s">
        <v>3820</v>
      </c>
      <c r="H156" s="3">
        <f t="shared" si="11"/>
        <v>212747.3125</v>
      </c>
      <c r="I156" s="3">
        <v>34039.57</v>
      </c>
    </row>
    <row r="157" spans="1:11">
      <c r="A157" t="s">
        <v>3896</v>
      </c>
      <c r="B157" s="1">
        <v>41473</v>
      </c>
      <c r="C157" t="s">
        <v>3897</v>
      </c>
      <c r="D157">
        <v>1</v>
      </c>
      <c r="E157" t="s">
        <v>3894</v>
      </c>
      <c r="F157" s="9" t="s">
        <v>2285</v>
      </c>
      <c r="G157" s="9" t="s">
        <v>3820</v>
      </c>
      <c r="H157" s="3">
        <f t="shared" si="11"/>
        <v>212747.3125</v>
      </c>
      <c r="I157" s="3">
        <v>34039.57</v>
      </c>
    </row>
    <row r="158" spans="1:11">
      <c r="A158" t="s">
        <v>4122</v>
      </c>
      <c r="B158" s="1">
        <v>41484</v>
      </c>
      <c r="C158">
        <v>8702</v>
      </c>
      <c r="D158">
        <v>1</v>
      </c>
      <c r="E158" t="s">
        <v>4123</v>
      </c>
      <c r="F158" s="28" t="s">
        <v>2277</v>
      </c>
      <c r="G158" s="28" t="s">
        <v>2278</v>
      </c>
      <c r="H158" s="47">
        <f>I158/0.16</f>
        <v>334.125</v>
      </c>
      <c r="I158" s="86">
        <v>53.46</v>
      </c>
      <c r="J158" s="3"/>
      <c r="K158" s="3"/>
    </row>
    <row r="159" spans="1:11">
      <c r="A159" t="s">
        <v>4122</v>
      </c>
      <c r="B159" s="1">
        <v>41484</v>
      </c>
      <c r="C159">
        <v>8702</v>
      </c>
      <c r="D159">
        <v>1</v>
      </c>
      <c r="E159" t="s">
        <v>4123</v>
      </c>
      <c r="F159" t="s">
        <v>946</v>
      </c>
      <c r="G159" t="s">
        <v>947</v>
      </c>
      <c r="H159" s="46">
        <f t="shared" ref="H159" si="18">I159/0.16</f>
        <v>120.75</v>
      </c>
      <c r="I159" s="46">
        <v>19.32</v>
      </c>
      <c r="J159" s="14">
        <f>454.88-H158-H159</f>
        <v>4.9999999999954525E-3</v>
      </c>
      <c r="K159" s="14">
        <f>72.78-I158-I159</f>
        <v>0</v>
      </c>
    </row>
    <row r="160" spans="1:11">
      <c r="A160" t="s">
        <v>4167</v>
      </c>
      <c r="B160" s="1">
        <v>41485</v>
      </c>
      <c r="C160">
        <v>8745</v>
      </c>
      <c r="D160">
        <v>1</v>
      </c>
      <c r="E160" t="s">
        <v>2571</v>
      </c>
      <c r="F160" s="9" t="s">
        <v>2853</v>
      </c>
      <c r="G160" s="9" t="s">
        <v>2571</v>
      </c>
      <c r="H160" s="3">
        <f t="shared" si="11"/>
        <v>156.875</v>
      </c>
      <c r="I160" s="3">
        <v>25.1</v>
      </c>
    </row>
    <row r="161" spans="1:12">
      <c r="A161" t="s">
        <v>2712</v>
      </c>
      <c r="B161" s="1">
        <v>41466</v>
      </c>
      <c r="C161" t="s">
        <v>4229</v>
      </c>
      <c r="D161">
        <v>1</v>
      </c>
      <c r="E161" t="s">
        <v>226</v>
      </c>
      <c r="F161" s="9" t="s">
        <v>802</v>
      </c>
      <c r="G161" s="9" t="s">
        <v>226</v>
      </c>
      <c r="H161" s="3">
        <f t="shared" si="11"/>
        <v>252.99999999999997</v>
      </c>
      <c r="I161" s="3">
        <v>40.479999999999997</v>
      </c>
    </row>
    <row r="162" spans="1:12">
      <c r="A162" t="s">
        <v>2710</v>
      </c>
      <c r="B162" s="1">
        <v>41466</v>
      </c>
      <c r="C162" t="s">
        <v>4228</v>
      </c>
      <c r="D162">
        <v>2</v>
      </c>
      <c r="E162" t="s">
        <v>74</v>
      </c>
      <c r="F162" s="9" t="s">
        <v>803</v>
      </c>
      <c r="G162" s="9" t="s">
        <v>74</v>
      </c>
      <c r="H162" s="3">
        <f t="shared" si="11"/>
        <v>9397.0625</v>
      </c>
      <c r="I162" s="3">
        <v>1503.53</v>
      </c>
    </row>
    <row r="163" spans="1:12">
      <c r="A163" t="s">
        <v>152</v>
      </c>
      <c r="B163" s="1">
        <v>41473</v>
      </c>
      <c r="C163" t="s">
        <v>4245</v>
      </c>
      <c r="D163">
        <v>2</v>
      </c>
      <c r="E163" t="s">
        <v>74</v>
      </c>
      <c r="F163" s="9" t="s">
        <v>803</v>
      </c>
      <c r="G163" s="9" t="s">
        <v>74</v>
      </c>
      <c r="H163" s="3">
        <f t="shared" si="11"/>
        <v>8937.125</v>
      </c>
      <c r="I163" s="3">
        <v>1429.94</v>
      </c>
    </row>
    <row r="164" spans="1:12">
      <c r="A164" t="s">
        <v>317</v>
      </c>
      <c r="B164" s="1">
        <v>41482</v>
      </c>
      <c r="C164" t="s">
        <v>4284</v>
      </c>
      <c r="D164">
        <v>2</v>
      </c>
      <c r="E164" t="s">
        <v>74</v>
      </c>
      <c r="F164" s="9" t="s">
        <v>803</v>
      </c>
      <c r="G164" s="9" t="s">
        <v>74</v>
      </c>
      <c r="H164" s="3">
        <f t="shared" si="11"/>
        <v>2760</v>
      </c>
      <c r="I164" s="3">
        <v>441.6</v>
      </c>
    </row>
    <row r="165" spans="1:12">
      <c r="A165" t="s">
        <v>690</v>
      </c>
      <c r="B165" s="1">
        <v>41486</v>
      </c>
      <c r="C165" t="s">
        <v>4299</v>
      </c>
      <c r="D165">
        <v>2</v>
      </c>
      <c r="E165" t="s">
        <v>74</v>
      </c>
      <c r="F165" s="9" t="s">
        <v>803</v>
      </c>
      <c r="G165" s="9" t="s">
        <v>74</v>
      </c>
      <c r="H165" s="3">
        <f t="shared" si="11"/>
        <v>16760.25</v>
      </c>
      <c r="I165" s="3">
        <v>2681.64</v>
      </c>
    </row>
    <row r="166" spans="1:12">
      <c r="A166" t="s">
        <v>125</v>
      </c>
      <c r="B166" s="1">
        <v>41472</v>
      </c>
      <c r="C166" t="s">
        <v>4240</v>
      </c>
      <c r="D166">
        <v>1</v>
      </c>
      <c r="E166" t="s">
        <v>112</v>
      </c>
      <c r="F166" s="9" t="s">
        <v>805</v>
      </c>
      <c r="G166" s="9" t="s">
        <v>112</v>
      </c>
      <c r="H166" s="3">
        <f t="shared" si="11"/>
        <v>25000</v>
      </c>
      <c r="I166" s="3">
        <v>4000</v>
      </c>
    </row>
    <row r="167" spans="1:12">
      <c r="A167" t="s">
        <v>701</v>
      </c>
      <c r="B167" s="1">
        <v>41486</v>
      </c>
      <c r="C167" t="s">
        <v>4305</v>
      </c>
      <c r="D167">
        <v>1</v>
      </c>
      <c r="E167" t="s">
        <v>2724</v>
      </c>
      <c r="F167" s="81" t="s">
        <v>2855</v>
      </c>
      <c r="G167" s="81" t="s">
        <v>2724</v>
      </c>
      <c r="H167" s="3">
        <f t="shared" ref="H167:H237" si="19">+I167/0.16</f>
        <v>3500</v>
      </c>
      <c r="I167" s="3">
        <v>560</v>
      </c>
    </row>
    <row r="168" spans="1:12">
      <c r="A168" t="s">
        <v>1027</v>
      </c>
      <c r="B168" s="1">
        <v>41466</v>
      </c>
      <c r="C168" t="s">
        <v>4224</v>
      </c>
      <c r="D168">
        <v>2</v>
      </c>
      <c r="E168" t="s">
        <v>207</v>
      </c>
      <c r="F168" s="9" t="s">
        <v>806</v>
      </c>
      <c r="G168" s="9" t="s">
        <v>207</v>
      </c>
      <c r="H168" s="3">
        <f t="shared" si="19"/>
        <v>798</v>
      </c>
      <c r="I168" s="3">
        <v>127.68</v>
      </c>
    </row>
    <row r="169" spans="1:12">
      <c r="A169" t="s">
        <v>1124</v>
      </c>
      <c r="B169" s="1">
        <v>41473</v>
      </c>
      <c r="C169" t="s">
        <v>4255</v>
      </c>
      <c r="D169">
        <v>2</v>
      </c>
      <c r="E169" t="s">
        <v>207</v>
      </c>
      <c r="F169" s="9" t="s">
        <v>806</v>
      </c>
      <c r="G169" s="9" t="s">
        <v>207</v>
      </c>
      <c r="H169" s="3">
        <f t="shared" si="19"/>
        <v>1288</v>
      </c>
      <c r="I169" s="3">
        <v>206.08</v>
      </c>
    </row>
    <row r="170" spans="1:12">
      <c r="A170" t="s">
        <v>2217</v>
      </c>
      <c r="B170" s="1">
        <v>41482</v>
      </c>
      <c r="C170" t="s">
        <v>4280</v>
      </c>
      <c r="D170">
        <v>2</v>
      </c>
      <c r="E170" t="s">
        <v>207</v>
      </c>
      <c r="F170" s="9" t="s">
        <v>806</v>
      </c>
      <c r="G170" s="9" t="s">
        <v>207</v>
      </c>
      <c r="H170" s="3">
        <f t="shared" si="19"/>
        <v>882</v>
      </c>
      <c r="I170" s="3">
        <v>141.12</v>
      </c>
    </row>
    <row r="171" spans="1:12">
      <c r="A171" t="s">
        <v>4165</v>
      </c>
      <c r="B171" s="1">
        <v>41485</v>
      </c>
      <c r="C171">
        <v>8743</v>
      </c>
      <c r="D171">
        <v>1</v>
      </c>
      <c r="E171" t="s">
        <v>4166</v>
      </c>
      <c r="F171" s="81" t="s">
        <v>840</v>
      </c>
      <c r="G171" s="81" t="s">
        <v>4166</v>
      </c>
      <c r="H171" s="3">
        <f t="shared" si="19"/>
        <v>290</v>
      </c>
      <c r="I171" s="3">
        <v>46.4</v>
      </c>
    </row>
    <row r="172" spans="1:12">
      <c r="A172" t="s">
        <v>4180</v>
      </c>
      <c r="B172" s="1">
        <v>41486</v>
      </c>
      <c r="C172">
        <v>8758</v>
      </c>
      <c r="D172">
        <v>1</v>
      </c>
      <c r="E172" t="s">
        <v>2064</v>
      </c>
      <c r="F172" s="81" t="s">
        <v>2290</v>
      </c>
      <c r="G172" s="81" t="s">
        <v>2064</v>
      </c>
      <c r="H172" s="3">
        <f t="shared" si="19"/>
        <v>425</v>
      </c>
      <c r="I172" s="3">
        <v>68</v>
      </c>
    </row>
    <row r="173" spans="1:12">
      <c r="A173" t="s">
        <v>3871</v>
      </c>
      <c r="B173" s="1">
        <v>41470</v>
      </c>
      <c r="C173" t="s">
        <v>3492</v>
      </c>
      <c r="D173">
        <v>1</v>
      </c>
      <c r="E173" t="s">
        <v>2949</v>
      </c>
      <c r="F173" s="17" t="s">
        <v>814</v>
      </c>
      <c r="G173" s="9" t="s">
        <v>815</v>
      </c>
      <c r="H173" s="3">
        <f t="shared" si="19"/>
        <v>-199344.9375</v>
      </c>
      <c r="I173" s="3">
        <v>-31895.19</v>
      </c>
      <c r="J173" s="2"/>
    </row>
    <row r="174" spans="1:12">
      <c r="A174" t="s">
        <v>192</v>
      </c>
      <c r="B174" s="1">
        <v>41473</v>
      </c>
      <c r="C174" t="s">
        <v>3815</v>
      </c>
      <c r="D174">
        <v>1</v>
      </c>
      <c r="E174" t="s">
        <v>6</v>
      </c>
      <c r="F174" s="30" t="s">
        <v>886</v>
      </c>
      <c r="G174" s="31" t="s">
        <v>887</v>
      </c>
      <c r="H174" s="3">
        <f t="shared" si="19"/>
        <v>120689.68749999999</v>
      </c>
      <c r="I174" s="3">
        <v>19310.349999999999</v>
      </c>
      <c r="K174" s="135">
        <f t="shared" ref="K174" si="20">+L174/0.16</f>
        <v>120689.68749999999</v>
      </c>
      <c r="L174" s="135">
        <v>19310.349999999999</v>
      </c>
    </row>
    <row r="175" spans="1:12">
      <c r="A175" t="s">
        <v>172</v>
      </c>
      <c r="B175" s="1">
        <v>41473</v>
      </c>
      <c r="C175" t="s">
        <v>4253</v>
      </c>
      <c r="D175">
        <v>1</v>
      </c>
      <c r="E175" t="s">
        <v>4254</v>
      </c>
      <c r="F175" s="81" t="s">
        <v>4352</v>
      </c>
      <c r="G175" s="81" t="s">
        <v>4353</v>
      </c>
      <c r="H175" s="3">
        <f t="shared" si="19"/>
        <v>126724.125</v>
      </c>
      <c r="I175" s="3">
        <v>20275.86</v>
      </c>
    </row>
    <row r="176" spans="1:12">
      <c r="A176" t="s">
        <v>354</v>
      </c>
      <c r="B176" s="1">
        <v>41486</v>
      </c>
      <c r="C176" t="s">
        <v>4313</v>
      </c>
      <c r="D176">
        <v>1</v>
      </c>
      <c r="E176" t="s">
        <v>4254</v>
      </c>
      <c r="F176" s="81" t="s">
        <v>4352</v>
      </c>
      <c r="G176" s="81" t="s">
        <v>4353</v>
      </c>
      <c r="H176" s="3">
        <f t="shared" si="19"/>
        <v>21551.75</v>
      </c>
      <c r="I176" s="3">
        <v>3448.28</v>
      </c>
    </row>
    <row r="177" spans="1:9">
      <c r="A177" t="s">
        <v>4025</v>
      </c>
      <c r="B177" s="1">
        <v>41486</v>
      </c>
      <c r="C177" t="s">
        <v>433</v>
      </c>
      <c r="D177">
        <v>2</v>
      </c>
      <c r="E177" t="s">
        <v>4026</v>
      </c>
      <c r="F177" s="94" t="s">
        <v>827</v>
      </c>
      <c r="G177" s="95" t="s">
        <v>828</v>
      </c>
      <c r="H177" s="3">
        <f t="shared" si="19"/>
        <v>30031.5625</v>
      </c>
      <c r="I177" s="3">
        <v>4805.05</v>
      </c>
    </row>
    <row r="178" spans="1:9">
      <c r="A178" t="s">
        <v>4032</v>
      </c>
      <c r="B178" s="1">
        <v>41486</v>
      </c>
      <c r="C178" t="s">
        <v>4033</v>
      </c>
      <c r="D178">
        <v>1</v>
      </c>
      <c r="E178" t="s">
        <v>4034</v>
      </c>
      <c r="F178" s="67" t="s">
        <v>829</v>
      </c>
      <c r="G178" s="68" t="s">
        <v>6</v>
      </c>
      <c r="H178" s="3">
        <f t="shared" si="19"/>
        <v>564.8125</v>
      </c>
      <c r="I178" s="3">
        <v>90.37</v>
      </c>
    </row>
    <row r="179" spans="1:9">
      <c r="A179" t="s">
        <v>4012</v>
      </c>
      <c r="B179" s="1">
        <v>41456</v>
      </c>
      <c r="C179" t="s">
        <v>4011</v>
      </c>
      <c r="D179">
        <v>1</v>
      </c>
      <c r="E179" t="s">
        <v>5</v>
      </c>
      <c r="F179" s="18" t="s">
        <v>816</v>
      </c>
      <c r="G179" s="19" t="s">
        <v>5</v>
      </c>
      <c r="H179" s="3">
        <f t="shared" si="19"/>
        <v>107142.875</v>
      </c>
      <c r="I179" s="3">
        <v>17142.86</v>
      </c>
    </row>
    <row r="180" spans="1:9">
      <c r="A180" t="s">
        <v>4010</v>
      </c>
      <c r="B180" s="1">
        <v>41456</v>
      </c>
      <c r="C180" t="s">
        <v>4011</v>
      </c>
      <c r="D180">
        <v>1</v>
      </c>
      <c r="E180" t="s">
        <v>2</v>
      </c>
      <c r="F180" s="18" t="s">
        <v>843</v>
      </c>
      <c r="G180" s="19" t="s">
        <v>844</v>
      </c>
      <c r="H180" s="3">
        <f t="shared" si="19"/>
        <v>107142.875</v>
      </c>
      <c r="I180" s="3">
        <v>17142.86</v>
      </c>
    </row>
    <row r="181" spans="1:9">
      <c r="A181" t="s">
        <v>2974</v>
      </c>
      <c r="B181" s="1">
        <v>41470</v>
      </c>
      <c r="C181" t="s">
        <v>3859</v>
      </c>
      <c r="D181">
        <v>1</v>
      </c>
      <c r="E181" t="s">
        <v>57</v>
      </c>
      <c r="F181" s="8" t="s">
        <v>921</v>
      </c>
      <c r="G181" s="9" t="s">
        <v>922</v>
      </c>
      <c r="H181" s="3">
        <f t="shared" si="19"/>
        <v>19599.3125</v>
      </c>
      <c r="I181" s="3">
        <v>3135.89</v>
      </c>
    </row>
    <row r="182" spans="1:9">
      <c r="A182" t="s">
        <v>1203</v>
      </c>
      <c r="B182" s="1">
        <v>41473</v>
      </c>
      <c r="C182" t="s">
        <v>3921</v>
      </c>
      <c r="D182">
        <v>1</v>
      </c>
      <c r="E182" t="s">
        <v>57</v>
      </c>
      <c r="F182" s="8" t="s">
        <v>921</v>
      </c>
      <c r="G182" s="9" t="s">
        <v>922</v>
      </c>
      <c r="H182" s="3">
        <f t="shared" si="19"/>
        <v>15516.874999999998</v>
      </c>
      <c r="I182" s="3">
        <v>2482.6999999999998</v>
      </c>
    </row>
    <row r="183" spans="1:9">
      <c r="A183" t="s">
        <v>1865</v>
      </c>
      <c r="B183" s="1">
        <v>41477</v>
      </c>
      <c r="C183" t="s">
        <v>3940</v>
      </c>
      <c r="D183">
        <v>1</v>
      </c>
      <c r="E183" t="s">
        <v>57</v>
      </c>
      <c r="F183" s="8" t="s">
        <v>921</v>
      </c>
      <c r="G183" s="9" t="s">
        <v>922</v>
      </c>
      <c r="H183" s="3">
        <f t="shared" si="19"/>
        <v>3571.125</v>
      </c>
      <c r="I183" s="3">
        <v>571.38</v>
      </c>
    </row>
    <row r="184" spans="1:9">
      <c r="A184" t="s">
        <v>3941</v>
      </c>
      <c r="B184" s="1">
        <v>41477</v>
      </c>
      <c r="C184" t="s">
        <v>3942</v>
      </c>
      <c r="D184">
        <v>1</v>
      </c>
      <c r="E184" t="s">
        <v>57</v>
      </c>
      <c r="F184" s="8" t="s">
        <v>921</v>
      </c>
      <c r="G184" s="9" t="s">
        <v>922</v>
      </c>
      <c r="H184" s="3">
        <f t="shared" si="19"/>
        <v>1587.625</v>
      </c>
      <c r="I184" s="3">
        <v>254.02</v>
      </c>
    </row>
    <row r="185" spans="1:9">
      <c r="A185" t="s">
        <v>1695</v>
      </c>
      <c r="B185" s="1">
        <v>41485</v>
      </c>
      <c r="C185" t="s">
        <v>3994</v>
      </c>
      <c r="D185">
        <v>1</v>
      </c>
      <c r="E185" t="s">
        <v>57</v>
      </c>
      <c r="F185" s="8" t="s">
        <v>921</v>
      </c>
      <c r="G185" s="9" t="s">
        <v>922</v>
      </c>
      <c r="H185" s="3">
        <f t="shared" si="19"/>
        <v>14244.1875</v>
      </c>
      <c r="I185" s="3">
        <v>2279.0700000000002</v>
      </c>
    </row>
    <row r="186" spans="1:9">
      <c r="A186" t="s">
        <v>161</v>
      </c>
      <c r="B186" s="1">
        <v>41473</v>
      </c>
      <c r="C186" t="s">
        <v>4251</v>
      </c>
      <c r="D186">
        <v>1</v>
      </c>
      <c r="E186" t="s">
        <v>1065</v>
      </c>
      <c r="F186" s="28" t="s">
        <v>943</v>
      </c>
      <c r="G186" s="28" t="s">
        <v>3761</v>
      </c>
      <c r="H186" s="3">
        <f t="shared" si="19"/>
        <v>204.31249999999997</v>
      </c>
      <c r="I186" s="3">
        <v>32.69</v>
      </c>
    </row>
    <row r="187" spans="1:9">
      <c r="A187" t="s">
        <v>695</v>
      </c>
      <c r="B187" s="1">
        <v>41486</v>
      </c>
      <c r="C187" t="s">
        <v>4303</v>
      </c>
      <c r="D187">
        <v>1</v>
      </c>
      <c r="E187" t="s">
        <v>1065</v>
      </c>
      <c r="F187" s="28" t="s">
        <v>943</v>
      </c>
      <c r="G187" s="28" t="s">
        <v>71</v>
      </c>
      <c r="H187" s="3">
        <f t="shared" si="19"/>
        <v>2125.25</v>
      </c>
      <c r="I187" s="3">
        <v>340.04</v>
      </c>
    </row>
    <row r="188" spans="1:9">
      <c r="A188" t="s">
        <v>1115</v>
      </c>
      <c r="B188" s="1">
        <v>41473</v>
      </c>
      <c r="C188" t="s">
        <v>4252</v>
      </c>
      <c r="D188">
        <v>1</v>
      </c>
      <c r="E188" t="s">
        <v>83</v>
      </c>
      <c r="F188" s="28" t="s">
        <v>877</v>
      </c>
      <c r="G188" s="28" t="s">
        <v>223</v>
      </c>
      <c r="H188" s="3">
        <f t="shared" si="19"/>
        <v>20652.4375</v>
      </c>
      <c r="I188" s="3">
        <v>3304.39</v>
      </c>
    </row>
    <row r="189" spans="1:9">
      <c r="A189" t="s">
        <v>2774</v>
      </c>
      <c r="B189" s="1">
        <v>41479</v>
      </c>
      <c r="C189" t="s">
        <v>4273</v>
      </c>
      <c r="D189">
        <v>1</v>
      </c>
      <c r="E189" t="s">
        <v>115</v>
      </c>
      <c r="F189" s="9" t="s">
        <v>952</v>
      </c>
      <c r="G189" s="9" t="s">
        <v>115</v>
      </c>
      <c r="H189" s="3">
        <f t="shared" si="19"/>
        <v>4069.8749999999995</v>
      </c>
      <c r="I189" s="3">
        <v>651.17999999999995</v>
      </c>
    </row>
    <row r="190" spans="1:9">
      <c r="A190" t="s">
        <v>4144</v>
      </c>
      <c r="B190" s="1">
        <v>41484</v>
      </c>
      <c r="C190">
        <v>8713</v>
      </c>
      <c r="D190">
        <v>1</v>
      </c>
      <c r="E190" t="s">
        <v>4145</v>
      </c>
      <c r="F190" s="9" t="s">
        <v>1615</v>
      </c>
      <c r="G190" s="9" t="s">
        <v>4145</v>
      </c>
      <c r="H190" s="3">
        <f t="shared" si="19"/>
        <v>248.1875</v>
      </c>
      <c r="I190" s="3">
        <v>39.71</v>
      </c>
    </row>
    <row r="191" spans="1:9">
      <c r="A191" t="s">
        <v>4266</v>
      </c>
      <c r="B191" s="1">
        <v>41479</v>
      </c>
      <c r="C191" t="s">
        <v>4267</v>
      </c>
      <c r="D191">
        <v>1</v>
      </c>
      <c r="E191" t="s">
        <v>4268</v>
      </c>
      <c r="F191" s="9" t="s">
        <v>4354</v>
      </c>
      <c r="G191" s="9" t="s">
        <v>4268</v>
      </c>
      <c r="H191" s="3">
        <f t="shared" si="19"/>
        <v>4050.3124999999995</v>
      </c>
      <c r="I191" s="3">
        <v>648.04999999999995</v>
      </c>
    </row>
    <row r="192" spans="1:9">
      <c r="A192" t="s">
        <v>4151</v>
      </c>
      <c r="B192" s="1">
        <v>41485</v>
      </c>
      <c r="C192">
        <v>8720</v>
      </c>
      <c r="D192">
        <v>1</v>
      </c>
      <c r="E192" t="s">
        <v>584</v>
      </c>
      <c r="F192" s="9" t="s">
        <v>818</v>
      </c>
      <c r="G192" s="9" t="s">
        <v>584</v>
      </c>
      <c r="H192" s="3">
        <f t="shared" si="19"/>
        <v>82.5</v>
      </c>
      <c r="I192" s="3">
        <v>13.2</v>
      </c>
    </row>
    <row r="193" spans="1:9">
      <c r="A193" t="s">
        <v>4157</v>
      </c>
      <c r="B193" s="1">
        <v>41485</v>
      </c>
      <c r="C193">
        <v>8727</v>
      </c>
      <c r="D193">
        <v>1</v>
      </c>
      <c r="E193" t="s">
        <v>584</v>
      </c>
      <c r="F193" s="9" t="s">
        <v>818</v>
      </c>
      <c r="G193" s="9" t="s">
        <v>584</v>
      </c>
      <c r="H193" s="3">
        <f t="shared" si="19"/>
        <v>387.375</v>
      </c>
      <c r="I193" s="3">
        <v>61.98</v>
      </c>
    </row>
    <row r="194" spans="1:9">
      <c r="A194" t="s">
        <v>4281</v>
      </c>
      <c r="B194" s="1">
        <v>41482</v>
      </c>
      <c r="C194" t="s">
        <v>4282</v>
      </c>
      <c r="D194">
        <v>1</v>
      </c>
      <c r="E194" t="s">
        <v>97</v>
      </c>
      <c r="F194" s="9" t="s">
        <v>820</v>
      </c>
      <c r="G194" s="9" t="s">
        <v>97</v>
      </c>
      <c r="H194" s="3">
        <f t="shared" si="19"/>
        <v>3802.5</v>
      </c>
      <c r="I194" s="3">
        <v>608.4</v>
      </c>
    </row>
    <row r="195" spans="1:9">
      <c r="A195" t="s">
        <v>4202</v>
      </c>
      <c r="B195" s="1">
        <v>41474</v>
      </c>
      <c r="C195" t="s">
        <v>4203</v>
      </c>
      <c r="D195">
        <v>1</v>
      </c>
      <c r="E195" t="s">
        <v>4204</v>
      </c>
      <c r="F195" s="9" t="s">
        <v>4355</v>
      </c>
      <c r="G195" s="9" t="s">
        <v>4204</v>
      </c>
      <c r="H195" s="3">
        <f t="shared" si="19"/>
        <v>71.1875</v>
      </c>
      <c r="I195" s="3">
        <v>11.39</v>
      </c>
    </row>
    <row r="196" spans="1:9">
      <c r="A196" t="s">
        <v>4205</v>
      </c>
      <c r="B196" s="1">
        <v>41474</v>
      </c>
      <c r="C196" t="s">
        <v>4206</v>
      </c>
      <c r="D196">
        <v>1</v>
      </c>
      <c r="E196" t="s">
        <v>4204</v>
      </c>
      <c r="F196" s="9" t="s">
        <v>4355</v>
      </c>
      <c r="G196" s="9" t="s">
        <v>4204</v>
      </c>
      <c r="H196" s="3">
        <f t="shared" si="19"/>
        <v>60.8125</v>
      </c>
      <c r="I196" s="3">
        <v>9.73</v>
      </c>
    </row>
    <row r="197" spans="1:9">
      <c r="A197" t="s">
        <v>2151</v>
      </c>
      <c r="B197" s="1">
        <v>41466</v>
      </c>
      <c r="C197" t="s">
        <v>4232</v>
      </c>
      <c r="D197">
        <v>1</v>
      </c>
      <c r="E197" t="s">
        <v>2157</v>
      </c>
      <c r="F197" s="9" t="s">
        <v>2305</v>
      </c>
      <c r="G197" s="9" t="s">
        <v>2157</v>
      </c>
      <c r="H197" s="3">
        <f t="shared" si="19"/>
        <v>448.4375</v>
      </c>
      <c r="I197" s="3">
        <v>71.75</v>
      </c>
    </row>
    <row r="198" spans="1:9">
      <c r="A198" t="s">
        <v>224</v>
      </c>
      <c r="B198" s="1">
        <v>41477</v>
      </c>
      <c r="C198" t="s">
        <v>4263</v>
      </c>
      <c r="D198">
        <v>1</v>
      </c>
      <c r="E198" t="s">
        <v>2157</v>
      </c>
      <c r="F198" s="9" t="s">
        <v>2305</v>
      </c>
      <c r="G198" s="9" t="s">
        <v>2157</v>
      </c>
      <c r="H198" s="3">
        <f t="shared" si="19"/>
        <v>2456.5</v>
      </c>
      <c r="I198" s="3">
        <v>393.04</v>
      </c>
    </row>
    <row r="199" spans="1:9">
      <c r="A199" t="s">
        <v>2256</v>
      </c>
      <c r="B199" s="1">
        <v>41486</v>
      </c>
      <c r="C199" t="s">
        <v>4301</v>
      </c>
      <c r="D199">
        <v>1</v>
      </c>
      <c r="E199" t="s">
        <v>2157</v>
      </c>
      <c r="F199" s="9" t="s">
        <v>2305</v>
      </c>
      <c r="G199" s="9" t="s">
        <v>2157</v>
      </c>
      <c r="H199" s="3">
        <f t="shared" si="19"/>
        <v>860</v>
      </c>
      <c r="I199" s="3">
        <v>137.6</v>
      </c>
    </row>
    <row r="200" spans="1:9">
      <c r="A200" t="s">
        <v>45</v>
      </c>
      <c r="B200" s="1">
        <v>41466</v>
      </c>
      <c r="C200" t="s">
        <v>4230</v>
      </c>
      <c r="D200">
        <v>1</v>
      </c>
      <c r="E200" t="s">
        <v>229</v>
      </c>
      <c r="F200" s="9" t="s">
        <v>839</v>
      </c>
      <c r="G200" s="9" t="s">
        <v>229</v>
      </c>
      <c r="H200" s="3">
        <f t="shared" si="19"/>
        <v>2360</v>
      </c>
      <c r="I200" s="3">
        <v>377.6</v>
      </c>
    </row>
    <row r="201" spans="1:9">
      <c r="A201" t="s">
        <v>4197</v>
      </c>
      <c r="B201" s="1">
        <v>41457</v>
      </c>
      <c r="C201" t="s">
        <v>4198</v>
      </c>
      <c r="D201">
        <v>1</v>
      </c>
      <c r="E201" t="s">
        <v>4199</v>
      </c>
      <c r="F201" s="9" t="s">
        <v>842</v>
      </c>
      <c r="G201" s="9" t="s">
        <v>4199</v>
      </c>
      <c r="H201" s="3">
        <f t="shared" si="19"/>
        <v>1500</v>
      </c>
      <c r="I201" s="3">
        <v>240</v>
      </c>
    </row>
    <row r="202" spans="1:9">
      <c r="A202" t="s">
        <v>122</v>
      </c>
      <c r="B202" s="1">
        <v>41472</v>
      </c>
      <c r="C202" t="s">
        <v>4239</v>
      </c>
      <c r="D202">
        <v>1</v>
      </c>
      <c r="E202" t="s">
        <v>287</v>
      </c>
      <c r="F202" s="9" t="s">
        <v>846</v>
      </c>
      <c r="G202" s="9" t="s">
        <v>287</v>
      </c>
      <c r="H202" s="3">
        <f t="shared" si="19"/>
        <v>1112.0625</v>
      </c>
      <c r="I202" s="3">
        <v>177.93</v>
      </c>
    </row>
    <row r="203" spans="1:9">
      <c r="A203" t="s">
        <v>1217</v>
      </c>
      <c r="B203" s="1">
        <v>41479</v>
      </c>
      <c r="C203" t="s">
        <v>4274</v>
      </c>
      <c r="D203">
        <v>1</v>
      </c>
      <c r="E203" t="s">
        <v>1186</v>
      </c>
      <c r="F203" s="9" t="s">
        <v>1620</v>
      </c>
      <c r="G203" s="9" t="s">
        <v>1186</v>
      </c>
      <c r="H203" s="3">
        <f t="shared" si="19"/>
        <v>150</v>
      </c>
      <c r="I203" s="3">
        <v>24</v>
      </c>
    </row>
    <row r="204" spans="1:9">
      <c r="A204" t="s">
        <v>4143</v>
      </c>
      <c r="B204" s="1">
        <v>41484</v>
      </c>
      <c r="C204">
        <v>8710</v>
      </c>
      <c r="D204">
        <v>1</v>
      </c>
      <c r="E204" t="s">
        <v>541</v>
      </c>
      <c r="F204" s="9" t="s">
        <v>847</v>
      </c>
      <c r="G204" s="9" t="s">
        <v>541</v>
      </c>
      <c r="H204" s="3">
        <f t="shared" si="19"/>
        <v>179.9375</v>
      </c>
      <c r="I204" s="3">
        <v>28.79</v>
      </c>
    </row>
    <row r="205" spans="1:9">
      <c r="A205" t="s">
        <v>4156</v>
      </c>
      <c r="B205" s="1">
        <v>41485</v>
      </c>
      <c r="C205">
        <v>8726</v>
      </c>
      <c r="D205">
        <v>1</v>
      </c>
      <c r="E205" t="s">
        <v>541</v>
      </c>
      <c r="F205" s="9" t="s">
        <v>847</v>
      </c>
      <c r="G205" s="9" t="s">
        <v>541</v>
      </c>
      <c r="H205" s="3">
        <f t="shared" si="19"/>
        <v>32.6875</v>
      </c>
      <c r="I205" s="3">
        <v>5.23</v>
      </c>
    </row>
    <row r="206" spans="1:9">
      <c r="A206" t="s">
        <v>4188</v>
      </c>
      <c r="B206" s="1">
        <v>41486</v>
      </c>
      <c r="C206">
        <v>8770</v>
      </c>
      <c r="D206">
        <v>1</v>
      </c>
      <c r="E206" t="s">
        <v>541</v>
      </c>
      <c r="F206" s="9" t="s">
        <v>847</v>
      </c>
      <c r="G206" s="9" t="s">
        <v>541</v>
      </c>
      <c r="H206" s="3">
        <f t="shared" si="19"/>
        <v>12.937499999999998</v>
      </c>
      <c r="I206" s="3">
        <v>2.0699999999999998</v>
      </c>
    </row>
    <row r="207" spans="1:9">
      <c r="A207" t="s">
        <v>2192</v>
      </c>
      <c r="B207" s="1">
        <v>41479</v>
      </c>
      <c r="C207" t="s">
        <v>4275</v>
      </c>
      <c r="D207">
        <v>2</v>
      </c>
      <c r="E207" t="s">
        <v>127</v>
      </c>
      <c r="F207" s="9" t="s">
        <v>849</v>
      </c>
      <c r="G207" s="9" t="s">
        <v>127</v>
      </c>
      <c r="H207" s="3">
        <f t="shared" si="19"/>
        <v>2400</v>
      </c>
      <c r="I207" s="3">
        <v>384</v>
      </c>
    </row>
    <row r="208" spans="1:9">
      <c r="A208" t="s">
        <v>69</v>
      </c>
      <c r="B208" s="1">
        <v>41466</v>
      </c>
      <c r="C208" t="s">
        <v>4235</v>
      </c>
      <c r="D208">
        <v>1</v>
      </c>
      <c r="E208" t="s">
        <v>89</v>
      </c>
      <c r="F208" s="9" t="s">
        <v>850</v>
      </c>
      <c r="G208" s="9" t="s">
        <v>89</v>
      </c>
      <c r="H208" s="3">
        <f t="shared" si="19"/>
        <v>1000</v>
      </c>
      <c r="I208" s="3">
        <v>160</v>
      </c>
    </row>
    <row r="209" spans="1:11">
      <c r="A209" t="s">
        <v>213</v>
      </c>
      <c r="B209" s="1">
        <v>41477</v>
      </c>
      <c r="C209" t="s">
        <v>4261</v>
      </c>
      <c r="D209">
        <v>1</v>
      </c>
      <c r="E209" t="s">
        <v>89</v>
      </c>
      <c r="F209" s="9" t="s">
        <v>850</v>
      </c>
      <c r="G209" s="9" t="s">
        <v>89</v>
      </c>
      <c r="H209" s="3">
        <f t="shared" si="19"/>
        <v>8100</v>
      </c>
      <c r="I209" s="3">
        <v>1296</v>
      </c>
    </row>
    <row r="210" spans="1:11">
      <c r="A210" t="s">
        <v>1564</v>
      </c>
      <c r="B210" s="1">
        <v>41486</v>
      </c>
      <c r="C210" t="s">
        <v>4296</v>
      </c>
      <c r="D210">
        <v>2</v>
      </c>
      <c r="E210" t="s">
        <v>89</v>
      </c>
      <c r="F210" s="9" t="s">
        <v>850</v>
      </c>
      <c r="G210" s="9" t="s">
        <v>89</v>
      </c>
      <c r="H210" s="3">
        <f t="shared" si="19"/>
        <v>4550</v>
      </c>
      <c r="I210" s="3">
        <v>728</v>
      </c>
    </row>
    <row r="211" spans="1:11">
      <c r="A211" t="s">
        <v>1168</v>
      </c>
      <c r="B211" s="1">
        <v>41486</v>
      </c>
      <c r="C211" t="s">
        <v>4297</v>
      </c>
      <c r="D211">
        <v>1</v>
      </c>
      <c r="E211" t="s">
        <v>89</v>
      </c>
      <c r="F211" s="9" t="s">
        <v>850</v>
      </c>
      <c r="G211" s="9" t="s">
        <v>89</v>
      </c>
      <c r="H211" s="3">
        <f t="shared" si="19"/>
        <v>6300</v>
      </c>
      <c r="I211" s="3">
        <v>1008</v>
      </c>
    </row>
    <row r="212" spans="1:11">
      <c r="A212" t="s">
        <v>703</v>
      </c>
      <c r="B212" s="1">
        <v>41486</v>
      </c>
      <c r="C212" t="s">
        <v>4306</v>
      </c>
      <c r="D212">
        <v>1</v>
      </c>
      <c r="E212" t="s">
        <v>89</v>
      </c>
      <c r="F212" s="9" t="s">
        <v>850</v>
      </c>
      <c r="G212" s="9" t="s">
        <v>89</v>
      </c>
      <c r="H212" s="3">
        <f t="shared" si="19"/>
        <v>10700</v>
      </c>
      <c r="I212" s="3">
        <v>1712</v>
      </c>
    </row>
    <row r="213" spans="1:11">
      <c r="A213" t="s">
        <v>3330</v>
      </c>
      <c r="B213" s="1">
        <v>41486</v>
      </c>
      <c r="C213" t="s">
        <v>4319</v>
      </c>
      <c r="D213">
        <v>2</v>
      </c>
      <c r="E213" t="s">
        <v>89</v>
      </c>
      <c r="F213" s="9" t="s">
        <v>850</v>
      </c>
      <c r="G213" s="9" t="s">
        <v>89</v>
      </c>
      <c r="H213" s="3">
        <f t="shared" si="19"/>
        <v>1500</v>
      </c>
      <c r="I213" s="3">
        <v>240</v>
      </c>
    </row>
    <row r="214" spans="1:11">
      <c r="A214" t="s">
        <v>371</v>
      </c>
      <c r="B214" s="1">
        <v>41486</v>
      </c>
      <c r="C214" t="s">
        <v>4320</v>
      </c>
      <c r="D214">
        <v>1</v>
      </c>
      <c r="E214" t="s">
        <v>89</v>
      </c>
      <c r="F214" s="9" t="s">
        <v>850</v>
      </c>
      <c r="G214" s="9" t="s">
        <v>89</v>
      </c>
      <c r="H214" s="3">
        <f t="shared" si="19"/>
        <v>7500</v>
      </c>
      <c r="I214" s="3">
        <v>1200</v>
      </c>
    </row>
    <row r="215" spans="1:11">
      <c r="A215" t="s">
        <v>2708</v>
      </c>
      <c r="B215" s="1">
        <v>41466</v>
      </c>
      <c r="C215" t="s">
        <v>4227</v>
      </c>
      <c r="D215">
        <v>1</v>
      </c>
      <c r="E215" t="s">
        <v>86</v>
      </c>
      <c r="F215" s="9" t="s">
        <v>851</v>
      </c>
      <c r="G215" s="9" t="s">
        <v>86</v>
      </c>
      <c r="H215" s="3">
        <f t="shared" si="19"/>
        <v>2080.6875</v>
      </c>
      <c r="I215" s="3">
        <v>332.91</v>
      </c>
    </row>
    <row r="216" spans="1:11">
      <c r="A216" t="s">
        <v>2742</v>
      </c>
      <c r="B216" s="1">
        <v>41473</v>
      </c>
      <c r="C216" t="s">
        <v>4248</v>
      </c>
      <c r="D216">
        <v>1</v>
      </c>
      <c r="E216" t="s">
        <v>86</v>
      </c>
      <c r="F216" s="9" t="s">
        <v>851</v>
      </c>
      <c r="G216" s="9" t="s">
        <v>86</v>
      </c>
      <c r="H216" s="3">
        <f t="shared" si="19"/>
        <v>1246.625</v>
      </c>
      <c r="I216" s="3">
        <v>199.46</v>
      </c>
    </row>
    <row r="217" spans="1:11">
      <c r="A217" t="s">
        <v>211</v>
      </c>
      <c r="B217" s="1">
        <v>41477</v>
      </c>
      <c r="C217" t="s">
        <v>4259</v>
      </c>
      <c r="D217">
        <v>1</v>
      </c>
      <c r="E217" t="s">
        <v>86</v>
      </c>
      <c r="F217" s="9" t="s">
        <v>851</v>
      </c>
      <c r="G217" s="9" t="s">
        <v>86</v>
      </c>
      <c r="H217" s="3">
        <f t="shared" si="19"/>
        <v>131.75</v>
      </c>
      <c r="I217" s="3">
        <v>21.08</v>
      </c>
    </row>
    <row r="218" spans="1:11">
      <c r="A218" t="s">
        <v>4155</v>
      </c>
      <c r="B218" s="1">
        <v>41485</v>
      </c>
      <c r="C218">
        <v>8724</v>
      </c>
      <c r="D218">
        <v>1</v>
      </c>
      <c r="E218" t="s">
        <v>578</v>
      </c>
      <c r="F218" s="9" t="s">
        <v>851</v>
      </c>
      <c r="G218" s="9" t="s">
        <v>578</v>
      </c>
      <c r="H218" s="3">
        <f t="shared" si="19"/>
        <v>117.12499999999999</v>
      </c>
      <c r="I218" s="3">
        <v>18.739999999999998</v>
      </c>
    </row>
    <row r="219" spans="1:11">
      <c r="A219" t="s">
        <v>4164</v>
      </c>
      <c r="B219" s="1">
        <v>41485</v>
      </c>
      <c r="C219">
        <v>8738</v>
      </c>
      <c r="D219">
        <v>1</v>
      </c>
      <c r="E219" t="s">
        <v>578</v>
      </c>
      <c r="F219" s="9" t="s">
        <v>851</v>
      </c>
      <c r="G219" s="9" t="s">
        <v>578</v>
      </c>
      <c r="H219" s="3">
        <f t="shared" si="19"/>
        <v>48.1875</v>
      </c>
      <c r="I219" s="3">
        <v>7.71</v>
      </c>
    </row>
    <row r="220" spans="1:11">
      <c r="A220" t="s">
        <v>4056</v>
      </c>
      <c r="B220" s="1">
        <v>41480</v>
      </c>
      <c r="C220" t="s">
        <v>4057</v>
      </c>
      <c r="D220">
        <v>1</v>
      </c>
      <c r="E220" t="s">
        <v>4058</v>
      </c>
      <c r="F220" s="69" t="s">
        <v>925</v>
      </c>
      <c r="G220" s="28" t="s">
        <v>926</v>
      </c>
      <c r="H220" s="47">
        <f t="shared" ref="H220:H227" si="21">I220/0.16</f>
        <v>375.875</v>
      </c>
      <c r="I220" s="86">
        <v>60.14</v>
      </c>
      <c r="J220" s="3"/>
      <c r="K220" s="3"/>
    </row>
    <row r="221" spans="1:11">
      <c r="A221" t="s">
        <v>4056</v>
      </c>
      <c r="B221" s="1">
        <v>41480</v>
      </c>
      <c r="C221" t="s">
        <v>4057</v>
      </c>
      <c r="D221">
        <v>1</v>
      </c>
      <c r="E221" t="s">
        <v>4058</v>
      </c>
      <c r="F221" t="s">
        <v>946</v>
      </c>
      <c r="G221" t="s">
        <v>947</v>
      </c>
      <c r="H221" s="3">
        <f t="shared" si="21"/>
        <v>56.875</v>
      </c>
      <c r="I221" s="96">
        <v>9.1</v>
      </c>
      <c r="J221" s="14">
        <f>432.75-H220-H221</f>
        <v>0</v>
      </c>
      <c r="K221" s="14">
        <f>69.24-I220-I221</f>
        <v>0</v>
      </c>
    </row>
    <row r="222" spans="1:11">
      <c r="A222" t="s">
        <v>4069</v>
      </c>
      <c r="B222" s="1">
        <v>41480</v>
      </c>
      <c r="C222" t="s">
        <v>4070</v>
      </c>
      <c r="D222">
        <v>1</v>
      </c>
      <c r="E222" t="s">
        <v>4058</v>
      </c>
      <c r="F222" t="s">
        <v>946</v>
      </c>
      <c r="G222" t="s">
        <v>947</v>
      </c>
      <c r="H222" s="3">
        <f t="shared" si="21"/>
        <v>112.9375</v>
      </c>
      <c r="I222" s="46">
        <v>18.07</v>
      </c>
      <c r="J222" s="3"/>
      <c r="K222" s="3"/>
    </row>
    <row r="223" spans="1:11">
      <c r="A223" t="s">
        <v>4069</v>
      </c>
      <c r="B223" s="1">
        <v>41480</v>
      </c>
      <c r="C223" t="s">
        <v>4070</v>
      </c>
      <c r="D223">
        <v>1</v>
      </c>
      <c r="E223" t="s">
        <v>4058</v>
      </c>
      <c r="F223" s="81" t="s">
        <v>941</v>
      </c>
      <c r="G223" s="81" t="s">
        <v>1641</v>
      </c>
      <c r="H223" s="82">
        <f t="shared" si="21"/>
        <v>81.875</v>
      </c>
      <c r="I223" s="83">
        <v>13.1</v>
      </c>
    </row>
    <row r="224" spans="1:11">
      <c r="A224" t="s">
        <v>4069</v>
      </c>
      <c r="B224" s="1">
        <v>41480</v>
      </c>
      <c r="C224" t="s">
        <v>4070</v>
      </c>
      <c r="D224">
        <v>1</v>
      </c>
      <c r="E224" t="s">
        <v>4058</v>
      </c>
      <c r="F224" s="28" t="s">
        <v>925</v>
      </c>
      <c r="G224" s="28" t="s">
        <v>926</v>
      </c>
      <c r="H224" s="47">
        <f t="shared" si="21"/>
        <v>375.875</v>
      </c>
      <c r="I224" s="86">
        <v>60.14</v>
      </c>
      <c r="J224" s="14">
        <f>570.69-H222-H223-H224</f>
        <v>2.5000000000545697E-3</v>
      </c>
      <c r="K224" s="14">
        <f>91.31-I222-I223-I224</f>
        <v>0</v>
      </c>
    </row>
    <row r="225" spans="1:12">
      <c r="A225" t="s">
        <v>4090</v>
      </c>
      <c r="B225" s="1">
        <v>41481</v>
      </c>
      <c r="C225" t="s">
        <v>4091</v>
      </c>
      <c r="D225">
        <v>1</v>
      </c>
      <c r="E225" t="s">
        <v>4058</v>
      </c>
      <c r="F225" t="s">
        <v>946</v>
      </c>
      <c r="G225" s="33" t="s">
        <v>947</v>
      </c>
      <c r="H225" s="46">
        <f t="shared" si="21"/>
        <v>112.9375</v>
      </c>
      <c r="I225" s="46">
        <v>18.07</v>
      </c>
      <c r="J225" s="3"/>
      <c r="K225" s="3"/>
    </row>
    <row r="226" spans="1:12">
      <c r="A226" t="s">
        <v>4090</v>
      </c>
      <c r="B226" s="1">
        <v>41481</v>
      </c>
      <c r="C226" t="s">
        <v>4091</v>
      </c>
      <c r="D226">
        <v>1</v>
      </c>
      <c r="E226" t="s">
        <v>4058</v>
      </c>
      <c r="F226" s="87" t="s">
        <v>941</v>
      </c>
      <c r="G226" s="81" t="s">
        <v>1641</v>
      </c>
      <c r="H226" s="82">
        <f t="shared" si="21"/>
        <v>60.3125</v>
      </c>
      <c r="I226" s="83">
        <v>9.65</v>
      </c>
    </row>
    <row r="227" spans="1:12">
      <c r="A227" t="s">
        <v>4090</v>
      </c>
      <c r="B227" s="1">
        <v>41481</v>
      </c>
      <c r="C227" t="s">
        <v>4091</v>
      </c>
      <c r="D227">
        <v>1</v>
      </c>
      <c r="E227" t="s">
        <v>4058</v>
      </c>
      <c r="F227" s="69" t="s">
        <v>925</v>
      </c>
      <c r="G227" s="28" t="s">
        <v>926</v>
      </c>
      <c r="H227" s="47">
        <f t="shared" si="21"/>
        <v>292.25</v>
      </c>
      <c r="I227" s="86">
        <v>46.76</v>
      </c>
      <c r="J227" s="14">
        <f>465.5-H225-H226-H227</f>
        <v>0</v>
      </c>
      <c r="K227" s="14">
        <f>74.48-I225-I226-I227</f>
        <v>0</v>
      </c>
    </row>
    <row r="228" spans="1:12">
      <c r="A228" t="s">
        <v>4200</v>
      </c>
      <c r="B228" s="1">
        <v>41473</v>
      </c>
      <c r="C228" t="s">
        <v>4201</v>
      </c>
      <c r="D228">
        <v>1</v>
      </c>
      <c r="E228" t="s">
        <v>2114</v>
      </c>
      <c r="F228" s="9" t="s">
        <v>2310</v>
      </c>
      <c r="G228" s="9" t="s">
        <v>2114</v>
      </c>
      <c r="H228" s="3">
        <f t="shared" si="19"/>
        <v>300</v>
      </c>
      <c r="I228" s="3">
        <v>48</v>
      </c>
    </row>
    <row r="229" spans="1:12">
      <c r="A229" t="s">
        <v>4082</v>
      </c>
      <c r="B229" s="1">
        <v>41480</v>
      </c>
      <c r="C229" t="s">
        <v>4083</v>
      </c>
      <c r="D229">
        <v>1</v>
      </c>
      <c r="E229" t="s">
        <v>4084</v>
      </c>
      <c r="F229" s="9" t="s">
        <v>4356</v>
      </c>
      <c r="G229" s="9" t="s">
        <v>4357</v>
      </c>
      <c r="H229" s="65">
        <f t="shared" ref="H229:H231" si="22">I229/0.16</f>
        <v>81.875</v>
      </c>
      <c r="I229" s="86">
        <v>13.1</v>
      </c>
      <c r="J229" s="3"/>
      <c r="K229" s="3"/>
    </row>
    <row r="230" spans="1:12">
      <c r="A230" t="s">
        <v>4082</v>
      </c>
      <c r="B230" s="1">
        <v>41480</v>
      </c>
      <c r="C230" t="s">
        <v>4083</v>
      </c>
      <c r="D230">
        <v>1</v>
      </c>
      <c r="E230" t="s">
        <v>4084</v>
      </c>
      <c r="F230" s="28" t="s">
        <v>877</v>
      </c>
      <c r="G230" s="28" t="s">
        <v>4358</v>
      </c>
      <c r="H230" s="47">
        <f t="shared" si="22"/>
        <v>383.125</v>
      </c>
      <c r="I230" s="47">
        <v>61.3</v>
      </c>
    </row>
    <row r="231" spans="1:12">
      <c r="A231" t="s">
        <v>4082</v>
      </c>
      <c r="B231" s="1">
        <v>41480</v>
      </c>
      <c r="C231" t="s">
        <v>4083</v>
      </c>
      <c r="D231">
        <v>1</v>
      </c>
      <c r="E231" t="s">
        <v>4084</v>
      </c>
      <c r="F231" t="s">
        <v>946</v>
      </c>
      <c r="G231" t="s">
        <v>947</v>
      </c>
      <c r="H231" s="3">
        <f t="shared" si="22"/>
        <v>528.75</v>
      </c>
      <c r="I231" s="3">
        <f>105.22-20.62</f>
        <v>84.6</v>
      </c>
      <c r="J231" s="14">
        <f>993.75-H229-H230-H231</f>
        <v>0</v>
      </c>
      <c r="K231" s="14">
        <f>159-I229-I230-I231</f>
        <v>0</v>
      </c>
      <c r="L231" t="s">
        <v>900</v>
      </c>
    </row>
    <row r="232" spans="1:12">
      <c r="A232" t="s">
        <v>4181</v>
      </c>
      <c r="B232" s="1">
        <v>41486</v>
      </c>
      <c r="C232">
        <v>8759</v>
      </c>
      <c r="D232">
        <v>1</v>
      </c>
      <c r="E232" t="s">
        <v>4182</v>
      </c>
      <c r="F232" t="s">
        <v>946</v>
      </c>
      <c r="G232" t="s">
        <v>4182</v>
      </c>
      <c r="H232" s="3">
        <f t="shared" si="19"/>
        <v>78</v>
      </c>
      <c r="I232" s="3">
        <v>12.48</v>
      </c>
    </row>
    <row r="233" spans="1:12">
      <c r="A233" t="s">
        <v>1851</v>
      </c>
      <c r="B233" s="1">
        <v>41477</v>
      </c>
      <c r="C233" t="s">
        <v>3932</v>
      </c>
      <c r="D233">
        <v>1</v>
      </c>
      <c r="E233" t="s">
        <v>3933</v>
      </c>
      <c r="F233" s="12" t="s">
        <v>856</v>
      </c>
      <c r="G233" s="9" t="s">
        <v>2947</v>
      </c>
      <c r="H233" s="3">
        <f t="shared" si="19"/>
        <v>212748.31250000003</v>
      </c>
      <c r="I233" s="97">
        <v>34039.730000000003</v>
      </c>
    </row>
    <row r="234" spans="1:12">
      <c r="A234" t="s">
        <v>3805</v>
      </c>
      <c r="B234" s="1">
        <v>41456</v>
      </c>
      <c r="C234" t="s">
        <v>3806</v>
      </c>
      <c r="D234">
        <v>1</v>
      </c>
      <c r="E234" t="s">
        <v>3807</v>
      </c>
      <c r="F234" s="12" t="s">
        <v>856</v>
      </c>
      <c r="G234" s="9" t="s">
        <v>2947</v>
      </c>
      <c r="H234" s="3">
        <f t="shared" si="19"/>
        <v>199344.9375</v>
      </c>
      <c r="I234" s="97">
        <v>31895.19</v>
      </c>
    </row>
    <row r="235" spans="1:12">
      <c r="A235" t="s">
        <v>3898</v>
      </c>
      <c r="B235" s="1">
        <v>41473</v>
      </c>
      <c r="C235" t="s">
        <v>3899</v>
      </c>
      <c r="D235">
        <v>1</v>
      </c>
      <c r="E235" t="s">
        <v>3900</v>
      </c>
      <c r="F235" s="12" t="s">
        <v>856</v>
      </c>
      <c r="G235" s="9" t="s">
        <v>2947</v>
      </c>
      <c r="H235" s="3">
        <f t="shared" si="19"/>
        <v>212747.3125</v>
      </c>
      <c r="I235" s="97">
        <v>34039.57</v>
      </c>
    </row>
    <row r="236" spans="1:12">
      <c r="A236" t="s">
        <v>3901</v>
      </c>
      <c r="B236" s="1">
        <v>41473</v>
      </c>
      <c r="C236" t="s">
        <v>3902</v>
      </c>
      <c r="D236">
        <v>1</v>
      </c>
      <c r="E236" t="s">
        <v>3900</v>
      </c>
      <c r="F236" s="12" t="s">
        <v>856</v>
      </c>
      <c r="G236" s="9" t="s">
        <v>2947</v>
      </c>
      <c r="H236" s="3">
        <f t="shared" si="19"/>
        <v>212747.3125</v>
      </c>
      <c r="I236" s="97">
        <v>34039.57</v>
      </c>
    </row>
    <row r="237" spans="1:12">
      <c r="A237" t="s">
        <v>3937</v>
      </c>
      <c r="B237" s="1">
        <v>41477</v>
      </c>
      <c r="C237" t="s">
        <v>3938</v>
      </c>
      <c r="D237">
        <v>1</v>
      </c>
      <c r="E237" t="s">
        <v>3939</v>
      </c>
      <c r="F237" s="12" t="s">
        <v>856</v>
      </c>
      <c r="G237" s="9" t="s">
        <v>2947</v>
      </c>
      <c r="H237" s="3">
        <f t="shared" si="19"/>
        <v>212748.31250000003</v>
      </c>
      <c r="I237" s="97">
        <v>34039.730000000003</v>
      </c>
    </row>
    <row r="238" spans="1:12">
      <c r="A238" t="s">
        <v>3882</v>
      </c>
      <c r="B238" s="1">
        <v>41471</v>
      </c>
      <c r="C238" t="s">
        <v>3883</v>
      </c>
      <c r="D238">
        <v>1</v>
      </c>
      <c r="E238" t="s">
        <v>3884</v>
      </c>
      <c r="F238" s="12" t="s">
        <v>856</v>
      </c>
      <c r="G238" s="9" t="s">
        <v>2947</v>
      </c>
      <c r="H238" s="3">
        <f t="shared" ref="H238:H333" si="23">+I238/0.16</f>
        <v>288927.5</v>
      </c>
      <c r="I238" s="97">
        <v>46228.4</v>
      </c>
    </row>
    <row r="239" spans="1:12">
      <c r="A239" t="s">
        <v>3000</v>
      </c>
      <c r="B239" s="1">
        <v>41473</v>
      </c>
      <c r="C239" t="s">
        <v>3911</v>
      </c>
      <c r="D239">
        <v>1</v>
      </c>
      <c r="E239" t="s">
        <v>3912</v>
      </c>
      <c r="F239" s="12" t="s">
        <v>856</v>
      </c>
      <c r="G239" s="9" t="s">
        <v>2947</v>
      </c>
      <c r="H239" s="3">
        <f t="shared" si="23"/>
        <v>212747.3125</v>
      </c>
      <c r="I239" s="97">
        <v>34039.57</v>
      </c>
    </row>
    <row r="240" spans="1:12">
      <c r="A240" t="s">
        <v>1847</v>
      </c>
      <c r="B240" s="1">
        <v>41477</v>
      </c>
      <c r="C240" t="s">
        <v>3931</v>
      </c>
      <c r="D240">
        <v>1</v>
      </c>
      <c r="E240" t="s">
        <v>3912</v>
      </c>
      <c r="F240" s="12" t="s">
        <v>856</v>
      </c>
      <c r="G240" s="9" t="s">
        <v>2947</v>
      </c>
      <c r="H240" s="3">
        <f t="shared" si="23"/>
        <v>212748.31250000003</v>
      </c>
      <c r="I240" s="97">
        <v>34039.730000000003</v>
      </c>
    </row>
    <row r="241" spans="1:11">
      <c r="A241" t="s">
        <v>2975</v>
      </c>
      <c r="B241" s="1">
        <v>41470</v>
      </c>
      <c r="C241" t="s">
        <v>3860</v>
      </c>
      <c r="D241">
        <v>1</v>
      </c>
      <c r="E241" t="s">
        <v>2947</v>
      </c>
      <c r="F241" s="12" t="s">
        <v>856</v>
      </c>
      <c r="G241" s="9" t="s">
        <v>2947</v>
      </c>
      <c r="H241" s="3">
        <f t="shared" si="23"/>
        <v>212747.3125</v>
      </c>
      <c r="I241" s="97">
        <v>34039.57</v>
      </c>
    </row>
    <row r="242" spans="1:11">
      <c r="A242" t="s">
        <v>3916</v>
      </c>
      <c r="B242" s="1">
        <v>41473</v>
      </c>
      <c r="C242" t="s">
        <v>3917</v>
      </c>
      <c r="D242">
        <v>1</v>
      </c>
      <c r="E242" t="s">
        <v>3918</v>
      </c>
      <c r="F242" s="12" t="s">
        <v>856</v>
      </c>
      <c r="G242" s="9" t="s">
        <v>2947</v>
      </c>
      <c r="H242" s="3">
        <f t="shared" si="23"/>
        <v>212747.3125</v>
      </c>
      <c r="I242" s="97">
        <v>34039.57</v>
      </c>
    </row>
    <row r="243" spans="1:11">
      <c r="A243" t="s">
        <v>3906</v>
      </c>
      <c r="B243" s="1">
        <v>41473</v>
      </c>
      <c r="C243" t="s">
        <v>3907</v>
      </c>
      <c r="D243">
        <v>1</v>
      </c>
      <c r="E243" t="s">
        <v>3908</v>
      </c>
      <c r="F243" s="12" t="s">
        <v>856</v>
      </c>
      <c r="G243" s="9" t="s">
        <v>2947</v>
      </c>
      <c r="H243" s="3">
        <f t="shared" si="23"/>
        <v>212747.3125</v>
      </c>
      <c r="I243" s="97">
        <v>34039.57</v>
      </c>
    </row>
    <row r="244" spans="1:11">
      <c r="A244" t="s">
        <v>2565</v>
      </c>
      <c r="B244" s="1">
        <v>41486</v>
      </c>
      <c r="C244" t="s">
        <v>3996</v>
      </c>
      <c r="D244">
        <v>1</v>
      </c>
      <c r="E244" t="s">
        <v>3908</v>
      </c>
      <c r="F244" s="12" t="s">
        <v>856</v>
      </c>
      <c r="G244" s="9" t="s">
        <v>2947</v>
      </c>
      <c r="H244" s="3">
        <f t="shared" si="23"/>
        <v>168750.3125</v>
      </c>
      <c r="I244" s="97">
        <v>27000.05</v>
      </c>
    </row>
    <row r="245" spans="1:11">
      <c r="A245" t="s">
        <v>536</v>
      </c>
      <c r="B245" s="1">
        <v>41486</v>
      </c>
      <c r="C245" t="s">
        <v>4001</v>
      </c>
      <c r="D245">
        <v>1</v>
      </c>
      <c r="E245" t="s">
        <v>4002</v>
      </c>
      <c r="F245" s="12" t="s">
        <v>856</v>
      </c>
      <c r="G245" s="9" t="s">
        <v>2947</v>
      </c>
      <c r="H245" s="3">
        <f t="shared" si="23"/>
        <v>259912.6875</v>
      </c>
      <c r="I245" s="97">
        <v>41586.03</v>
      </c>
    </row>
    <row r="246" spans="1:11">
      <c r="A246" t="s">
        <v>3913</v>
      </c>
      <c r="B246" s="1">
        <v>41473</v>
      </c>
      <c r="C246" t="s">
        <v>3914</v>
      </c>
      <c r="D246">
        <v>1</v>
      </c>
      <c r="E246" t="s">
        <v>3915</v>
      </c>
      <c r="F246" s="12" t="s">
        <v>856</v>
      </c>
      <c r="G246" s="9" t="s">
        <v>2947</v>
      </c>
      <c r="H246" s="3">
        <f t="shared" si="23"/>
        <v>212747.3125</v>
      </c>
      <c r="I246" s="97">
        <v>34039.57</v>
      </c>
    </row>
    <row r="247" spans="1:11">
      <c r="A247" t="s">
        <v>3909</v>
      </c>
      <c r="B247" s="1">
        <v>41473</v>
      </c>
      <c r="C247" t="s">
        <v>3910</v>
      </c>
      <c r="D247">
        <v>1</v>
      </c>
      <c r="E247" t="s">
        <v>1751</v>
      </c>
      <c r="F247" s="12" t="s">
        <v>856</v>
      </c>
      <c r="G247" s="9" t="s">
        <v>2947</v>
      </c>
      <c r="H247" s="3">
        <f t="shared" si="23"/>
        <v>212747.3125</v>
      </c>
      <c r="I247" s="97">
        <v>34039.57</v>
      </c>
    </row>
    <row r="248" spans="1:11">
      <c r="A248" t="s">
        <v>3919</v>
      </c>
      <c r="B248" s="1">
        <v>41473</v>
      </c>
      <c r="C248" t="s">
        <v>3920</v>
      </c>
      <c r="D248">
        <v>1</v>
      </c>
      <c r="E248" t="s">
        <v>1751</v>
      </c>
      <c r="F248" s="9" t="s">
        <v>856</v>
      </c>
      <c r="G248" s="9" t="s">
        <v>3908</v>
      </c>
      <c r="H248" s="3">
        <f t="shared" si="23"/>
        <v>212747.3125</v>
      </c>
      <c r="I248" s="97">
        <v>34039.57</v>
      </c>
    </row>
    <row r="249" spans="1:11">
      <c r="A249" t="s">
        <v>3929</v>
      </c>
      <c r="B249" s="1">
        <v>41477</v>
      </c>
      <c r="C249" t="s">
        <v>3930</v>
      </c>
      <c r="D249">
        <v>1</v>
      </c>
      <c r="E249" t="s">
        <v>1751</v>
      </c>
      <c r="F249" s="12" t="s">
        <v>856</v>
      </c>
      <c r="G249" s="9" t="s">
        <v>2947</v>
      </c>
      <c r="H249" s="3">
        <f t="shared" si="23"/>
        <v>212748.31250000003</v>
      </c>
      <c r="I249" s="97">
        <v>34039.730000000003</v>
      </c>
    </row>
    <row r="250" spans="1:11">
      <c r="A250" t="s">
        <v>2772</v>
      </c>
      <c r="B250" s="1">
        <v>41479</v>
      </c>
      <c r="C250" t="s">
        <v>4272</v>
      </c>
      <c r="D250">
        <v>2</v>
      </c>
      <c r="E250" t="s">
        <v>121</v>
      </c>
      <c r="F250" s="9" t="s">
        <v>858</v>
      </c>
      <c r="G250" s="9" t="s">
        <v>121</v>
      </c>
      <c r="H250" s="3">
        <f t="shared" si="23"/>
        <v>350</v>
      </c>
      <c r="I250" s="3">
        <v>56</v>
      </c>
    </row>
    <row r="251" spans="1:11">
      <c r="A251" t="s">
        <v>1232</v>
      </c>
      <c r="B251" s="1">
        <v>41479</v>
      </c>
      <c r="C251" t="s">
        <v>4278</v>
      </c>
      <c r="D251">
        <v>1</v>
      </c>
      <c r="E251" t="s">
        <v>121</v>
      </c>
      <c r="F251" s="9" t="s">
        <v>858</v>
      </c>
      <c r="G251" s="9" t="s">
        <v>121</v>
      </c>
      <c r="H251" s="3">
        <f t="shared" si="23"/>
        <v>350</v>
      </c>
      <c r="I251" s="3">
        <v>56</v>
      </c>
    </row>
    <row r="252" spans="1:11">
      <c r="A252" t="s">
        <v>4077</v>
      </c>
      <c r="B252" s="1">
        <v>41480</v>
      </c>
      <c r="C252" t="s">
        <v>4078</v>
      </c>
      <c r="D252">
        <v>1</v>
      </c>
      <c r="E252" t="s">
        <v>4079</v>
      </c>
      <c r="F252" t="s">
        <v>946</v>
      </c>
      <c r="G252" t="s">
        <v>947</v>
      </c>
      <c r="H252" s="46">
        <f t="shared" ref="H252:H257" si="24">I252/0.16</f>
        <v>394.0625</v>
      </c>
      <c r="I252" s="46">
        <v>63.05</v>
      </c>
      <c r="J252" s="3"/>
      <c r="K252" s="3"/>
    </row>
    <row r="253" spans="1:11">
      <c r="A253" t="s">
        <v>4077</v>
      </c>
      <c r="B253" s="1">
        <v>41480</v>
      </c>
      <c r="C253" t="s">
        <v>4078</v>
      </c>
      <c r="D253">
        <v>1</v>
      </c>
      <c r="E253" t="s">
        <v>4079</v>
      </c>
      <c r="F253" s="9" t="s">
        <v>2347</v>
      </c>
      <c r="G253" s="9" t="s">
        <v>4359</v>
      </c>
      <c r="H253" s="65">
        <f t="shared" si="24"/>
        <v>77.5625</v>
      </c>
      <c r="I253" s="85">
        <v>12.41</v>
      </c>
    </row>
    <row r="254" spans="1:11">
      <c r="A254" t="s">
        <v>4077</v>
      </c>
      <c r="B254" s="1">
        <v>41480</v>
      </c>
      <c r="C254" t="s">
        <v>4078</v>
      </c>
      <c r="D254">
        <v>1</v>
      </c>
      <c r="E254" t="s">
        <v>4079</v>
      </c>
      <c r="F254" s="28" t="s">
        <v>3777</v>
      </c>
      <c r="G254" s="28" t="s">
        <v>3778</v>
      </c>
      <c r="H254" s="47">
        <f t="shared" si="24"/>
        <v>459.375</v>
      </c>
      <c r="I254" s="86">
        <v>73.5</v>
      </c>
      <c r="J254" s="14">
        <f>931-H252-H253-H254</f>
        <v>0</v>
      </c>
      <c r="K254" s="14">
        <f>148.96-I252-I253-I254</f>
        <v>0</v>
      </c>
    </row>
    <row r="255" spans="1:11">
      <c r="A255" t="s">
        <v>4126</v>
      </c>
      <c r="B255" s="1">
        <v>41484</v>
      </c>
      <c r="C255" t="s">
        <v>4127</v>
      </c>
      <c r="D255">
        <v>1</v>
      </c>
      <c r="E255" t="s">
        <v>4079</v>
      </c>
      <c r="F255" t="s">
        <v>946</v>
      </c>
      <c r="G255" t="s">
        <v>1581</v>
      </c>
      <c r="H255" s="3">
        <f t="shared" si="24"/>
        <v>338</v>
      </c>
      <c r="I255" s="46">
        <v>54.08</v>
      </c>
      <c r="J255" s="3"/>
      <c r="K255" s="3"/>
    </row>
    <row r="256" spans="1:11">
      <c r="A256" t="s">
        <v>4126</v>
      </c>
      <c r="B256" s="1">
        <v>41484</v>
      </c>
      <c r="C256" t="s">
        <v>4127</v>
      </c>
      <c r="D256">
        <v>1</v>
      </c>
      <c r="E256" t="s">
        <v>4079</v>
      </c>
      <c r="F256" s="9" t="s">
        <v>2347</v>
      </c>
      <c r="G256" s="9" t="s">
        <v>4359</v>
      </c>
      <c r="H256" s="65">
        <f t="shared" si="24"/>
        <v>77.5625</v>
      </c>
      <c r="I256" s="85">
        <v>12.41</v>
      </c>
      <c r="J256" s="3"/>
      <c r="K256" s="3"/>
    </row>
    <row r="257" spans="1:11">
      <c r="A257" t="s">
        <v>4126</v>
      </c>
      <c r="B257" s="1">
        <v>41484</v>
      </c>
      <c r="C257" t="s">
        <v>4127</v>
      </c>
      <c r="D257">
        <v>1</v>
      </c>
      <c r="E257" t="s">
        <v>4079</v>
      </c>
      <c r="F257" s="28" t="s">
        <v>3777</v>
      </c>
      <c r="G257" s="28" t="s">
        <v>3778</v>
      </c>
      <c r="H257" s="47">
        <f t="shared" si="24"/>
        <v>459.375</v>
      </c>
      <c r="I257" s="86">
        <v>73.5</v>
      </c>
      <c r="J257" s="14">
        <f>874.94-H255-H256-H257</f>
        <v>2.5000000000545697E-3</v>
      </c>
      <c r="K257" s="14">
        <f>139.99-I255-I256-I257</f>
        <v>0</v>
      </c>
    </row>
    <row r="258" spans="1:11">
      <c r="A258" t="s">
        <v>4168</v>
      </c>
      <c r="B258" s="1">
        <v>41485</v>
      </c>
      <c r="C258">
        <v>8746</v>
      </c>
      <c r="D258">
        <v>1</v>
      </c>
      <c r="E258" t="s">
        <v>2600</v>
      </c>
      <c r="F258" s="9" t="s">
        <v>2862</v>
      </c>
      <c r="G258" s="9" t="s">
        <v>2600</v>
      </c>
      <c r="H258" s="3">
        <f t="shared" si="23"/>
        <v>525</v>
      </c>
      <c r="I258" s="3">
        <v>84</v>
      </c>
    </row>
    <row r="259" spans="1:11">
      <c r="A259" t="s">
        <v>4169</v>
      </c>
      <c r="B259" s="1">
        <v>41485</v>
      </c>
      <c r="C259">
        <v>8747</v>
      </c>
      <c r="D259">
        <v>1</v>
      </c>
      <c r="E259" t="s">
        <v>2600</v>
      </c>
      <c r="F259" s="9" t="s">
        <v>2862</v>
      </c>
      <c r="G259" s="9" t="s">
        <v>2600</v>
      </c>
      <c r="H259" s="3">
        <f t="shared" si="23"/>
        <v>52.5625</v>
      </c>
      <c r="I259" s="3">
        <v>8.41</v>
      </c>
    </row>
    <row r="260" spans="1:11">
      <c r="A260" t="s">
        <v>2603</v>
      </c>
      <c r="B260" s="1">
        <v>41486</v>
      </c>
      <c r="C260" t="s">
        <v>3997</v>
      </c>
      <c r="D260">
        <v>1</v>
      </c>
      <c r="E260" t="s">
        <v>3998</v>
      </c>
      <c r="F260" s="9" t="s">
        <v>4360</v>
      </c>
      <c r="G260" s="9" t="s">
        <v>3998</v>
      </c>
      <c r="H260" s="3">
        <f t="shared" si="23"/>
        <v>180602.62499999997</v>
      </c>
      <c r="I260" s="3">
        <v>28896.42</v>
      </c>
    </row>
    <row r="261" spans="1:11">
      <c r="A261" t="s">
        <v>4269</v>
      </c>
      <c r="B261" s="1">
        <v>41479</v>
      </c>
      <c r="C261" t="s">
        <v>4270</v>
      </c>
      <c r="D261">
        <v>1</v>
      </c>
      <c r="E261" t="s">
        <v>4271</v>
      </c>
      <c r="F261" s="9" t="s">
        <v>4361</v>
      </c>
      <c r="G261" s="9" t="s">
        <v>4271</v>
      </c>
      <c r="H261" s="3">
        <f t="shared" si="23"/>
        <v>6866.2499999999991</v>
      </c>
      <c r="I261" s="3">
        <v>1098.5999999999999</v>
      </c>
    </row>
    <row r="262" spans="1:11">
      <c r="A262" t="s">
        <v>533</v>
      </c>
      <c r="B262" s="1">
        <v>41486</v>
      </c>
      <c r="C262" t="s">
        <v>3999</v>
      </c>
      <c r="D262">
        <v>1</v>
      </c>
      <c r="E262" t="s">
        <v>4000</v>
      </c>
      <c r="F262" s="9" t="s">
        <v>1626</v>
      </c>
      <c r="G262" s="9" t="s">
        <v>4000</v>
      </c>
      <c r="H262" s="3">
        <f t="shared" si="23"/>
        <v>259912.62499999997</v>
      </c>
      <c r="I262" s="3">
        <v>41586.019999999997</v>
      </c>
    </row>
    <row r="263" spans="1:11">
      <c r="A263" t="s">
        <v>4007</v>
      </c>
      <c r="B263" s="1">
        <v>41486</v>
      </c>
      <c r="C263" t="s">
        <v>4008</v>
      </c>
      <c r="D263">
        <v>1</v>
      </c>
      <c r="E263" t="s">
        <v>4009</v>
      </c>
      <c r="F263" s="9" t="s">
        <v>862</v>
      </c>
      <c r="G263" s="9" t="s">
        <v>4009</v>
      </c>
      <c r="H263" s="3">
        <f t="shared" si="23"/>
        <v>288927.5</v>
      </c>
      <c r="I263" s="3">
        <v>46228.4</v>
      </c>
    </row>
    <row r="264" spans="1:11">
      <c r="A264" t="s">
        <v>4149</v>
      </c>
      <c r="B264" s="1">
        <v>41485</v>
      </c>
      <c r="C264">
        <v>8717</v>
      </c>
      <c r="D264">
        <v>1</v>
      </c>
      <c r="E264" t="s">
        <v>1455</v>
      </c>
      <c r="F264" s="9" t="s">
        <v>869</v>
      </c>
      <c r="G264" s="9" t="s">
        <v>2142</v>
      </c>
      <c r="H264" s="3">
        <f t="shared" si="23"/>
        <v>27.187499999999996</v>
      </c>
      <c r="I264" s="3">
        <v>4.3499999999999996</v>
      </c>
    </row>
    <row r="265" spans="1:11">
      <c r="A265" t="s">
        <v>2779</v>
      </c>
      <c r="B265" s="1">
        <v>41479</v>
      </c>
      <c r="C265" t="s">
        <v>4277</v>
      </c>
      <c r="D265">
        <v>1</v>
      </c>
      <c r="E265" t="s">
        <v>2142</v>
      </c>
      <c r="F265" s="9" t="s">
        <v>869</v>
      </c>
      <c r="G265" s="9" t="s">
        <v>1455</v>
      </c>
      <c r="H265" s="3">
        <f t="shared" si="23"/>
        <v>3932.3124999999995</v>
      </c>
      <c r="I265" s="3">
        <v>629.16999999999996</v>
      </c>
    </row>
    <row r="266" spans="1:11">
      <c r="A266" t="s">
        <v>4146</v>
      </c>
      <c r="B266" s="1">
        <v>41484</v>
      </c>
      <c r="C266">
        <v>8714</v>
      </c>
      <c r="D266">
        <v>1</v>
      </c>
      <c r="E266" t="s">
        <v>581</v>
      </c>
      <c r="F266" s="9" t="s">
        <v>866</v>
      </c>
      <c r="G266" s="9" t="s">
        <v>581</v>
      </c>
      <c r="H266" s="3">
        <f t="shared" si="23"/>
        <v>797.4375</v>
      </c>
      <c r="I266" s="3">
        <v>127.59</v>
      </c>
    </row>
    <row r="267" spans="1:11">
      <c r="A267" t="s">
        <v>4099</v>
      </c>
      <c r="B267" s="1">
        <v>41484</v>
      </c>
      <c r="C267">
        <v>8698</v>
      </c>
      <c r="D267">
        <v>1</v>
      </c>
      <c r="E267" t="s">
        <v>4100</v>
      </c>
      <c r="F267" s="9" t="s">
        <v>4362</v>
      </c>
      <c r="G267" s="9" t="s">
        <v>4100</v>
      </c>
      <c r="H267" s="3">
        <f t="shared" si="23"/>
        <v>53.4375</v>
      </c>
      <c r="I267" s="3">
        <v>8.5500000000000007</v>
      </c>
    </row>
    <row r="268" spans="1:11">
      <c r="A268" t="s">
        <v>47</v>
      </c>
      <c r="B268" s="1">
        <v>41466</v>
      </c>
      <c r="C268" t="s">
        <v>4233</v>
      </c>
      <c r="D268">
        <v>2</v>
      </c>
      <c r="E268" t="s">
        <v>94</v>
      </c>
      <c r="F268" s="9" t="s">
        <v>868</v>
      </c>
      <c r="G268" s="9" t="s">
        <v>94</v>
      </c>
      <c r="H268" s="3">
        <f t="shared" si="23"/>
        <v>700</v>
      </c>
      <c r="I268" s="3">
        <v>112</v>
      </c>
    </row>
    <row r="269" spans="1:11">
      <c r="A269" t="s">
        <v>227</v>
      </c>
      <c r="B269" s="1">
        <v>41477</v>
      </c>
      <c r="C269" t="s">
        <v>4264</v>
      </c>
      <c r="D269">
        <v>2</v>
      </c>
      <c r="E269" t="s">
        <v>94</v>
      </c>
      <c r="F269" s="9" t="s">
        <v>868</v>
      </c>
      <c r="G269" s="9" t="s">
        <v>94</v>
      </c>
      <c r="H269" s="3">
        <f t="shared" si="23"/>
        <v>39000</v>
      </c>
      <c r="I269" s="3">
        <v>6240</v>
      </c>
    </row>
    <row r="270" spans="1:11">
      <c r="A270" t="s">
        <v>320</v>
      </c>
      <c r="B270" s="1">
        <v>41482</v>
      </c>
      <c r="C270" t="s">
        <v>4285</v>
      </c>
      <c r="D270">
        <v>2</v>
      </c>
      <c r="E270" t="s">
        <v>94</v>
      </c>
      <c r="F270" s="9" t="s">
        <v>868</v>
      </c>
      <c r="G270" s="9" t="s">
        <v>94</v>
      </c>
      <c r="H270" s="3">
        <f t="shared" si="23"/>
        <v>13850</v>
      </c>
      <c r="I270" s="3">
        <v>2216</v>
      </c>
    </row>
    <row r="271" spans="1:11">
      <c r="A271" t="s">
        <v>395</v>
      </c>
      <c r="B271" s="1">
        <v>41486</v>
      </c>
      <c r="C271" t="s">
        <v>4295</v>
      </c>
      <c r="D271">
        <v>2</v>
      </c>
      <c r="E271" t="s">
        <v>94</v>
      </c>
      <c r="F271" s="9" t="s">
        <v>868</v>
      </c>
      <c r="G271" s="9" t="s">
        <v>94</v>
      </c>
      <c r="H271" s="3">
        <f t="shared" si="23"/>
        <v>26450</v>
      </c>
      <c r="I271" s="3">
        <v>4232</v>
      </c>
    </row>
    <row r="272" spans="1:11">
      <c r="A272" t="s">
        <v>4107</v>
      </c>
      <c r="B272" s="1">
        <v>41484</v>
      </c>
      <c r="C272" t="s">
        <v>4108</v>
      </c>
      <c r="D272">
        <v>1</v>
      </c>
      <c r="E272" t="s">
        <v>4109</v>
      </c>
      <c r="F272" s="28" t="s">
        <v>935</v>
      </c>
      <c r="G272" s="28" t="s">
        <v>936</v>
      </c>
      <c r="H272" s="47">
        <f t="shared" ref="H272:H273" si="25">I272/0.16</f>
        <v>58.499999999999993</v>
      </c>
      <c r="I272" s="92">
        <v>9.36</v>
      </c>
      <c r="J272" s="3"/>
      <c r="K272" s="3"/>
    </row>
    <row r="273" spans="1:11">
      <c r="A273" t="s">
        <v>4107</v>
      </c>
      <c r="B273" s="1">
        <v>41484</v>
      </c>
      <c r="C273" t="s">
        <v>4108</v>
      </c>
      <c r="D273">
        <v>1</v>
      </c>
      <c r="E273" t="s">
        <v>4109</v>
      </c>
      <c r="F273" s="9" t="s">
        <v>919</v>
      </c>
      <c r="G273" s="9" t="s">
        <v>920</v>
      </c>
      <c r="H273" s="65">
        <f t="shared" si="25"/>
        <v>67.25</v>
      </c>
      <c r="I273" s="85">
        <v>10.76</v>
      </c>
    </row>
    <row r="274" spans="1:11">
      <c r="A274" t="s">
        <v>3841</v>
      </c>
      <c r="B274" s="1">
        <v>41464</v>
      </c>
      <c r="C274" t="s">
        <v>3842</v>
      </c>
      <c r="D274">
        <v>1</v>
      </c>
      <c r="E274" t="s">
        <v>3843</v>
      </c>
      <c r="F274" s="9" t="s">
        <v>4363</v>
      </c>
      <c r="G274" s="9" t="s">
        <v>3843</v>
      </c>
      <c r="H274" s="3">
        <f t="shared" si="23"/>
        <v>205011.49999999997</v>
      </c>
      <c r="I274" s="3">
        <v>32801.839999999997</v>
      </c>
    </row>
    <row r="275" spans="1:11">
      <c r="A275" t="s">
        <v>4102</v>
      </c>
      <c r="B275" s="1">
        <v>41484</v>
      </c>
      <c r="C275">
        <v>8700</v>
      </c>
      <c r="D275">
        <v>1</v>
      </c>
      <c r="E275" t="s">
        <v>4103</v>
      </c>
      <c r="F275" s="9" t="s">
        <v>4364</v>
      </c>
      <c r="G275" s="9" t="s">
        <v>4103</v>
      </c>
      <c r="H275" s="3">
        <f t="shared" si="23"/>
        <v>211.1875</v>
      </c>
      <c r="I275" s="3">
        <v>33.79</v>
      </c>
    </row>
    <row r="276" spans="1:11">
      <c r="A276" t="s">
        <v>4185</v>
      </c>
      <c r="B276" s="1">
        <v>41486</v>
      </c>
      <c r="C276">
        <v>8766</v>
      </c>
      <c r="D276">
        <v>1</v>
      </c>
      <c r="E276" t="s">
        <v>4103</v>
      </c>
      <c r="F276" s="9" t="s">
        <v>4364</v>
      </c>
      <c r="G276" s="9" t="s">
        <v>4103</v>
      </c>
      <c r="H276" s="3">
        <f t="shared" si="23"/>
        <v>145.6875</v>
      </c>
      <c r="I276" s="3">
        <v>23.31</v>
      </c>
    </row>
    <row r="277" spans="1:11">
      <c r="A277" t="s">
        <v>4174</v>
      </c>
      <c r="B277" s="1">
        <v>41485</v>
      </c>
      <c r="C277">
        <v>8751</v>
      </c>
      <c r="D277">
        <v>1</v>
      </c>
      <c r="E277" t="s">
        <v>1497</v>
      </c>
      <c r="F277" s="9" t="s">
        <v>1628</v>
      </c>
      <c r="G277" s="9" t="s">
        <v>1497</v>
      </c>
      <c r="H277" s="3">
        <f t="shared" si="23"/>
        <v>316.5</v>
      </c>
      <c r="I277" s="3">
        <v>50.64</v>
      </c>
    </row>
    <row r="278" spans="1:11">
      <c r="A278" t="s">
        <v>4066</v>
      </c>
      <c r="B278" s="1">
        <v>41480</v>
      </c>
      <c r="C278" t="s">
        <v>4067</v>
      </c>
      <c r="D278">
        <v>1</v>
      </c>
      <c r="E278" t="s">
        <v>4068</v>
      </c>
      <c r="F278" s="28" t="s">
        <v>913</v>
      </c>
      <c r="G278" s="28" t="s">
        <v>914</v>
      </c>
      <c r="H278" s="47">
        <f t="shared" ref="H278:H281" si="26">I278/0.16</f>
        <v>400.81249999999994</v>
      </c>
      <c r="I278" s="47">
        <v>64.13</v>
      </c>
      <c r="J278" s="3"/>
      <c r="K278" s="3"/>
    </row>
    <row r="279" spans="1:11">
      <c r="A279" t="s">
        <v>4066</v>
      </c>
      <c r="B279" s="1">
        <v>41480</v>
      </c>
      <c r="C279" t="s">
        <v>4067</v>
      </c>
      <c r="D279">
        <v>1</v>
      </c>
      <c r="E279" t="s">
        <v>4068</v>
      </c>
      <c r="F279" s="9" t="s">
        <v>882</v>
      </c>
      <c r="G279" s="9" t="s">
        <v>883</v>
      </c>
      <c r="H279" s="65">
        <f t="shared" si="26"/>
        <v>60.124999999999993</v>
      </c>
      <c r="I279" s="65">
        <v>9.6199999999999992</v>
      </c>
    </row>
    <row r="280" spans="1:11">
      <c r="A280" t="s">
        <v>4066</v>
      </c>
      <c r="B280" s="1">
        <v>41480</v>
      </c>
      <c r="C280" t="s">
        <v>4067</v>
      </c>
      <c r="D280">
        <v>1</v>
      </c>
      <c r="E280" t="s">
        <v>4068</v>
      </c>
      <c r="F280" t="s">
        <v>946</v>
      </c>
      <c r="G280" t="s">
        <v>947</v>
      </c>
      <c r="H280" s="46">
        <f t="shared" si="26"/>
        <v>605.3125</v>
      </c>
      <c r="I280" s="46">
        <v>96.85</v>
      </c>
    </row>
    <row r="281" spans="1:11">
      <c r="A281" t="s">
        <v>4066</v>
      </c>
      <c r="B281" s="1">
        <v>41480</v>
      </c>
      <c r="C281" t="s">
        <v>4067</v>
      </c>
      <c r="D281">
        <v>1</v>
      </c>
      <c r="E281" t="s">
        <v>4068</v>
      </c>
      <c r="F281" s="28" t="s">
        <v>939</v>
      </c>
      <c r="G281" s="28" t="s">
        <v>940</v>
      </c>
      <c r="H281" s="47">
        <f t="shared" si="26"/>
        <v>292.25</v>
      </c>
      <c r="I281" s="83">
        <v>46.76</v>
      </c>
      <c r="J281" s="14">
        <f>1358.5-H278-H279-H280-H281</f>
        <v>0</v>
      </c>
      <c r="K281" s="14">
        <f>217.36-I278-I279-I280-I281</f>
        <v>0</v>
      </c>
    </row>
    <row r="282" spans="1:11">
      <c r="A282" t="s">
        <v>4171</v>
      </c>
      <c r="B282" s="1">
        <v>41485</v>
      </c>
      <c r="C282" t="s">
        <v>4172</v>
      </c>
      <c r="D282">
        <v>1</v>
      </c>
      <c r="E282" t="s">
        <v>4173</v>
      </c>
      <c r="F282" t="s">
        <v>946</v>
      </c>
      <c r="G282" t="s">
        <v>4173</v>
      </c>
      <c r="H282" s="3">
        <f t="shared" si="23"/>
        <v>78.5</v>
      </c>
      <c r="I282" s="3">
        <v>12.56</v>
      </c>
    </row>
    <row r="283" spans="1:11">
      <c r="A283" t="s">
        <v>4048</v>
      </c>
      <c r="B283" s="1">
        <v>41479</v>
      </c>
      <c r="C283" t="s">
        <v>4049</v>
      </c>
      <c r="D283">
        <v>1</v>
      </c>
      <c r="E283" t="s">
        <v>4050</v>
      </c>
      <c r="F283" t="s">
        <v>946</v>
      </c>
      <c r="G283" s="33" t="s">
        <v>947</v>
      </c>
      <c r="H283" s="46">
        <f t="shared" ref="H283:H292" si="27">I283/0.16</f>
        <v>337.9375</v>
      </c>
      <c r="I283" s="46">
        <v>54.07</v>
      </c>
      <c r="J283" s="3"/>
      <c r="K283" s="3"/>
    </row>
    <row r="284" spans="1:11">
      <c r="A284" t="s">
        <v>4048</v>
      </c>
      <c r="B284" s="1">
        <v>41479</v>
      </c>
      <c r="C284" t="s">
        <v>4049</v>
      </c>
      <c r="D284">
        <v>1</v>
      </c>
      <c r="E284" t="s">
        <v>4050</v>
      </c>
      <c r="F284" s="9" t="s">
        <v>2873</v>
      </c>
      <c r="G284" s="9" t="s">
        <v>2874</v>
      </c>
      <c r="H284" s="65">
        <f t="shared" si="27"/>
        <v>41.8125</v>
      </c>
      <c r="I284" s="86">
        <v>6.69</v>
      </c>
    </row>
    <row r="285" spans="1:11">
      <c r="A285" t="s">
        <v>4048</v>
      </c>
      <c r="B285" s="1">
        <v>41479</v>
      </c>
      <c r="C285" t="s">
        <v>4049</v>
      </c>
      <c r="D285">
        <v>1</v>
      </c>
      <c r="E285" t="s">
        <v>4050</v>
      </c>
      <c r="F285" s="9" t="s">
        <v>927</v>
      </c>
      <c r="G285" s="9" t="s">
        <v>3360</v>
      </c>
      <c r="H285" s="65">
        <f t="shared" si="27"/>
        <v>65</v>
      </c>
      <c r="I285" s="86">
        <v>10.4</v>
      </c>
    </row>
    <row r="286" spans="1:11">
      <c r="A286" t="s">
        <v>4048</v>
      </c>
      <c r="B286" s="1">
        <v>41479</v>
      </c>
      <c r="C286" t="s">
        <v>4049</v>
      </c>
      <c r="D286">
        <v>1</v>
      </c>
      <c r="E286" t="s">
        <v>4050</v>
      </c>
      <c r="F286" s="28" t="s">
        <v>1684</v>
      </c>
      <c r="G286" s="28" t="s">
        <v>4365</v>
      </c>
      <c r="H286" s="47">
        <f t="shared" si="27"/>
        <v>417.62499999999994</v>
      </c>
      <c r="I286" s="47">
        <v>66.819999999999993</v>
      </c>
      <c r="J286" s="14">
        <f>862.38-H283-H284-H285-H286</f>
        <v>5.0000000000522959E-3</v>
      </c>
      <c r="K286" s="14">
        <f>137.98-I283-I284-I285-I286</f>
        <v>0</v>
      </c>
    </row>
    <row r="287" spans="1:11">
      <c r="A287" t="s">
        <v>4071</v>
      </c>
      <c r="B287" s="1">
        <v>41480</v>
      </c>
      <c r="C287" t="s">
        <v>4072</v>
      </c>
      <c r="D287">
        <v>1</v>
      </c>
      <c r="E287" t="s">
        <v>4050</v>
      </c>
      <c r="F287" t="s">
        <v>946</v>
      </c>
      <c r="G287" t="s">
        <v>947</v>
      </c>
      <c r="H287" s="46">
        <f t="shared" si="27"/>
        <v>394.0625</v>
      </c>
      <c r="I287" s="46">
        <v>63.05</v>
      </c>
      <c r="J287" s="3"/>
      <c r="K287" s="3"/>
    </row>
    <row r="288" spans="1:11">
      <c r="A288" t="s">
        <v>4071</v>
      </c>
      <c r="B288" s="1">
        <v>41480</v>
      </c>
      <c r="C288" t="s">
        <v>4072</v>
      </c>
      <c r="D288">
        <v>1</v>
      </c>
      <c r="E288" t="s">
        <v>4050</v>
      </c>
      <c r="F288" s="9" t="s">
        <v>4366</v>
      </c>
      <c r="G288" s="9" t="s">
        <v>4367</v>
      </c>
      <c r="H288" s="65">
        <f t="shared" si="27"/>
        <v>112.0625</v>
      </c>
      <c r="I288" s="92">
        <v>17.93</v>
      </c>
    </row>
    <row r="289" spans="1:11">
      <c r="A289" t="s">
        <v>4071</v>
      </c>
      <c r="B289" s="1">
        <v>41480</v>
      </c>
      <c r="C289" t="s">
        <v>4072</v>
      </c>
      <c r="D289">
        <v>1</v>
      </c>
      <c r="E289" t="s">
        <v>4050</v>
      </c>
      <c r="F289" s="28" t="s">
        <v>1684</v>
      </c>
      <c r="G289" s="28" t="s">
        <v>1685</v>
      </c>
      <c r="H289" s="47">
        <f t="shared" si="27"/>
        <v>459.375</v>
      </c>
      <c r="I289" s="47">
        <v>73.5</v>
      </c>
      <c r="J289" s="14">
        <f>965.5-H287-H288-H289</f>
        <v>0</v>
      </c>
      <c r="K289" s="14">
        <f>154.48-I287-I288-I289</f>
        <v>0</v>
      </c>
    </row>
    <row r="290" spans="1:11">
      <c r="A290" t="s">
        <v>4073</v>
      </c>
      <c r="B290" s="1">
        <v>41480</v>
      </c>
      <c r="C290" t="s">
        <v>4074</v>
      </c>
      <c r="D290">
        <v>1</v>
      </c>
      <c r="E290" t="s">
        <v>4050</v>
      </c>
      <c r="F290" t="s">
        <v>946</v>
      </c>
      <c r="G290" t="s">
        <v>1581</v>
      </c>
      <c r="H290" s="3">
        <f t="shared" si="27"/>
        <v>394.0625</v>
      </c>
      <c r="I290" s="46">
        <v>63.05</v>
      </c>
      <c r="J290" s="3"/>
      <c r="K290" s="3"/>
    </row>
    <row r="291" spans="1:11">
      <c r="A291" t="s">
        <v>4073</v>
      </c>
      <c r="B291" s="1">
        <v>41480</v>
      </c>
      <c r="C291" t="s">
        <v>4074</v>
      </c>
      <c r="D291">
        <v>1</v>
      </c>
      <c r="E291" t="s">
        <v>4050</v>
      </c>
      <c r="F291" s="28" t="s">
        <v>1684</v>
      </c>
      <c r="G291" s="28" t="s">
        <v>1685</v>
      </c>
      <c r="H291" s="47">
        <f t="shared" si="27"/>
        <v>459.375</v>
      </c>
      <c r="I291" s="47">
        <v>73.5</v>
      </c>
    </row>
    <row r="292" spans="1:11">
      <c r="A292" t="s">
        <v>4073</v>
      </c>
      <c r="B292" s="1">
        <v>41480</v>
      </c>
      <c r="C292" t="s">
        <v>4074</v>
      </c>
      <c r="D292">
        <v>1</v>
      </c>
      <c r="E292" t="s">
        <v>4050</v>
      </c>
      <c r="F292" s="9" t="s">
        <v>933</v>
      </c>
      <c r="G292" s="9" t="s">
        <v>934</v>
      </c>
      <c r="H292" s="65">
        <f t="shared" si="27"/>
        <v>75</v>
      </c>
      <c r="I292" s="65">
        <v>12</v>
      </c>
      <c r="J292" s="14">
        <f>928.44-H290-H291-H292</f>
        <v>2.5000000000545697E-3</v>
      </c>
      <c r="K292" s="14">
        <f>148.55-I290-I291-I292</f>
        <v>1.4210854715202004E-14</v>
      </c>
    </row>
    <row r="293" spans="1:11">
      <c r="A293" t="s">
        <v>4075</v>
      </c>
      <c r="B293" s="1">
        <v>41480</v>
      </c>
      <c r="C293" t="s">
        <v>4076</v>
      </c>
      <c r="D293">
        <v>1</v>
      </c>
      <c r="E293" t="s">
        <v>4050</v>
      </c>
      <c r="F293" s="81" t="s">
        <v>3389</v>
      </c>
      <c r="G293" s="81" t="s">
        <v>4336</v>
      </c>
      <c r="H293" s="82">
        <f t="shared" ref="H293:H303" si="28">I293/0.16</f>
        <v>55.0625</v>
      </c>
      <c r="I293" s="85">
        <v>8.81</v>
      </c>
      <c r="J293" s="3"/>
      <c r="K293" s="3"/>
    </row>
    <row r="294" spans="1:11">
      <c r="A294" t="s">
        <v>4075</v>
      </c>
      <c r="B294" s="1">
        <v>41480</v>
      </c>
      <c r="C294" t="s">
        <v>4076</v>
      </c>
      <c r="D294">
        <v>1</v>
      </c>
      <c r="E294" t="s">
        <v>4050</v>
      </c>
      <c r="F294" s="28" t="s">
        <v>1684</v>
      </c>
      <c r="G294" s="28" t="s">
        <v>1685</v>
      </c>
      <c r="H294" s="47">
        <f t="shared" si="28"/>
        <v>459.375</v>
      </c>
      <c r="I294" s="47">
        <v>73.5</v>
      </c>
    </row>
    <row r="295" spans="1:11">
      <c r="A295" t="s">
        <v>4075</v>
      </c>
      <c r="B295" s="1">
        <v>41480</v>
      </c>
      <c r="C295" t="s">
        <v>4076</v>
      </c>
      <c r="D295">
        <v>1</v>
      </c>
      <c r="E295" t="s">
        <v>4050</v>
      </c>
      <c r="F295" t="s">
        <v>946</v>
      </c>
      <c r="G295" t="s">
        <v>947</v>
      </c>
      <c r="H295" s="46">
        <f t="shared" si="28"/>
        <v>394.0625</v>
      </c>
      <c r="I295" s="46">
        <v>63.05</v>
      </c>
      <c r="J295" s="14">
        <f>908.5-H293-H294-H295</f>
        <v>0</v>
      </c>
      <c r="K295" s="14">
        <f>145.36-I293-I294-I295</f>
        <v>0</v>
      </c>
    </row>
    <row r="296" spans="1:11">
      <c r="A296" t="s">
        <v>4110</v>
      </c>
      <c r="B296" s="1">
        <v>41484</v>
      </c>
      <c r="C296" t="s">
        <v>4111</v>
      </c>
      <c r="D296">
        <v>1</v>
      </c>
      <c r="E296" t="s">
        <v>4050</v>
      </c>
      <c r="F296" s="9" t="s">
        <v>927</v>
      </c>
      <c r="G296" s="9" t="s">
        <v>3360</v>
      </c>
      <c r="H296" s="65">
        <f t="shared" si="28"/>
        <v>65</v>
      </c>
      <c r="I296" s="86">
        <v>10.4</v>
      </c>
      <c r="J296" s="3"/>
      <c r="K296" s="3"/>
    </row>
    <row r="297" spans="1:11">
      <c r="A297" t="s">
        <v>4110</v>
      </c>
      <c r="B297" s="1">
        <v>41484</v>
      </c>
      <c r="C297" t="s">
        <v>4111</v>
      </c>
      <c r="D297">
        <v>1</v>
      </c>
      <c r="E297" t="s">
        <v>4050</v>
      </c>
      <c r="F297" s="28" t="s">
        <v>1684</v>
      </c>
      <c r="G297" s="28" t="s">
        <v>1685</v>
      </c>
      <c r="H297" s="47">
        <f t="shared" si="28"/>
        <v>417.5</v>
      </c>
      <c r="I297" s="47">
        <v>66.8</v>
      </c>
    </row>
    <row r="298" spans="1:11">
      <c r="A298" t="s">
        <v>4110</v>
      </c>
      <c r="B298" s="1">
        <v>41484</v>
      </c>
      <c r="C298" t="s">
        <v>4111</v>
      </c>
      <c r="D298">
        <v>1</v>
      </c>
      <c r="E298" t="s">
        <v>4050</v>
      </c>
      <c r="F298" t="s">
        <v>946</v>
      </c>
      <c r="G298" t="s">
        <v>947</v>
      </c>
      <c r="H298" s="46">
        <f t="shared" si="28"/>
        <v>338</v>
      </c>
      <c r="I298" s="46">
        <v>54.08</v>
      </c>
      <c r="J298" s="14">
        <f>820.5-H296-H297-H298</f>
        <v>0</v>
      </c>
      <c r="K298" s="14">
        <f>131.28-I296-I297-I298</f>
        <v>0</v>
      </c>
    </row>
    <row r="299" spans="1:11">
      <c r="A299" t="s">
        <v>4131</v>
      </c>
      <c r="B299" s="1">
        <v>41484</v>
      </c>
      <c r="C299" t="s">
        <v>4132</v>
      </c>
      <c r="D299">
        <v>1</v>
      </c>
      <c r="E299" t="s">
        <v>4050</v>
      </c>
      <c r="F299" s="28" t="s">
        <v>1684</v>
      </c>
      <c r="G299" s="28" t="s">
        <v>1685</v>
      </c>
      <c r="H299" s="47">
        <f t="shared" si="28"/>
        <v>459.375</v>
      </c>
      <c r="I299" s="47">
        <v>73.5</v>
      </c>
      <c r="J299" s="3"/>
      <c r="K299" s="3"/>
    </row>
    <row r="300" spans="1:11">
      <c r="A300" t="s">
        <v>4131</v>
      </c>
      <c r="B300" s="1">
        <v>41484</v>
      </c>
      <c r="C300" t="s">
        <v>4132</v>
      </c>
      <c r="D300">
        <v>1</v>
      </c>
      <c r="E300" t="s">
        <v>4050</v>
      </c>
      <c r="F300" t="s">
        <v>946</v>
      </c>
      <c r="G300" t="s">
        <v>4194</v>
      </c>
      <c r="H300" s="46">
        <f t="shared" si="28"/>
        <v>394.0625</v>
      </c>
      <c r="I300" s="46">
        <v>63.05</v>
      </c>
    </row>
    <row r="301" spans="1:11">
      <c r="A301" t="s">
        <v>4131</v>
      </c>
      <c r="B301" s="1">
        <v>41484</v>
      </c>
      <c r="C301" t="s">
        <v>4132</v>
      </c>
      <c r="D301">
        <v>1</v>
      </c>
      <c r="E301" t="s">
        <v>4050</v>
      </c>
      <c r="F301" s="9" t="s">
        <v>4366</v>
      </c>
      <c r="G301" s="9" t="s">
        <v>4368</v>
      </c>
      <c r="H301" s="65">
        <f t="shared" si="28"/>
        <v>112.0625</v>
      </c>
      <c r="I301" s="92">
        <v>17.93</v>
      </c>
      <c r="J301" s="14">
        <f>965.5-H299-H300-H301</f>
        <v>0</v>
      </c>
      <c r="K301" s="14">
        <f>154.48-I299-I300-I301</f>
        <v>0</v>
      </c>
    </row>
    <row r="302" spans="1:11">
      <c r="A302" t="s">
        <v>4135</v>
      </c>
      <c r="B302" s="1">
        <v>41484</v>
      </c>
      <c r="C302" t="s">
        <v>4136</v>
      </c>
      <c r="D302">
        <v>1</v>
      </c>
      <c r="E302" t="s">
        <v>4050</v>
      </c>
      <c r="F302" s="28" t="s">
        <v>1684</v>
      </c>
      <c r="G302" s="28" t="s">
        <v>1685</v>
      </c>
      <c r="H302" s="47">
        <f t="shared" si="28"/>
        <v>459.375</v>
      </c>
      <c r="I302" s="47">
        <v>73.5</v>
      </c>
      <c r="J302" s="3"/>
      <c r="K302" s="3"/>
    </row>
    <row r="303" spans="1:11">
      <c r="A303" t="s">
        <v>4135</v>
      </c>
      <c r="B303" s="1">
        <v>41484</v>
      </c>
      <c r="C303" t="s">
        <v>4136</v>
      </c>
      <c r="D303">
        <v>1</v>
      </c>
      <c r="E303" t="s">
        <v>4050</v>
      </c>
      <c r="F303" s="9" t="s">
        <v>933</v>
      </c>
      <c r="G303" s="9" t="s">
        <v>934</v>
      </c>
      <c r="H303" s="65">
        <f t="shared" si="28"/>
        <v>75</v>
      </c>
      <c r="I303" s="65">
        <v>12</v>
      </c>
    </row>
    <row r="304" spans="1:11">
      <c r="A304" t="s">
        <v>4135</v>
      </c>
      <c r="B304" s="1">
        <v>41484</v>
      </c>
      <c r="C304" t="s">
        <v>4136</v>
      </c>
      <c r="D304">
        <v>1</v>
      </c>
      <c r="E304" t="s">
        <v>4050</v>
      </c>
      <c r="F304" t="s">
        <v>946</v>
      </c>
      <c r="G304" t="s">
        <v>1581</v>
      </c>
      <c r="H304" s="3">
        <f>I304/0.16</f>
        <v>394.0625</v>
      </c>
      <c r="I304" s="46">
        <v>63.05</v>
      </c>
      <c r="J304" s="14">
        <f>928.44-H302-H303-H304</f>
        <v>2.5000000000545697E-3</v>
      </c>
      <c r="K304" s="14">
        <f>148.55-I302-I303-I304</f>
        <v>0</v>
      </c>
    </row>
    <row r="305" spans="1:12">
      <c r="A305" t="s">
        <v>4119</v>
      </c>
      <c r="B305" s="1">
        <v>41484</v>
      </c>
      <c r="C305" t="s">
        <v>4120</v>
      </c>
      <c r="D305">
        <v>1</v>
      </c>
      <c r="E305" t="s">
        <v>4121</v>
      </c>
      <c r="F305" s="28" t="s">
        <v>4369</v>
      </c>
      <c r="G305" s="28" t="s">
        <v>4370</v>
      </c>
      <c r="H305" s="47">
        <f>I305/0.16</f>
        <v>175.4375</v>
      </c>
      <c r="I305" s="47">
        <v>28.07</v>
      </c>
      <c r="J305" s="3"/>
      <c r="K305" s="3"/>
    </row>
    <row r="306" spans="1:12">
      <c r="A306" t="s">
        <v>4119</v>
      </c>
      <c r="B306" s="1">
        <v>41484</v>
      </c>
      <c r="C306" t="s">
        <v>4120</v>
      </c>
      <c r="D306">
        <v>1</v>
      </c>
      <c r="E306" t="s">
        <v>4121</v>
      </c>
      <c r="F306" s="9" t="s">
        <v>3751</v>
      </c>
      <c r="G306" s="9" t="s">
        <v>4341</v>
      </c>
      <c r="H306" s="65">
        <f>I306/0.16</f>
        <v>77.5625</v>
      </c>
      <c r="I306" s="65">
        <v>12.41</v>
      </c>
      <c r="J306" s="3"/>
    </row>
    <row r="307" spans="1:12">
      <c r="A307" t="s">
        <v>4119</v>
      </c>
      <c r="B307" s="1">
        <v>41484</v>
      </c>
      <c r="C307" t="s">
        <v>4120</v>
      </c>
      <c r="D307">
        <v>1</v>
      </c>
      <c r="E307" t="s">
        <v>4121</v>
      </c>
      <c r="F307" t="s">
        <v>946</v>
      </c>
      <c r="G307" t="s">
        <v>947</v>
      </c>
      <c r="H307" s="3">
        <f>I307/0.16</f>
        <v>421.6875</v>
      </c>
      <c r="I307" s="46">
        <f>42.08+25.39</f>
        <v>67.47</v>
      </c>
      <c r="J307" s="14"/>
      <c r="K307" s="14">
        <f>107.95-I305-I306-I307</f>
        <v>0</v>
      </c>
      <c r="L307" t="s">
        <v>900</v>
      </c>
    </row>
    <row r="308" spans="1:12">
      <c r="A308" t="s">
        <v>4094</v>
      </c>
      <c r="B308" s="1">
        <v>41481</v>
      </c>
      <c r="C308" t="s">
        <v>4095</v>
      </c>
      <c r="D308">
        <v>1</v>
      </c>
      <c r="E308" t="s">
        <v>4096</v>
      </c>
      <c r="F308" t="s">
        <v>946</v>
      </c>
      <c r="G308" t="s">
        <v>947</v>
      </c>
      <c r="H308" s="46">
        <f>I308/0.16</f>
        <v>383.625</v>
      </c>
      <c r="I308" s="46">
        <v>61.38</v>
      </c>
      <c r="J308" s="3"/>
      <c r="K308" s="3"/>
    </row>
    <row r="309" spans="1:12">
      <c r="A309" t="s">
        <v>4094</v>
      </c>
      <c r="B309" s="1">
        <v>41481</v>
      </c>
      <c r="C309" t="s">
        <v>4095</v>
      </c>
      <c r="D309">
        <v>1</v>
      </c>
      <c r="E309" t="s">
        <v>4096</v>
      </c>
      <c r="F309" t="s">
        <v>946</v>
      </c>
      <c r="G309" t="s">
        <v>947</v>
      </c>
      <c r="H309" s="46">
        <f t="shared" ref="H309:H316" si="29">I309/0.16</f>
        <v>200.875</v>
      </c>
      <c r="I309" s="46">
        <v>32.14</v>
      </c>
    </row>
    <row r="310" spans="1:12">
      <c r="A310" t="s">
        <v>4094</v>
      </c>
      <c r="B310" s="1">
        <v>41481</v>
      </c>
      <c r="C310" t="s">
        <v>4095</v>
      </c>
      <c r="D310">
        <v>1</v>
      </c>
      <c r="E310" t="s">
        <v>4096</v>
      </c>
      <c r="F310" s="81" t="s">
        <v>1649</v>
      </c>
      <c r="G310" s="81" t="s">
        <v>1650</v>
      </c>
      <c r="H310" s="82">
        <f t="shared" si="29"/>
        <v>91.375</v>
      </c>
      <c r="I310" s="83">
        <v>14.62</v>
      </c>
    </row>
    <row r="311" spans="1:12">
      <c r="A311" t="s">
        <v>4094</v>
      </c>
      <c r="B311" s="1">
        <v>41481</v>
      </c>
      <c r="C311" t="s">
        <v>4095</v>
      </c>
      <c r="D311">
        <v>1</v>
      </c>
      <c r="E311" t="s">
        <v>4096</v>
      </c>
      <c r="F311" s="28" t="s">
        <v>4371</v>
      </c>
      <c r="G311" s="28" t="s">
        <v>4372</v>
      </c>
      <c r="H311" s="47">
        <f t="shared" si="29"/>
        <v>478.875</v>
      </c>
      <c r="I311" s="47">
        <v>76.62</v>
      </c>
    </row>
    <row r="312" spans="1:12">
      <c r="A312" t="s">
        <v>4094</v>
      </c>
      <c r="B312" s="1">
        <v>41481</v>
      </c>
      <c r="C312" t="s">
        <v>4095</v>
      </c>
      <c r="D312">
        <v>1</v>
      </c>
      <c r="E312" t="s">
        <v>4096</v>
      </c>
      <c r="F312" s="28" t="s">
        <v>4373</v>
      </c>
      <c r="G312" s="28" t="s">
        <v>4374</v>
      </c>
      <c r="H312" s="47">
        <f t="shared" si="29"/>
        <v>526.75</v>
      </c>
      <c r="I312" s="47">
        <v>84.28</v>
      </c>
    </row>
    <row r="313" spans="1:12">
      <c r="A313" t="s">
        <v>4094</v>
      </c>
      <c r="B313" s="1">
        <v>41481</v>
      </c>
      <c r="C313" t="s">
        <v>4095</v>
      </c>
      <c r="D313">
        <v>1</v>
      </c>
      <c r="E313" t="s">
        <v>4096</v>
      </c>
      <c r="F313" s="28" t="s">
        <v>3801</v>
      </c>
      <c r="G313" s="28" t="s">
        <v>3802</v>
      </c>
      <c r="H313" s="47">
        <f t="shared" si="29"/>
        <v>292.25</v>
      </c>
      <c r="I313" s="47">
        <v>46.76</v>
      </c>
      <c r="J313" s="14">
        <f>1973.75-H308-H309-H310-H311-H312-H313</f>
        <v>0</v>
      </c>
      <c r="K313" s="14">
        <f>315.8-I308-I309-I310-I311-I312-I313</f>
        <v>0</v>
      </c>
    </row>
    <row r="314" spans="1:12">
      <c r="A314" t="s">
        <v>4088</v>
      </c>
      <c r="B314" s="1">
        <v>41481</v>
      </c>
      <c r="C314" t="s">
        <v>4089</v>
      </c>
      <c r="D314">
        <v>1</v>
      </c>
      <c r="E314" t="s">
        <v>1584</v>
      </c>
      <c r="F314" s="69" t="s">
        <v>939</v>
      </c>
      <c r="G314" s="28" t="s">
        <v>940</v>
      </c>
      <c r="H314" s="47">
        <f t="shared" si="29"/>
        <v>375.75</v>
      </c>
      <c r="I314" s="83">
        <v>60.12</v>
      </c>
      <c r="J314" s="3"/>
      <c r="K314" s="3"/>
    </row>
    <row r="315" spans="1:12">
      <c r="A315" t="s">
        <v>4088</v>
      </c>
      <c r="B315" s="1">
        <v>41481</v>
      </c>
      <c r="C315" t="s">
        <v>4089</v>
      </c>
      <c r="D315">
        <v>1</v>
      </c>
      <c r="E315" t="s">
        <v>1584</v>
      </c>
      <c r="F315" s="28" t="s">
        <v>913</v>
      </c>
      <c r="G315" s="28" t="s">
        <v>4375</v>
      </c>
      <c r="H315" s="47">
        <f t="shared" si="29"/>
        <v>810.5625</v>
      </c>
      <c r="I315" s="47">
        <v>129.69</v>
      </c>
    </row>
    <row r="316" spans="1:12">
      <c r="A316" t="s">
        <v>4088</v>
      </c>
      <c r="B316" s="1">
        <v>41481</v>
      </c>
      <c r="C316" t="s">
        <v>4089</v>
      </c>
      <c r="D316">
        <v>1</v>
      </c>
      <c r="E316" t="s">
        <v>1584</v>
      </c>
      <c r="F316" t="s">
        <v>946</v>
      </c>
      <c r="G316" s="33" t="s">
        <v>947</v>
      </c>
      <c r="H316" s="46">
        <f t="shared" si="29"/>
        <v>660.81249999999989</v>
      </c>
      <c r="I316" s="46">
        <f>105.82-0.09</f>
        <v>105.72999999999999</v>
      </c>
      <c r="J316" s="14">
        <f>1847.13-H314-H315-H316</f>
        <v>5.0000000002228262E-3</v>
      </c>
      <c r="K316" s="14">
        <f>295.54-I314-I315-I316</f>
        <v>0</v>
      </c>
      <c r="L316" t="s">
        <v>900</v>
      </c>
    </row>
    <row r="317" spans="1:12">
      <c r="A317" t="s">
        <v>705</v>
      </c>
      <c r="B317" s="1">
        <v>41479</v>
      </c>
      <c r="C317" t="s">
        <v>4307</v>
      </c>
      <c r="D317">
        <v>1</v>
      </c>
      <c r="E317" t="s">
        <v>306</v>
      </c>
      <c r="F317" t="s">
        <v>876</v>
      </c>
      <c r="G317" t="s">
        <v>306</v>
      </c>
      <c r="H317" s="3">
        <f t="shared" si="23"/>
        <v>32500</v>
      </c>
      <c r="I317" s="3">
        <v>5200</v>
      </c>
    </row>
    <row r="318" spans="1:12">
      <c r="A318" t="s">
        <v>205</v>
      </c>
      <c r="B318" s="1">
        <v>41477</v>
      </c>
      <c r="C318" t="s">
        <v>4257</v>
      </c>
      <c r="D318">
        <v>1</v>
      </c>
      <c r="E318" t="s">
        <v>223</v>
      </c>
      <c r="F318" s="28" t="s">
        <v>877</v>
      </c>
      <c r="G318" s="28" t="s">
        <v>223</v>
      </c>
      <c r="H318" s="3">
        <f>+I318/0.16</f>
        <v>14038.999999999998</v>
      </c>
      <c r="I318" s="3">
        <v>2246.2399999999998</v>
      </c>
      <c r="J318" s="14" t="e">
        <f>+H318-#REF!</f>
        <v>#REF!</v>
      </c>
      <c r="K318" s="14" t="e">
        <f>+I318-#REF!</f>
        <v>#REF!</v>
      </c>
      <c r="L318" t="s">
        <v>900</v>
      </c>
    </row>
    <row r="319" spans="1:12">
      <c r="A319" t="s">
        <v>2254</v>
      </c>
      <c r="B319" s="1">
        <v>41486</v>
      </c>
      <c r="C319" t="s">
        <v>4300</v>
      </c>
      <c r="D319">
        <v>1</v>
      </c>
      <c r="E319" t="s">
        <v>223</v>
      </c>
      <c r="F319" s="28" t="s">
        <v>877</v>
      </c>
      <c r="G319" s="28" t="s">
        <v>223</v>
      </c>
      <c r="H319" s="3">
        <f t="shared" si="23"/>
        <v>22200.1875</v>
      </c>
      <c r="I319" s="3">
        <v>3552.03</v>
      </c>
      <c r="J319" s="14" t="e">
        <f>+H319-#REF!</f>
        <v>#REF!</v>
      </c>
      <c r="K319" s="14" t="e">
        <f>+I319-#REF!</f>
        <v>#REF!</v>
      </c>
      <c r="L319" t="s">
        <v>900</v>
      </c>
    </row>
    <row r="320" spans="1:12">
      <c r="A320" t="s">
        <v>4189</v>
      </c>
      <c r="B320" s="1">
        <v>41486</v>
      </c>
      <c r="C320">
        <v>8773</v>
      </c>
      <c r="D320">
        <v>1</v>
      </c>
      <c r="E320" t="s">
        <v>2590</v>
      </c>
      <c r="F320" s="28" t="s">
        <v>877</v>
      </c>
      <c r="G320" s="28" t="s">
        <v>2590</v>
      </c>
      <c r="H320" s="3">
        <f t="shared" si="23"/>
        <v>290.1875</v>
      </c>
      <c r="I320" s="3">
        <v>46.43</v>
      </c>
    </row>
    <row r="321" spans="1:11">
      <c r="A321" t="s">
        <v>365</v>
      </c>
      <c r="B321" s="1">
        <v>41485</v>
      </c>
      <c r="C321" t="s">
        <v>4292</v>
      </c>
      <c r="D321">
        <v>1</v>
      </c>
      <c r="E321" t="s">
        <v>968</v>
      </c>
      <c r="F321" t="s">
        <v>1632</v>
      </c>
      <c r="G321" t="s">
        <v>968</v>
      </c>
      <c r="H321" s="3">
        <f t="shared" si="23"/>
        <v>13821.375</v>
      </c>
      <c r="I321" s="3">
        <v>2211.42</v>
      </c>
    </row>
    <row r="322" spans="1:11">
      <c r="A322" t="s">
        <v>4195</v>
      </c>
      <c r="B322" s="1">
        <v>41486</v>
      </c>
      <c r="C322">
        <v>8783</v>
      </c>
      <c r="D322">
        <v>1</v>
      </c>
      <c r="E322" t="s">
        <v>590</v>
      </c>
      <c r="F322" s="9" t="s">
        <v>882</v>
      </c>
      <c r="G322" s="9" t="s">
        <v>590</v>
      </c>
      <c r="H322" s="3">
        <f t="shared" si="23"/>
        <v>150.875</v>
      </c>
      <c r="I322" s="3">
        <v>24.14</v>
      </c>
    </row>
    <row r="323" spans="1:11">
      <c r="A323" t="s">
        <v>4142</v>
      </c>
      <c r="B323" s="1">
        <v>41484</v>
      </c>
      <c r="C323">
        <v>8708</v>
      </c>
      <c r="D323">
        <v>1</v>
      </c>
      <c r="E323" t="s">
        <v>535</v>
      </c>
      <c r="F323" s="9" t="s">
        <v>884</v>
      </c>
      <c r="G323" s="9" t="s">
        <v>535</v>
      </c>
      <c r="H323" s="3">
        <f t="shared" si="23"/>
        <v>344.8125</v>
      </c>
      <c r="I323" s="3">
        <v>55.17</v>
      </c>
    </row>
    <row r="324" spans="1:11">
      <c r="A324" t="s">
        <v>4160</v>
      </c>
      <c r="B324" s="1">
        <v>41485</v>
      </c>
      <c r="C324">
        <v>8734</v>
      </c>
      <c r="D324">
        <v>1</v>
      </c>
      <c r="E324" t="s">
        <v>4161</v>
      </c>
      <c r="F324" s="9" t="s">
        <v>884</v>
      </c>
      <c r="G324" s="9" t="s">
        <v>535</v>
      </c>
      <c r="H324" s="3">
        <f t="shared" si="23"/>
        <v>344.8125</v>
      </c>
      <c r="I324" s="3">
        <v>55.17</v>
      </c>
    </row>
    <row r="325" spans="1:11">
      <c r="A325" t="s">
        <v>4177</v>
      </c>
      <c r="B325" s="1">
        <v>41485</v>
      </c>
      <c r="C325">
        <v>8753</v>
      </c>
      <c r="D325">
        <v>1</v>
      </c>
      <c r="E325" t="s">
        <v>4178</v>
      </c>
      <c r="F325" s="9" t="s">
        <v>884</v>
      </c>
      <c r="G325" s="9" t="s">
        <v>535</v>
      </c>
      <c r="H325" s="3">
        <f t="shared" si="23"/>
        <v>344.8125</v>
      </c>
      <c r="I325" s="3">
        <v>55.17</v>
      </c>
    </row>
    <row r="326" spans="1:11">
      <c r="A326" t="s">
        <v>4175</v>
      </c>
      <c r="B326" s="1">
        <v>41485</v>
      </c>
      <c r="C326">
        <v>8752</v>
      </c>
      <c r="D326">
        <v>1</v>
      </c>
      <c r="E326" t="s">
        <v>4176</v>
      </c>
      <c r="F326" s="9" t="s">
        <v>884</v>
      </c>
      <c r="G326" s="9" t="s">
        <v>535</v>
      </c>
      <c r="H326" s="3">
        <f t="shared" si="23"/>
        <v>344.8125</v>
      </c>
      <c r="I326" s="3">
        <v>55.17</v>
      </c>
    </row>
    <row r="327" spans="1:11">
      <c r="A327" t="s">
        <v>3823</v>
      </c>
      <c r="B327" s="1">
        <v>41461</v>
      </c>
      <c r="C327" t="s">
        <v>3824</v>
      </c>
      <c r="D327">
        <v>1</v>
      </c>
      <c r="E327" t="s">
        <v>3825</v>
      </c>
      <c r="F327" t="s">
        <v>1633</v>
      </c>
      <c r="G327" t="s">
        <v>3825</v>
      </c>
      <c r="H327" s="3">
        <f t="shared" si="23"/>
        <v>161302.0625</v>
      </c>
      <c r="I327" s="3">
        <v>25808.33</v>
      </c>
    </row>
    <row r="328" spans="1:11">
      <c r="A328" t="s">
        <v>3808</v>
      </c>
      <c r="B328" s="1">
        <v>41456</v>
      </c>
      <c r="C328" t="s">
        <v>3809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23"/>
        <v>259912.6875</v>
      </c>
      <c r="I328" s="3">
        <v>41586.03</v>
      </c>
      <c r="J328" s="3"/>
      <c r="K328" s="3"/>
    </row>
    <row r="329" spans="1:11">
      <c r="A329" t="s">
        <v>3810</v>
      </c>
      <c r="B329" s="1">
        <v>41456</v>
      </c>
      <c r="C329" t="s">
        <v>3811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23"/>
        <v>349316.9375</v>
      </c>
      <c r="I329" s="3">
        <v>55890.71</v>
      </c>
      <c r="J329" s="3"/>
      <c r="K329" s="3"/>
    </row>
    <row r="330" spans="1:11">
      <c r="A330" t="s">
        <v>3812</v>
      </c>
      <c r="B330" s="1">
        <v>41456</v>
      </c>
      <c r="C330" t="s">
        <v>3813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23"/>
        <v>277621.375</v>
      </c>
      <c r="I330" s="3">
        <v>44419.42</v>
      </c>
      <c r="J330" s="3"/>
      <c r="K330" s="3"/>
    </row>
    <row r="331" spans="1:11">
      <c r="A331" t="s">
        <v>3814</v>
      </c>
      <c r="B331" s="1">
        <v>41456</v>
      </c>
      <c r="C331" t="s">
        <v>3815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23"/>
        <v>288927.5</v>
      </c>
      <c r="I331" s="3">
        <v>46228.4</v>
      </c>
      <c r="J331" s="3"/>
      <c r="K331" s="3"/>
    </row>
    <row r="332" spans="1:11">
      <c r="A332" t="s">
        <v>3816</v>
      </c>
      <c r="B332" s="1">
        <v>41456</v>
      </c>
      <c r="C332" t="s">
        <v>3817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23"/>
        <v>277621.375</v>
      </c>
      <c r="I332" s="3">
        <v>44419.42</v>
      </c>
      <c r="J332" s="3"/>
      <c r="K332" s="3"/>
    </row>
    <row r="333" spans="1:11">
      <c r="A333" t="s">
        <v>3821</v>
      </c>
      <c r="B333" s="1">
        <v>41460</v>
      </c>
      <c r="C333" t="s">
        <v>3822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23"/>
        <v>259912.62499999997</v>
      </c>
      <c r="I333" s="3">
        <v>41586.019999999997</v>
      </c>
      <c r="J333" s="3"/>
      <c r="K333" s="3"/>
    </row>
    <row r="334" spans="1:11">
      <c r="A334" t="s">
        <v>3844</v>
      </c>
      <c r="B334" s="1">
        <v>41465</v>
      </c>
      <c r="C334" t="s">
        <v>3845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ref="H334:H380" si="30">+I334/0.16</f>
        <v>314431.5625</v>
      </c>
      <c r="I334" s="3">
        <v>50309.05</v>
      </c>
      <c r="J334" s="3"/>
      <c r="K334" s="3"/>
    </row>
    <row r="335" spans="1:11">
      <c r="A335" t="s">
        <v>3846</v>
      </c>
      <c r="B335" s="1">
        <v>41465</v>
      </c>
      <c r="C335" t="s">
        <v>3847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30"/>
        <v>161302.0625</v>
      </c>
      <c r="I335" s="3">
        <v>25808.33</v>
      </c>
      <c r="J335" s="3"/>
      <c r="K335" s="3"/>
    </row>
    <row r="336" spans="1:11">
      <c r="A336" t="s">
        <v>3853</v>
      </c>
      <c r="B336" s="1">
        <v>41468</v>
      </c>
      <c r="C336" t="s">
        <v>3854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30"/>
        <v>215976.5625</v>
      </c>
      <c r="I336" s="3">
        <v>34556.25</v>
      </c>
      <c r="J336" s="3"/>
      <c r="K336" s="3"/>
    </row>
    <row r="337" spans="1:11">
      <c r="A337" t="s">
        <v>3855</v>
      </c>
      <c r="B337" s="1">
        <v>41468</v>
      </c>
      <c r="C337" t="s">
        <v>3856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30"/>
        <v>161302.0625</v>
      </c>
      <c r="I337" s="3">
        <v>25808.33</v>
      </c>
      <c r="J337" s="3"/>
      <c r="K337" s="3"/>
    </row>
    <row r="338" spans="1:11">
      <c r="A338" t="s">
        <v>3857</v>
      </c>
      <c r="B338" s="1">
        <v>41468</v>
      </c>
      <c r="C338" t="s">
        <v>3858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30"/>
        <v>168750.3125</v>
      </c>
      <c r="I338" s="3">
        <v>27000.05</v>
      </c>
      <c r="J338" s="3"/>
      <c r="K338" s="3"/>
    </row>
    <row r="339" spans="1:11">
      <c r="A339" t="s">
        <v>3864</v>
      </c>
      <c r="B339" s="1">
        <v>41470</v>
      </c>
      <c r="C339" t="s">
        <v>3865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30"/>
        <v>168750.3125</v>
      </c>
      <c r="I339" s="3">
        <v>27000.05</v>
      </c>
      <c r="J339" s="3"/>
      <c r="K339" s="3"/>
    </row>
    <row r="340" spans="1:11">
      <c r="A340" t="s">
        <v>3866</v>
      </c>
      <c r="B340" s="1">
        <v>41470</v>
      </c>
      <c r="C340" t="s">
        <v>3867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30"/>
        <v>259056.9375</v>
      </c>
      <c r="I340" s="3">
        <v>41449.11</v>
      </c>
      <c r="J340" s="3"/>
      <c r="K340" s="3"/>
    </row>
    <row r="341" spans="1:11">
      <c r="A341" t="s">
        <v>1111</v>
      </c>
      <c r="B341" s="1">
        <v>41470</v>
      </c>
      <c r="C341" t="s">
        <v>3868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30"/>
        <v>277621.375</v>
      </c>
      <c r="I341" s="3">
        <v>44419.42</v>
      </c>
      <c r="J341" s="3"/>
      <c r="K341" s="3"/>
    </row>
    <row r="342" spans="1:11">
      <c r="A342" t="s">
        <v>3869</v>
      </c>
      <c r="B342" s="1">
        <v>41470</v>
      </c>
      <c r="C342" t="s">
        <v>3870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si="30"/>
        <v>184455</v>
      </c>
      <c r="I342" s="3">
        <v>29512.799999999999</v>
      </c>
      <c r="J342" s="3"/>
      <c r="K342" s="3"/>
    </row>
    <row r="343" spans="1:11">
      <c r="A343" t="s">
        <v>3872</v>
      </c>
      <c r="B343" s="1">
        <v>41470</v>
      </c>
      <c r="C343" t="s">
        <v>3873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si="30"/>
        <v>161302.0625</v>
      </c>
      <c r="I343" s="3">
        <v>25808.33</v>
      </c>
      <c r="J343" s="3"/>
      <c r="K343" s="3"/>
    </row>
    <row r="344" spans="1:11">
      <c r="A344" t="s">
        <v>3874</v>
      </c>
      <c r="B344" s="1">
        <v>41470</v>
      </c>
      <c r="C344" t="s">
        <v>3875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30"/>
        <v>168750.3125</v>
      </c>
      <c r="I344" s="3">
        <v>27000.05</v>
      </c>
      <c r="J344" s="3"/>
      <c r="K344" s="3"/>
    </row>
    <row r="345" spans="1:11">
      <c r="A345" t="s">
        <v>3876</v>
      </c>
      <c r="B345" s="1">
        <v>41470</v>
      </c>
      <c r="C345" t="s">
        <v>3877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30"/>
        <v>168750.3125</v>
      </c>
      <c r="I345" s="3">
        <v>27000.05</v>
      </c>
      <c r="J345" s="3"/>
      <c r="K345" s="3"/>
    </row>
    <row r="346" spans="1:11">
      <c r="A346" t="s">
        <v>3878</v>
      </c>
      <c r="B346" s="1">
        <v>41470</v>
      </c>
      <c r="C346" t="s">
        <v>3879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30"/>
        <v>277621.375</v>
      </c>
      <c r="I346" s="3">
        <v>44419.42</v>
      </c>
      <c r="J346" s="3"/>
      <c r="K346" s="3"/>
    </row>
    <row r="347" spans="1:11">
      <c r="A347" t="s">
        <v>3880</v>
      </c>
      <c r="B347" s="1">
        <v>41470</v>
      </c>
      <c r="C347" t="s">
        <v>3881</v>
      </c>
      <c r="D347">
        <v>1</v>
      </c>
      <c r="E347" t="s">
        <v>6</v>
      </c>
      <c r="F347" s="30" t="s">
        <v>886</v>
      </c>
      <c r="G347" s="31" t="s">
        <v>887</v>
      </c>
      <c r="H347" s="3">
        <f t="shared" si="30"/>
        <v>277621.375</v>
      </c>
      <c r="I347" s="3">
        <v>44419.42</v>
      </c>
      <c r="J347" s="3"/>
      <c r="K347" s="3"/>
    </row>
    <row r="348" spans="1:11">
      <c r="A348" t="s">
        <v>3885</v>
      </c>
      <c r="B348" s="1">
        <v>41472</v>
      </c>
      <c r="C348" t="s">
        <v>3886</v>
      </c>
      <c r="D348">
        <v>1</v>
      </c>
      <c r="E348" t="s">
        <v>6</v>
      </c>
      <c r="F348" s="30" t="s">
        <v>886</v>
      </c>
      <c r="G348" s="31" t="s">
        <v>887</v>
      </c>
      <c r="H348" s="3">
        <f t="shared" si="30"/>
        <v>215976.5625</v>
      </c>
      <c r="I348" s="3">
        <v>34556.25</v>
      </c>
      <c r="J348" s="3"/>
      <c r="K348" s="3"/>
    </row>
    <row r="349" spans="1:11">
      <c r="A349" t="s">
        <v>3945</v>
      </c>
      <c r="B349" s="1">
        <v>41479</v>
      </c>
      <c r="C349" t="s">
        <v>3946</v>
      </c>
      <c r="D349">
        <v>1</v>
      </c>
      <c r="E349" t="s">
        <v>6</v>
      </c>
      <c r="F349" s="30" t="s">
        <v>886</v>
      </c>
      <c r="G349" s="31" t="s">
        <v>887</v>
      </c>
      <c r="H349" s="3">
        <f t="shared" si="30"/>
        <v>537977.5</v>
      </c>
      <c r="I349" s="3">
        <v>86076.4</v>
      </c>
      <c r="J349" s="46"/>
      <c r="K349" s="46"/>
    </row>
    <row r="350" spans="1:11">
      <c r="A350" t="s">
        <v>3947</v>
      </c>
      <c r="B350" s="1">
        <v>41480</v>
      </c>
      <c r="C350" t="s">
        <v>3948</v>
      </c>
      <c r="D350">
        <v>1</v>
      </c>
      <c r="E350" t="s">
        <v>6</v>
      </c>
      <c r="F350" s="30" t="s">
        <v>886</v>
      </c>
      <c r="G350" s="31" t="s">
        <v>887</v>
      </c>
      <c r="H350" s="3">
        <f t="shared" si="30"/>
        <v>314431.625</v>
      </c>
      <c r="I350" s="3">
        <v>50309.06</v>
      </c>
      <c r="J350" s="3"/>
      <c r="K350" s="3"/>
    </row>
    <row r="351" spans="1:11">
      <c r="A351" t="s">
        <v>3949</v>
      </c>
      <c r="B351" s="1">
        <v>41480</v>
      </c>
      <c r="C351" t="s">
        <v>3950</v>
      </c>
      <c r="D351">
        <v>1</v>
      </c>
      <c r="E351" t="s">
        <v>6</v>
      </c>
      <c r="F351" s="30" t="s">
        <v>886</v>
      </c>
      <c r="G351" s="31" t="s">
        <v>887</v>
      </c>
      <c r="H351" s="3">
        <f t="shared" si="30"/>
        <v>259056.9375</v>
      </c>
      <c r="I351" s="3">
        <v>41449.11</v>
      </c>
      <c r="J351" s="3"/>
      <c r="K351" s="3"/>
    </row>
    <row r="352" spans="1:11">
      <c r="A352" t="s">
        <v>3951</v>
      </c>
      <c r="B352" s="1">
        <v>41480</v>
      </c>
      <c r="C352" t="s">
        <v>3952</v>
      </c>
      <c r="D352">
        <v>1</v>
      </c>
      <c r="E352" t="s">
        <v>6</v>
      </c>
      <c r="F352" s="30" t="s">
        <v>886</v>
      </c>
      <c r="G352" s="31" t="s">
        <v>887</v>
      </c>
      <c r="H352" s="3">
        <f t="shared" si="30"/>
        <v>277621.375</v>
      </c>
      <c r="I352" s="3">
        <v>44419.42</v>
      </c>
      <c r="J352" s="3"/>
      <c r="K352" s="3"/>
    </row>
    <row r="353" spans="1:11">
      <c r="A353" t="s">
        <v>3953</v>
      </c>
      <c r="B353" s="1">
        <v>41480</v>
      </c>
      <c r="C353" t="s">
        <v>3954</v>
      </c>
      <c r="D353">
        <v>1</v>
      </c>
      <c r="E353" t="s">
        <v>6</v>
      </c>
      <c r="F353" s="30" t="s">
        <v>886</v>
      </c>
      <c r="G353" s="31" t="s">
        <v>887</v>
      </c>
      <c r="H353" s="3">
        <f t="shared" si="30"/>
        <v>277621.375</v>
      </c>
      <c r="I353" s="3">
        <v>44419.42</v>
      </c>
      <c r="J353" s="3"/>
      <c r="K353" s="3"/>
    </row>
    <row r="354" spans="1:11">
      <c r="A354" t="s">
        <v>3955</v>
      </c>
      <c r="B354" s="1">
        <v>41480</v>
      </c>
      <c r="C354" t="s">
        <v>3956</v>
      </c>
      <c r="D354">
        <v>1</v>
      </c>
      <c r="E354" t="s">
        <v>6</v>
      </c>
      <c r="F354" s="30" t="s">
        <v>886</v>
      </c>
      <c r="G354" s="31" t="s">
        <v>887</v>
      </c>
      <c r="H354" s="3">
        <f t="shared" si="30"/>
        <v>277621.375</v>
      </c>
      <c r="I354" s="3">
        <v>44419.42</v>
      </c>
      <c r="J354" s="3"/>
      <c r="K354" s="3"/>
    </row>
    <row r="355" spans="1:11">
      <c r="A355" t="s">
        <v>3957</v>
      </c>
      <c r="B355" s="1">
        <v>41480</v>
      </c>
      <c r="C355" t="s">
        <v>3958</v>
      </c>
      <c r="D355">
        <v>1</v>
      </c>
      <c r="E355" t="s">
        <v>6</v>
      </c>
      <c r="F355" s="30" t="s">
        <v>886</v>
      </c>
      <c r="G355" s="31" t="s">
        <v>887</v>
      </c>
      <c r="H355" s="3">
        <f t="shared" si="30"/>
        <v>277621.375</v>
      </c>
      <c r="I355" s="3">
        <v>44419.42</v>
      </c>
      <c r="J355" s="3"/>
      <c r="K355" s="3"/>
    </row>
    <row r="356" spans="1:11">
      <c r="A356" t="s">
        <v>3959</v>
      </c>
      <c r="B356" s="1">
        <v>41480</v>
      </c>
      <c r="C356" t="s">
        <v>3960</v>
      </c>
      <c r="D356">
        <v>1</v>
      </c>
      <c r="E356" t="s">
        <v>6</v>
      </c>
      <c r="F356" s="30" t="s">
        <v>886</v>
      </c>
      <c r="G356" s="31" t="s">
        <v>887</v>
      </c>
      <c r="H356" s="3">
        <f t="shared" si="30"/>
        <v>259056.9375</v>
      </c>
      <c r="I356" s="3">
        <v>41449.11</v>
      </c>
      <c r="J356" s="3"/>
      <c r="K356" s="3"/>
    </row>
    <row r="357" spans="1:11">
      <c r="A357" t="s">
        <v>3961</v>
      </c>
      <c r="B357" s="1">
        <v>41480</v>
      </c>
      <c r="C357" t="s">
        <v>3962</v>
      </c>
      <c r="D357">
        <v>1</v>
      </c>
      <c r="E357" t="s">
        <v>6</v>
      </c>
      <c r="F357" s="30" t="s">
        <v>886</v>
      </c>
      <c r="G357" s="31" t="s">
        <v>887</v>
      </c>
      <c r="H357" s="3">
        <f t="shared" si="30"/>
        <v>277621.375</v>
      </c>
      <c r="I357" s="3">
        <v>44419.42</v>
      </c>
      <c r="J357" s="46"/>
      <c r="K357" s="46"/>
    </row>
    <row r="358" spans="1:11">
      <c r="A358" t="s">
        <v>3963</v>
      </c>
      <c r="B358" s="1">
        <v>41480</v>
      </c>
      <c r="C358" t="s">
        <v>3964</v>
      </c>
      <c r="D358">
        <v>1</v>
      </c>
      <c r="E358" t="s">
        <v>6</v>
      </c>
      <c r="F358" s="30" t="s">
        <v>886</v>
      </c>
      <c r="G358" s="31" t="s">
        <v>887</v>
      </c>
      <c r="H358" s="3">
        <f t="shared" si="30"/>
        <v>277621.375</v>
      </c>
      <c r="I358" s="3">
        <v>44419.42</v>
      </c>
      <c r="J358" s="46"/>
      <c r="K358" s="46"/>
    </row>
    <row r="359" spans="1:11">
      <c r="A359" t="s">
        <v>3965</v>
      </c>
      <c r="B359" s="1">
        <v>41480</v>
      </c>
      <c r="C359" t="s">
        <v>3966</v>
      </c>
      <c r="D359">
        <v>1</v>
      </c>
      <c r="E359" t="s">
        <v>6</v>
      </c>
      <c r="F359" s="30" t="s">
        <v>886</v>
      </c>
      <c r="G359" s="31" t="s">
        <v>887</v>
      </c>
      <c r="H359" s="3">
        <f t="shared" si="30"/>
        <v>277621.375</v>
      </c>
      <c r="I359" s="3">
        <v>44419.42</v>
      </c>
      <c r="J359" s="46"/>
      <c r="K359" s="46"/>
    </row>
    <row r="360" spans="1:11">
      <c r="A360" t="s">
        <v>3967</v>
      </c>
      <c r="B360" s="1">
        <v>41480</v>
      </c>
      <c r="C360" t="s">
        <v>3968</v>
      </c>
      <c r="D360">
        <v>1</v>
      </c>
      <c r="E360" t="s">
        <v>6</v>
      </c>
      <c r="F360" s="30" t="s">
        <v>886</v>
      </c>
      <c r="G360" s="31" t="s">
        <v>887</v>
      </c>
      <c r="H360" s="3">
        <f t="shared" si="30"/>
        <v>277621.375</v>
      </c>
      <c r="I360" s="3">
        <v>44419.42</v>
      </c>
      <c r="J360" s="46"/>
      <c r="K360" s="46"/>
    </row>
    <row r="361" spans="1:11">
      <c r="A361" t="s">
        <v>3969</v>
      </c>
      <c r="B361" s="1">
        <v>41480</v>
      </c>
      <c r="C361" t="s">
        <v>3970</v>
      </c>
      <c r="D361">
        <v>1</v>
      </c>
      <c r="E361" t="s">
        <v>6</v>
      </c>
      <c r="F361" s="30" t="s">
        <v>886</v>
      </c>
      <c r="G361" s="31" t="s">
        <v>887</v>
      </c>
      <c r="H361" s="3">
        <f t="shared" si="30"/>
        <v>277621.375</v>
      </c>
      <c r="I361" s="3">
        <v>44419.42</v>
      </c>
      <c r="J361" s="46"/>
      <c r="K361" s="46"/>
    </row>
    <row r="362" spans="1:11">
      <c r="A362" t="s">
        <v>3974</v>
      </c>
      <c r="B362" s="1">
        <v>41481</v>
      </c>
      <c r="C362" t="s">
        <v>3975</v>
      </c>
      <c r="D362">
        <v>1</v>
      </c>
      <c r="E362" t="s">
        <v>6</v>
      </c>
      <c r="F362" s="30" t="s">
        <v>886</v>
      </c>
      <c r="G362" s="31" t="s">
        <v>887</v>
      </c>
      <c r="H362" s="3">
        <f t="shared" si="30"/>
        <v>205379.4375</v>
      </c>
      <c r="I362" s="3">
        <v>32860.71</v>
      </c>
      <c r="J362" s="46"/>
      <c r="K362" s="46"/>
    </row>
    <row r="363" spans="1:11">
      <c r="A363" t="s">
        <v>3976</v>
      </c>
      <c r="B363" s="1">
        <v>41481</v>
      </c>
      <c r="C363" t="s">
        <v>3977</v>
      </c>
      <c r="D363">
        <v>1</v>
      </c>
      <c r="E363" t="s">
        <v>6</v>
      </c>
      <c r="F363" s="30" t="s">
        <v>886</v>
      </c>
      <c r="G363" s="31" t="s">
        <v>887</v>
      </c>
      <c r="H363" s="3">
        <f t="shared" si="30"/>
        <v>205379.4375</v>
      </c>
      <c r="I363" s="3">
        <v>32860.71</v>
      </c>
      <c r="J363" s="46"/>
      <c r="K363" s="46"/>
    </row>
    <row r="364" spans="1:11">
      <c r="A364" t="s">
        <v>3978</v>
      </c>
      <c r="B364" s="1">
        <v>41481</v>
      </c>
      <c r="C364" t="s">
        <v>3979</v>
      </c>
      <c r="D364">
        <v>1</v>
      </c>
      <c r="E364" t="s">
        <v>6</v>
      </c>
      <c r="F364" s="30" t="s">
        <v>886</v>
      </c>
      <c r="G364" s="31" t="s">
        <v>887</v>
      </c>
      <c r="H364" s="3">
        <f t="shared" si="30"/>
        <v>161302.0625</v>
      </c>
      <c r="I364" s="3">
        <v>25808.33</v>
      </c>
      <c r="J364" s="46"/>
      <c r="K364" s="46"/>
    </row>
    <row r="365" spans="1:11">
      <c r="A365" t="s">
        <v>1362</v>
      </c>
      <c r="B365" s="1">
        <v>41481</v>
      </c>
      <c r="C365" t="s">
        <v>3980</v>
      </c>
      <c r="D365">
        <v>1</v>
      </c>
      <c r="E365" t="s">
        <v>6</v>
      </c>
      <c r="F365" s="30" t="s">
        <v>886</v>
      </c>
      <c r="G365" s="31" t="s">
        <v>887</v>
      </c>
      <c r="H365" s="3">
        <f t="shared" si="30"/>
        <v>161302.0625</v>
      </c>
      <c r="I365" s="3">
        <v>25808.33</v>
      </c>
      <c r="J365" s="46"/>
      <c r="K365" s="46"/>
    </row>
    <row r="366" spans="1:11">
      <c r="A366" t="s">
        <v>1903</v>
      </c>
      <c r="B366" s="1">
        <v>41481</v>
      </c>
      <c r="C366" t="s">
        <v>3981</v>
      </c>
      <c r="D366">
        <v>1</v>
      </c>
      <c r="E366" t="s">
        <v>6</v>
      </c>
      <c r="F366" s="30" t="s">
        <v>886</v>
      </c>
      <c r="G366" s="31" t="s">
        <v>887</v>
      </c>
      <c r="H366" s="3">
        <f t="shared" si="30"/>
        <v>199344.9375</v>
      </c>
      <c r="I366" s="3">
        <v>31895.19</v>
      </c>
      <c r="J366" s="46"/>
      <c r="K366" s="46"/>
    </row>
    <row r="367" spans="1:11">
      <c r="A367" t="s">
        <v>3982</v>
      </c>
      <c r="B367" s="1">
        <v>41482</v>
      </c>
      <c r="C367" t="s">
        <v>3983</v>
      </c>
      <c r="D367">
        <v>1</v>
      </c>
      <c r="E367" t="s">
        <v>6</v>
      </c>
      <c r="F367" s="30" t="s">
        <v>886</v>
      </c>
      <c r="G367" s="31" t="s">
        <v>887</v>
      </c>
      <c r="H367" s="3">
        <f t="shared" si="30"/>
        <v>277621.375</v>
      </c>
      <c r="I367" s="3">
        <v>44419.42</v>
      </c>
      <c r="J367" s="46"/>
      <c r="K367" s="46"/>
    </row>
    <row r="368" spans="1:11">
      <c r="A368" t="s">
        <v>1967</v>
      </c>
      <c r="B368" s="1">
        <v>41484</v>
      </c>
      <c r="C368" t="s">
        <v>2461</v>
      </c>
      <c r="D368">
        <v>1</v>
      </c>
      <c r="E368" t="s">
        <v>6</v>
      </c>
      <c r="F368" s="30" t="s">
        <v>886</v>
      </c>
      <c r="G368" s="31" t="s">
        <v>887</v>
      </c>
      <c r="H368" s="3">
        <f t="shared" si="30"/>
        <v>-277751.8125</v>
      </c>
      <c r="I368" s="3">
        <v>-44440.29</v>
      </c>
      <c r="J368" s="46"/>
      <c r="K368" s="50"/>
    </row>
    <row r="369" spans="1:13">
      <c r="A369" t="s">
        <v>1420</v>
      </c>
      <c r="B369" s="1">
        <v>41485</v>
      </c>
      <c r="C369" t="s">
        <v>1385</v>
      </c>
      <c r="D369">
        <v>1</v>
      </c>
      <c r="E369" t="s">
        <v>6</v>
      </c>
      <c r="F369" s="30" t="s">
        <v>886</v>
      </c>
      <c r="G369" s="31" t="s">
        <v>887</v>
      </c>
      <c r="H369" s="3">
        <f t="shared" si="30"/>
        <v>-277751.8125</v>
      </c>
      <c r="I369" s="3">
        <v>-44440.29</v>
      </c>
      <c r="J369" s="46"/>
      <c r="K369" s="50"/>
    </row>
    <row r="370" spans="1:13">
      <c r="A370" t="s">
        <v>150</v>
      </c>
      <c r="B370" s="1">
        <v>41472</v>
      </c>
      <c r="C370" t="s">
        <v>4244</v>
      </c>
      <c r="D370">
        <v>1</v>
      </c>
      <c r="E370" t="s">
        <v>6</v>
      </c>
      <c r="F370" s="67" t="s">
        <v>829</v>
      </c>
      <c r="G370" s="68" t="s">
        <v>6</v>
      </c>
      <c r="H370" s="3">
        <f t="shared" si="30"/>
        <v>336683.75</v>
      </c>
      <c r="I370" s="3">
        <v>53869.4</v>
      </c>
    </row>
    <row r="371" spans="1:13">
      <c r="A371" t="s">
        <v>4029</v>
      </c>
      <c r="B371" s="1">
        <v>41486</v>
      </c>
      <c r="C371" t="s">
        <v>4030</v>
      </c>
      <c r="D371">
        <v>1</v>
      </c>
      <c r="E371" t="s">
        <v>4031</v>
      </c>
      <c r="F371" s="67" t="s">
        <v>829</v>
      </c>
      <c r="G371" s="68" t="s">
        <v>6</v>
      </c>
      <c r="H371" s="3">
        <f t="shared" si="30"/>
        <v>469029.125</v>
      </c>
      <c r="I371" s="3">
        <v>75044.66</v>
      </c>
    </row>
    <row r="372" spans="1:13">
      <c r="A372" t="s">
        <v>4061</v>
      </c>
      <c r="B372" s="1">
        <v>41480</v>
      </c>
      <c r="C372" t="s">
        <v>4062</v>
      </c>
      <c r="D372">
        <v>1</v>
      </c>
      <c r="E372" t="s">
        <v>4063</v>
      </c>
      <c r="F372" s="28" t="s">
        <v>1687</v>
      </c>
      <c r="G372" s="28" t="s">
        <v>1688</v>
      </c>
      <c r="H372" s="47">
        <f t="shared" ref="H372:H374" si="31">I372/0.16</f>
        <v>417.62499999999994</v>
      </c>
      <c r="I372" s="92">
        <v>66.819999999999993</v>
      </c>
      <c r="J372" s="3"/>
      <c r="K372" s="3"/>
    </row>
    <row r="373" spans="1:13">
      <c r="A373" t="s">
        <v>4061</v>
      </c>
      <c r="B373" s="1">
        <v>41480</v>
      </c>
      <c r="C373" t="s">
        <v>4062</v>
      </c>
      <c r="D373">
        <v>1</v>
      </c>
      <c r="E373" t="s">
        <v>4063</v>
      </c>
      <c r="F373" s="81" t="s">
        <v>3389</v>
      </c>
      <c r="G373" s="81" t="s">
        <v>3798</v>
      </c>
      <c r="H373" s="82">
        <f t="shared" si="31"/>
        <v>40.4375</v>
      </c>
      <c r="I373" s="85">
        <v>6.47</v>
      </c>
    </row>
    <row r="374" spans="1:13">
      <c r="A374" t="s">
        <v>4061</v>
      </c>
      <c r="B374" s="1">
        <v>41480</v>
      </c>
      <c r="C374" t="s">
        <v>4062</v>
      </c>
      <c r="D374">
        <v>1</v>
      </c>
      <c r="E374" t="s">
        <v>4063</v>
      </c>
      <c r="F374" t="s">
        <v>946</v>
      </c>
      <c r="G374" t="s">
        <v>947</v>
      </c>
      <c r="H374" s="3">
        <f t="shared" si="31"/>
        <v>338</v>
      </c>
      <c r="I374" s="46">
        <v>54.08</v>
      </c>
      <c r="J374" s="14">
        <f>796.06-H372-H373-H374</f>
        <v>-2.4999999999977263E-3</v>
      </c>
      <c r="K374" s="14">
        <f>127.37-I372-I373-I374</f>
        <v>0</v>
      </c>
    </row>
    <row r="375" spans="1:13">
      <c r="A375" t="s">
        <v>322</v>
      </c>
      <c r="B375" s="1">
        <v>41482</v>
      </c>
      <c r="C375" t="s">
        <v>4286</v>
      </c>
      <c r="D375">
        <v>1</v>
      </c>
      <c r="E375" t="s">
        <v>4287</v>
      </c>
      <c r="F375" t="s">
        <v>4381</v>
      </c>
      <c r="G375" t="s">
        <v>4287</v>
      </c>
      <c r="H375" s="3">
        <f>I375/0.16</f>
        <v>1900</v>
      </c>
      <c r="I375" s="3">
        <v>304</v>
      </c>
    </row>
    <row r="376" spans="1:13">
      <c r="A376" t="s">
        <v>4128</v>
      </c>
      <c r="B376" s="1">
        <v>41484</v>
      </c>
      <c r="C376" t="s">
        <v>4129</v>
      </c>
      <c r="D376">
        <v>1</v>
      </c>
      <c r="E376" t="s">
        <v>4130</v>
      </c>
      <c r="F376" s="9" t="s">
        <v>1706</v>
      </c>
      <c r="G376" s="9" t="s">
        <v>1707</v>
      </c>
      <c r="H376" s="65">
        <f t="shared" ref="H376:H377" si="32">I376/0.16</f>
        <v>64.6875</v>
      </c>
      <c r="I376" s="85">
        <v>10.35</v>
      </c>
      <c r="J376" s="3"/>
      <c r="K376" s="3"/>
    </row>
    <row r="377" spans="1:13">
      <c r="A377" t="s">
        <v>4128</v>
      </c>
      <c r="B377" s="1">
        <v>41484</v>
      </c>
      <c r="C377" t="s">
        <v>4129</v>
      </c>
      <c r="D377">
        <v>1</v>
      </c>
      <c r="E377" t="s">
        <v>4130</v>
      </c>
      <c r="F377" s="9" t="s">
        <v>894</v>
      </c>
      <c r="G377" s="9" t="s">
        <v>895</v>
      </c>
      <c r="H377" s="65">
        <f t="shared" si="32"/>
        <v>375.875</v>
      </c>
      <c r="I377" s="65">
        <v>60.14</v>
      </c>
      <c r="J377" s="14">
        <f>440.56-H376-H377</f>
        <v>-2.4999999999977263E-3</v>
      </c>
      <c r="K377" s="14">
        <f>70.49-I376-I377</f>
        <v>0</v>
      </c>
    </row>
    <row r="378" spans="1:13">
      <c r="A378" t="s">
        <v>550</v>
      </c>
      <c r="B378" s="1">
        <v>41486</v>
      </c>
      <c r="C378" t="s">
        <v>4005</v>
      </c>
      <c r="D378">
        <v>1</v>
      </c>
      <c r="E378" t="s">
        <v>4006</v>
      </c>
      <c r="F378" s="87" t="s">
        <v>4377</v>
      </c>
      <c r="G378" s="81" t="s">
        <v>4006</v>
      </c>
      <c r="H378" s="3">
        <f t="shared" si="30"/>
        <v>180602.62499999997</v>
      </c>
      <c r="I378" s="3">
        <v>28896.42</v>
      </c>
    </row>
    <row r="379" spans="1:13">
      <c r="A379" t="s">
        <v>4039</v>
      </c>
      <c r="B379" s="1">
        <v>41477</v>
      </c>
      <c r="C379">
        <v>8667</v>
      </c>
      <c r="D379">
        <v>1</v>
      </c>
      <c r="E379" t="s">
        <v>4040</v>
      </c>
      <c r="F379" t="s">
        <v>4376</v>
      </c>
      <c r="G379" t="s">
        <v>4040</v>
      </c>
      <c r="H379" s="3">
        <f t="shared" si="30"/>
        <v>148.6875</v>
      </c>
      <c r="I379" s="3">
        <v>23.79</v>
      </c>
    </row>
    <row r="380" spans="1:13">
      <c r="A380" t="s">
        <v>4101</v>
      </c>
      <c r="B380" s="1">
        <v>41484</v>
      </c>
      <c r="C380">
        <v>8699</v>
      </c>
      <c r="D380">
        <v>1</v>
      </c>
      <c r="E380" t="s">
        <v>4040</v>
      </c>
      <c r="F380" t="s">
        <v>4376</v>
      </c>
      <c r="G380" t="s">
        <v>4040</v>
      </c>
      <c r="H380" s="3">
        <f t="shared" si="30"/>
        <v>148.6875</v>
      </c>
      <c r="I380" s="3">
        <v>23.79</v>
      </c>
    </row>
    <row r="381" spans="1:13" s="99" customFormat="1">
      <c r="A381" s="99" t="s">
        <v>3991</v>
      </c>
      <c r="B381" s="98">
        <v>41484</v>
      </c>
      <c r="C381" s="99" t="s">
        <v>436</v>
      </c>
      <c r="D381" s="99">
        <v>1</v>
      </c>
      <c r="E381" s="99" t="s">
        <v>3992</v>
      </c>
      <c r="F381" s="26" t="s">
        <v>1717</v>
      </c>
      <c r="G381" s="26" t="s">
        <v>4382</v>
      </c>
      <c r="H381" s="100">
        <f t="shared" ref="H381:H383" si="33">I381/0.16</f>
        <v>3993.5</v>
      </c>
      <c r="I381" s="101">
        <v>638.96</v>
      </c>
      <c r="J381" s="104"/>
      <c r="K381" s="104"/>
    </row>
    <row r="382" spans="1:13" s="99" customFormat="1">
      <c r="A382" s="99" t="s">
        <v>3991</v>
      </c>
      <c r="B382" s="98">
        <v>41484</v>
      </c>
      <c r="C382" s="99" t="s">
        <v>436</v>
      </c>
      <c r="D382" s="99">
        <v>1</v>
      </c>
      <c r="E382" s="99" t="s">
        <v>3992</v>
      </c>
      <c r="F382" s="26" t="s">
        <v>4383</v>
      </c>
      <c r="G382" s="26" t="s">
        <v>4384</v>
      </c>
      <c r="H382" s="100">
        <f t="shared" si="33"/>
        <v>153.6875</v>
      </c>
      <c r="I382" s="101">
        <v>24.59</v>
      </c>
    </row>
    <row r="383" spans="1:13" s="99" customFormat="1">
      <c r="A383" s="99" t="s">
        <v>3991</v>
      </c>
      <c r="B383" s="98">
        <v>41484</v>
      </c>
      <c r="C383" s="99" t="s">
        <v>436</v>
      </c>
      <c r="D383" s="99">
        <v>1</v>
      </c>
      <c r="E383" s="99" t="s">
        <v>3992</v>
      </c>
      <c r="F383" s="26" t="s">
        <v>4385</v>
      </c>
      <c r="G383" s="26" t="s">
        <v>4386</v>
      </c>
      <c r="H383" s="100">
        <f t="shared" si="33"/>
        <v>309.0625</v>
      </c>
      <c r="I383" s="101">
        <v>49.45</v>
      </c>
      <c r="M383" s="99" t="s">
        <v>7072</v>
      </c>
    </row>
    <row r="384" spans="1:13" s="99" customFormat="1">
      <c r="A384" s="99" t="s">
        <v>3991</v>
      </c>
      <c r="B384" s="98">
        <v>41484</v>
      </c>
      <c r="C384" s="99" t="s">
        <v>436</v>
      </c>
      <c r="D384" s="99">
        <v>1</v>
      </c>
      <c r="E384" s="99" t="s">
        <v>3992</v>
      </c>
      <c r="F384" s="26" t="s">
        <v>4364</v>
      </c>
      <c r="G384" s="26" t="s">
        <v>4103</v>
      </c>
      <c r="H384" s="100">
        <f>I384/0.16</f>
        <v>175.4375</v>
      </c>
      <c r="I384" s="100">
        <v>28.07</v>
      </c>
      <c r="K384" s="107"/>
    </row>
    <row r="385" spans="1:12" s="99" customFormat="1">
      <c r="A385" s="99" t="s">
        <v>3991</v>
      </c>
      <c r="B385" s="98">
        <v>41484</v>
      </c>
      <c r="C385" s="99" t="s">
        <v>436</v>
      </c>
      <c r="D385" s="99">
        <v>1</v>
      </c>
      <c r="E385" s="99" t="s">
        <v>3992</v>
      </c>
      <c r="F385" s="26" t="s">
        <v>4364</v>
      </c>
      <c r="G385" s="26" t="s">
        <v>4103</v>
      </c>
      <c r="H385" s="100">
        <f>I385/0.16</f>
        <v>206.4375</v>
      </c>
      <c r="I385" s="100">
        <v>33.03</v>
      </c>
    </row>
    <row r="386" spans="1:12" s="99" customFormat="1">
      <c r="A386" s="99" t="s">
        <v>3991</v>
      </c>
      <c r="B386" s="98">
        <v>41484</v>
      </c>
      <c r="C386" s="99" t="s">
        <v>436</v>
      </c>
      <c r="D386" s="99">
        <v>1</v>
      </c>
      <c r="E386" s="99" t="s">
        <v>3992</v>
      </c>
      <c r="F386" t="s">
        <v>946</v>
      </c>
      <c r="G386" s="99" t="s">
        <v>947</v>
      </c>
      <c r="H386" s="102">
        <f t="shared" ref="H386:H388" si="34">I386/0.16</f>
        <v>411.31249999999994</v>
      </c>
      <c r="I386" s="102">
        <f>65.21+0.6</f>
        <v>65.809999999999988</v>
      </c>
    </row>
    <row r="387" spans="1:12" s="99" customFormat="1">
      <c r="A387" s="99" t="s">
        <v>3991</v>
      </c>
      <c r="B387" s="98">
        <v>41484</v>
      </c>
      <c r="C387" s="99" t="s">
        <v>436</v>
      </c>
      <c r="D387" s="99">
        <v>1</v>
      </c>
      <c r="E387" s="99" t="s">
        <v>3992</v>
      </c>
      <c r="F387" s="26" t="s">
        <v>1713</v>
      </c>
      <c r="G387" s="26" t="s">
        <v>2914</v>
      </c>
      <c r="H387" s="100">
        <f t="shared" si="34"/>
        <v>195.6875</v>
      </c>
      <c r="I387" s="103">
        <v>31.31</v>
      </c>
      <c r="K387" s="149"/>
      <c r="L387" s="149"/>
    </row>
    <row r="388" spans="1:12" s="99" customFormat="1">
      <c r="A388" s="99" t="s">
        <v>3991</v>
      </c>
      <c r="B388" s="98">
        <v>41484</v>
      </c>
      <c r="C388" s="99" t="s">
        <v>436</v>
      </c>
      <c r="D388" s="99">
        <v>1</v>
      </c>
      <c r="E388" s="99" t="s">
        <v>3992</v>
      </c>
      <c r="F388" s="105" t="s">
        <v>2277</v>
      </c>
      <c r="G388" s="105" t="s">
        <v>2278</v>
      </c>
      <c r="H388" s="106">
        <f t="shared" si="34"/>
        <v>293</v>
      </c>
      <c r="I388" s="101">
        <v>46.88</v>
      </c>
      <c r="J388" s="107">
        <f>5738.13-H381-H382-H383-H384-H385-H386-H387-H388</f>
        <v>5.0000000001659828E-3</v>
      </c>
      <c r="K388" s="107">
        <f>918.1-I381-I382-I383-I384-I385-I386-I387-I388</f>
        <v>0</v>
      </c>
      <c r="L388" s="99" t="s">
        <v>900</v>
      </c>
    </row>
    <row r="389" spans="1:12">
      <c r="A389" t="s">
        <v>3988</v>
      </c>
      <c r="B389" s="1">
        <v>41484</v>
      </c>
      <c r="C389" t="s">
        <v>436</v>
      </c>
      <c r="D389">
        <v>1</v>
      </c>
      <c r="E389" t="s">
        <v>3989</v>
      </c>
      <c r="F389" s="9" t="s">
        <v>2922</v>
      </c>
      <c r="G389" s="9" t="s">
        <v>2923</v>
      </c>
      <c r="H389" s="3">
        <f>I389/0.16</f>
        <v>1109.25</v>
      </c>
      <c r="I389" s="3">
        <v>177.48</v>
      </c>
    </row>
    <row r="390" spans="1:12">
      <c r="A390" t="s">
        <v>3520</v>
      </c>
      <c r="B390" s="1">
        <v>41484</v>
      </c>
      <c r="C390" t="s">
        <v>436</v>
      </c>
      <c r="D390">
        <v>1</v>
      </c>
      <c r="E390" t="s">
        <v>3990</v>
      </c>
      <c r="F390" s="9" t="s">
        <v>2329</v>
      </c>
      <c r="G390" s="9" t="s">
        <v>4387</v>
      </c>
      <c r="H390" s="65">
        <f t="shared" ref="H390:H392" si="35">I390/0.16</f>
        <v>2071.0625</v>
      </c>
      <c r="I390" s="86">
        <v>331.37</v>
      </c>
      <c r="J390" s="3"/>
      <c r="K390" s="3"/>
    </row>
    <row r="391" spans="1:12">
      <c r="A391" t="s">
        <v>3520</v>
      </c>
      <c r="B391" s="1">
        <v>41484</v>
      </c>
      <c r="C391" t="s">
        <v>436</v>
      </c>
      <c r="D391">
        <v>1</v>
      </c>
      <c r="E391" t="s">
        <v>3990</v>
      </c>
      <c r="F391" s="9" t="s">
        <v>2331</v>
      </c>
      <c r="G391" s="9" t="s">
        <v>4388</v>
      </c>
      <c r="H391" s="65">
        <f t="shared" si="35"/>
        <v>382.75</v>
      </c>
      <c r="I391" s="86">
        <v>61.24</v>
      </c>
      <c r="K391" s="3"/>
    </row>
    <row r="392" spans="1:12">
      <c r="A392" t="s">
        <v>3520</v>
      </c>
      <c r="B392" s="1">
        <v>41484</v>
      </c>
      <c r="C392" t="s">
        <v>436</v>
      </c>
      <c r="D392">
        <v>1</v>
      </c>
      <c r="E392" t="s">
        <v>3990</v>
      </c>
      <c r="F392" t="s">
        <v>4389</v>
      </c>
      <c r="G392" t="s">
        <v>4390</v>
      </c>
      <c r="H392" s="46">
        <f t="shared" si="35"/>
        <v>417.5</v>
      </c>
      <c r="I392" s="46">
        <v>66.8</v>
      </c>
      <c r="J392" s="14">
        <f>2871.31-H390-H391-H392</f>
        <v>-2.5000000000545697E-3</v>
      </c>
      <c r="K392" s="3">
        <f>459.41-I390-I391-I392</f>
        <v>0</v>
      </c>
    </row>
    <row r="393" spans="1:12">
      <c r="A393" t="s">
        <v>3516</v>
      </c>
      <c r="B393" s="1">
        <v>41484</v>
      </c>
      <c r="C393" t="s">
        <v>436</v>
      </c>
      <c r="D393">
        <v>1</v>
      </c>
      <c r="E393" t="s">
        <v>3987</v>
      </c>
      <c r="F393" s="81" t="s">
        <v>4378</v>
      </c>
      <c r="G393" s="81" t="s">
        <v>4379</v>
      </c>
      <c r="H393" s="82">
        <f t="shared" ref="H393:H395" si="36">I393/0.16</f>
        <v>57.75</v>
      </c>
      <c r="I393" s="83">
        <v>9.24</v>
      </c>
      <c r="J393" s="3"/>
    </row>
    <row r="394" spans="1:12">
      <c r="A394" t="s">
        <v>3516</v>
      </c>
      <c r="B394" s="1">
        <v>41484</v>
      </c>
      <c r="C394" t="s">
        <v>436</v>
      </c>
      <c r="D394">
        <v>1</v>
      </c>
      <c r="E394" t="s">
        <v>3987</v>
      </c>
      <c r="F394" s="9" t="s">
        <v>2910</v>
      </c>
      <c r="G394" s="9" t="s">
        <v>4380</v>
      </c>
      <c r="H394" s="65">
        <f t="shared" si="36"/>
        <v>103.4375</v>
      </c>
      <c r="I394" s="85">
        <v>16.55</v>
      </c>
    </row>
    <row r="395" spans="1:12">
      <c r="A395" t="s">
        <v>3516</v>
      </c>
      <c r="B395" s="1">
        <v>41484</v>
      </c>
      <c r="C395" t="s">
        <v>436</v>
      </c>
      <c r="D395">
        <v>1</v>
      </c>
      <c r="E395" t="s">
        <v>3987</v>
      </c>
      <c r="F395" s="9" t="s">
        <v>2922</v>
      </c>
      <c r="G395" s="9" t="s">
        <v>2923</v>
      </c>
      <c r="H395" s="65">
        <f t="shared" si="36"/>
        <v>2218.5</v>
      </c>
      <c r="I395" s="86">
        <v>354.96</v>
      </c>
      <c r="J395" s="14">
        <f>2379.69-H393-H394-H395</f>
        <v>2.5000000000545697E-3</v>
      </c>
      <c r="K395" s="14">
        <f>380.75-I393-I394-I395</f>
        <v>0</v>
      </c>
    </row>
    <row r="397" spans="1:12">
      <c r="H397" s="3">
        <f>SUM(H11:H395)</f>
        <v>22763370.4375</v>
      </c>
      <c r="I397" s="3">
        <f>SUM(I11:I395)</f>
        <v>3642139.2699999982</v>
      </c>
    </row>
    <row r="398" spans="1:12">
      <c r="H398" s="3">
        <f>4108165.65-466026.38</f>
        <v>3642139.27</v>
      </c>
      <c r="I398" s="3">
        <f>+I397-H398</f>
        <v>0</v>
      </c>
    </row>
    <row r="403" spans="1:10">
      <c r="A403" s="151"/>
      <c r="B403" s="151"/>
      <c r="C403" s="151"/>
      <c r="D403" s="151"/>
      <c r="E403" s="151"/>
      <c r="F403" s="151" t="s">
        <v>724</v>
      </c>
      <c r="G403" s="151" t="s">
        <v>725</v>
      </c>
      <c r="H403" s="152" t="s">
        <v>732</v>
      </c>
      <c r="I403" s="151" t="s">
        <v>726</v>
      </c>
      <c r="J403" s="151" t="s">
        <v>7073</v>
      </c>
    </row>
    <row r="404" spans="1:10">
      <c r="A404" s="174" t="s">
        <v>7099</v>
      </c>
      <c r="B404">
        <v>85</v>
      </c>
      <c r="F404" s="81" t="s">
        <v>750</v>
      </c>
      <c r="G404" s="81" t="s">
        <v>475</v>
      </c>
      <c r="H404" s="3">
        <f>+I404/0.16</f>
        <v>59.499999999999993</v>
      </c>
      <c r="I404" s="3">
        <f>+SUMIF($F$11:$F$395,F404,$I$11:$I$395)</f>
        <v>9.52</v>
      </c>
    </row>
    <row r="405" spans="1:10">
      <c r="A405" s="174" t="s">
        <v>7099</v>
      </c>
      <c r="B405">
        <v>85</v>
      </c>
      <c r="F405" s="88" t="s">
        <v>1578</v>
      </c>
      <c r="G405" s="89" t="s">
        <v>1579</v>
      </c>
      <c r="H405" s="3">
        <f t="shared" ref="H405:H468" si="37">+I405/0.16</f>
        <v>660.625</v>
      </c>
      <c r="I405" s="3">
        <f t="shared" ref="I405:I468" si="38">+SUMIF($F$11:$F$395,F405,$I$11:$I$395)</f>
        <v>105.7</v>
      </c>
    </row>
    <row r="406" spans="1:10">
      <c r="A406" s="174" t="s">
        <v>7099</v>
      </c>
      <c r="B406">
        <v>85</v>
      </c>
      <c r="F406" s="81" t="s">
        <v>4333</v>
      </c>
      <c r="G406" s="81" t="s">
        <v>4316</v>
      </c>
      <c r="H406" s="3">
        <f t="shared" si="37"/>
        <v>4827.5625</v>
      </c>
      <c r="I406" s="3">
        <f t="shared" si="38"/>
        <v>772.41</v>
      </c>
    </row>
    <row r="407" spans="1:10">
      <c r="A407" s="174" t="s">
        <v>7099</v>
      </c>
      <c r="B407">
        <v>85</v>
      </c>
      <c r="F407" s="69" t="s">
        <v>939</v>
      </c>
      <c r="G407" s="28" t="s">
        <v>940</v>
      </c>
      <c r="H407" s="3">
        <f t="shared" si="37"/>
        <v>2296.3749999999995</v>
      </c>
      <c r="I407" s="3">
        <f t="shared" si="38"/>
        <v>367.41999999999996</v>
      </c>
    </row>
    <row r="408" spans="1:10">
      <c r="A408" s="174" t="s">
        <v>7099</v>
      </c>
      <c r="B408">
        <v>85</v>
      </c>
      <c r="F408" s="81" t="s">
        <v>4352</v>
      </c>
      <c r="G408" s="81" t="s">
        <v>4353</v>
      </c>
      <c r="H408" s="3">
        <f t="shared" si="37"/>
        <v>148275.875</v>
      </c>
      <c r="I408" s="3">
        <f t="shared" si="38"/>
        <v>23724.14</v>
      </c>
    </row>
    <row r="409" spans="1:10">
      <c r="A409" s="174" t="s">
        <v>7099</v>
      </c>
      <c r="B409">
        <v>85</v>
      </c>
      <c r="F409" s="81" t="s">
        <v>4378</v>
      </c>
      <c r="G409" s="81" t="s">
        <v>4379</v>
      </c>
      <c r="H409" s="3">
        <f t="shared" si="37"/>
        <v>57.75</v>
      </c>
      <c r="I409" s="3">
        <f t="shared" si="38"/>
        <v>9.24</v>
      </c>
    </row>
    <row r="410" spans="1:10">
      <c r="A410" s="174" t="s">
        <v>7099</v>
      </c>
      <c r="B410">
        <v>85</v>
      </c>
      <c r="F410" s="81" t="s">
        <v>1649</v>
      </c>
      <c r="G410" s="81" t="s">
        <v>1650</v>
      </c>
      <c r="H410" s="3">
        <f t="shared" si="37"/>
        <v>91.375</v>
      </c>
      <c r="I410" s="3">
        <f t="shared" si="38"/>
        <v>14.62</v>
      </c>
    </row>
    <row r="411" spans="1:10">
      <c r="A411" s="174" t="s">
        <v>7099</v>
      </c>
      <c r="B411">
        <v>85</v>
      </c>
      <c r="F411" s="81" t="s">
        <v>2269</v>
      </c>
      <c r="G411" s="81" t="s">
        <v>4148</v>
      </c>
      <c r="H411" s="3">
        <f t="shared" si="37"/>
        <v>660</v>
      </c>
      <c r="I411" s="3">
        <f t="shared" si="38"/>
        <v>105.6</v>
      </c>
    </row>
    <row r="412" spans="1:10">
      <c r="A412" s="174" t="s">
        <v>7099</v>
      </c>
      <c r="B412">
        <v>85</v>
      </c>
      <c r="F412" s="81" t="s">
        <v>748</v>
      </c>
      <c r="G412" s="81" t="s">
        <v>481</v>
      </c>
      <c r="H412" s="3">
        <f t="shared" si="37"/>
        <v>348.9375</v>
      </c>
      <c r="I412" s="3">
        <f t="shared" si="38"/>
        <v>55.83</v>
      </c>
    </row>
    <row r="413" spans="1:10">
      <c r="A413" s="174" t="s">
        <v>7099</v>
      </c>
      <c r="B413">
        <v>85</v>
      </c>
      <c r="F413" s="81" t="s">
        <v>941</v>
      </c>
      <c r="G413" s="81" t="s">
        <v>1641</v>
      </c>
      <c r="H413" s="3">
        <f t="shared" si="37"/>
        <v>281.75</v>
      </c>
      <c r="I413" s="3">
        <f t="shared" si="38"/>
        <v>45.08</v>
      </c>
    </row>
    <row r="414" spans="1:10">
      <c r="A414" s="174" t="s">
        <v>7099</v>
      </c>
      <c r="B414">
        <v>85</v>
      </c>
      <c r="F414" s="84" t="s">
        <v>745</v>
      </c>
      <c r="G414" s="81" t="s">
        <v>746</v>
      </c>
      <c r="H414" s="3">
        <f t="shared" si="37"/>
        <v>221634.8125</v>
      </c>
      <c r="I414" s="3">
        <f t="shared" si="38"/>
        <v>35461.57</v>
      </c>
    </row>
    <row r="415" spans="1:10">
      <c r="A415" s="174" t="s">
        <v>7099</v>
      </c>
      <c r="B415">
        <v>85</v>
      </c>
      <c r="F415" s="81" t="s">
        <v>736</v>
      </c>
      <c r="G415" s="81" t="s">
        <v>3053</v>
      </c>
      <c r="H415" s="3">
        <f t="shared" si="37"/>
        <v>581992.31249999988</v>
      </c>
      <c r="I415" s="3">
        <f t="shared" si="38"/>
        <v>93118.76999999999</v>
      </c>
    </row>
    <row r="416" spans="1:10">
      <c r="A416" s="174" t="s">
        <v>7099</v>
      </c>
      <c r="B416">
        <v>85</v>
      </c>
      <c r="F416" s="84" t="s">
        <v>734</v>
      </c>
      <c r="G416" s="81" t="s">
        <v>735</v>
      </c>
      <c r="H416" s="3">
        <f t="shared" si="37"/>
        <v>638241.50000000012</v>
      </c>
      <c r="I416" s="3">
        <f t="shared" si="38"/>
        <v>102118.64000000001</v>
      </c>
    </row>
    <row r="417" spans="1:10">
      <c r="A417" s="174" t="s">
        <v>7099</v>
      </c>
      <c r="B417">
        <v>85</v>
      </c>
      <c r="F417" s="28" t="s">
        <v>1651</v>
      </c>
      <c r="G417" s="28" t="s">
        <v>1652</v>
      </c>
      <c r="H417" s="3">
        <f t="shared" si="37"/>
        <v>329.8125</v>
      </c>
      <c r="I417" s="3">
        <f t="shared" si="38"/>
        <v>52.77</v>
      </c>
    </row>
    <row r="418" spans="1:10">
      <c r="A418" s="174" t="s">
        <v>7099</v>
      </c>
      <c r="B418">
        <v>6</v>
      </c>
      <c r="F418" s="81" t="s">
        <v>744</v>
      </c>
      <c r="G418" s="81" t="s">
        <v>210</v>
      </c>
      <c r="H418" s="3">
        <f t="shared" si="37"/>
        <v>8340.1875</v>
      </c>
      <c r="I418" s="3">
        <f t="shared" si="38"/>
        <v>1334.43</v>
      </c>
      <c r="J418">
        <v>333.6</v>
      </c>
    </row>
    <row r="419" spans="1:10">
      <c r="A419" s="174" t="s">
        <v>7099</v>
      </c>
      <c r="B419">
        <v>85</v>
      </c>
      <c r="F419" s="81" t="s">
        <v>840</v>
      </c>
      <c r="G419" s="81" t="s">
        <v>4166</v>
      </c>
      <c r="H419" s="3">
        <f t="shared" si="37"/>
        <v>290</v>
      </c>
      <c r="I419" s="3">
        <f t="shared" si="38"/>
        <v>46.4</v>
      </c>
    </row>
    <row r="420" spans="1:10">
      <c r="A420" s="174" t="s">
        <v>7099</v>
      </c>
      <c r="B420">
        <v>85</v>
      </c>
      <c r="F420" s="87" t="s">
        <v>4377</v>
      </c>
      <c r="G420" s="81" t="s">
        <v>4006</v>
      </c>
      <c r="H420" s="3">
        <f t="shared" si="37"/>
        <v>180602.62499999997</v>
      </c>
      <c r="I420" s="3">
        <f t="shared" si="38"/>
        <v>28896.42</v>
      </c>
    </row>
    <row r="421" spans="1:10">
      <c r="A421" s="174" t="s">
        <v>7099</v>
      </c>
      <c r="B421">
        <v>85</v>
      </c>
      <c r="F421" s="87" t="s">
        <v>821</v>
      </c>
      <c r="G421" s="87" t="s">
        <v>2272</v>
      </c>
      <c r="H421" s="3">
        <f t="shared" si="37"/>
        <v>434.99999999999994</v>
      </c>
      <c r="I421" s="3">
        <f t="shared" si="38"/>
        <v>69.599999999999994</v>
      </c>
    </row>
    <row r="422" spans="1:10">
      <c r="A422" s="174" t="s">
        <v>7099</v>
      </c>
      <c r="B422">
        <v>85</v>
      </c>
      <c r="F422" s="94" t="s">
        <v>827</v>
      </c>
      <c r="G422" s="95" t="s">
        <v>828</v>
      </c>
      <c r="H422" s="3">
        <f t="shared" si="37"/>
        <v>30031.5625</v>
      </c>
      <c r="I422" s="3">
        <f t="shared" si="38"/>
        <v>4805.05</v>
      </c>
    </row>
    <row r="423" spans="1:10">
      <c r="A423" s="174" t="s">
        <v>7099</v>
      </c>
      <c r="B423">
        <v>85</v>
      </c>
      <c r="F423" s="81" t="s">
        <v>2855</v>
      </c>
      <c r="G423" s="81" t="s">
        <v>2724</v>
      </c>
      <c r="H423" s="3">
        <f t="shared" si="37"/>
        <v>3500</v>
      </c>
      <c r="I423" s="3">
        <f t="shared" si="38"/>
        <v>560</v>
      </c>
    </row>
    <row r="424" spans="1:10">
      <c r="A424" s="174" t="s">
        <v>7099</v>
      </c>
      <c r="B424">
        <v>85</v>
      </c>
      <c r="F424" s="87" t="s">
        <v>823</v>
      </c>
      <c r="G424" s="90" t="s">
        <v>824</v>
      </c>
      <c r="H424" s="3">
        <f t="shared" si="37"/>
        <v>423.00000000000006</v>
      </c>
      <c r="I424" s="3">
        <f t="shared" si="38"/>
        <v>67.680000000000007</v>
      </c>
    </row>
    <row r="425" spans="1:10">
      <c r="A425" s="174" t="s">
        <v>7099</v>
      </c>
      <c r="B425">
        <v>85</v>
      </c>
      <c r="F425" s="87" t="s">
        <v>950</v>
      </c>
      <c r="G425" s="90" t="s">
        <v>951</v>
      </c>
      <c r="H425" s="3">
        <f t="shared" si="37"/>
        <v>8006.125</v>
      </c>
      <c r="I425" s="3">
        <f t="shared" si="38"/>
        <v>1280.98</v>
      </c>
    </row>
    <row r="426" spans="1:10">
      <c r="A426" s="174" t="s">
        <v>7099</v>
      </c>
      <c r="B426">
        <v>85</v>
      </c>
      <c r="F426" s="87" t="s">
        <v>825</v>
      </c>
      <c r="G426" s="90" t="s">
        <v>826</v>
      </c>
      <c r="H426" s="3">
        <f t="shared" si="37"/>
        <v>126</v>
      </c>
      <c r="I426" s="3">
        <f t="shared" si="38"/>
        <v>20.16</v>
      </c>
    </row>
    <row r="427" spans="1:10">
      <c r="A427" s="174" t="s">
        <v>7099</v>
      </c>
      <c r="B427">
        <v>85</v>
      </c>
      <c r="F427" s="91" t="s">
        <v>772</v>
      </c>
      <c r="G427" s="81" t="s">
        <v>29</v>
      </c>
      <c r="H427" s="3">
        <f t="shared" si="37"/>
        <v>1014193.1875</v>
      </c>
      <c r="I427" s="3">
        <f t="shared" si="38"/>
        <v>162270.91</v>
      </c>
    </row>
    <row r="428" spans="1:10">
      <c r="A428" s="174" t="s">
        <v>7099</v>
      </c>
      <c r="B428">
        <v>85</v>
      </c>
      <c r="F428" s="28" t="s">
        <v>3395</v>
      </c>
      <c r="G428" s="28" t="s">
        <v>4340</v>
      </c>
      <c r="H428" s="3">
        <f t="shared" si="37"/>
        <v>1545.25</v>
      </c>
      <c r="I428" s="3">
        <f t="shared" si="38"/>
        <v>247.24</v>
      </c>
    </row>
    <row r="429" spans="1:10">
      <c r="A429" s="174" t="s">
        <v>7099</v>
      </c>
      <c r="B429">
        <v>85</v>
      </c>
      <c r="F429" s="87" t="s">
        <v>755</v>
      </c>
      <c r="G429" s="81" t="s">
        <v>756</v>
      </c>
      <c r="H429" s="3">
        <f t="shared" si="37"/>
        <v>616301</v>
      </c>
      <c r="I429" s="3">
        <f t="shared" si="38"/>
        <v>98608.16</v>
      </c>
    </row>
    <row r="430" spans="1:10">
      <c r="A430" s="174" t="s">
        <v>7099</v>
      </c>
      <c r="B430">
        <v>85</v>
      </c>
      <c r="F430" s="81" t="s">
        <v>3389</v>
      </c>
      <c r="G430" s="81" t="s">
        <v>4336</v>
      </c>
      <c r="H430" s="3">
        <f t="shared" si="37"/>
        <v>157.5</v>
      </c>
      <c r="I430" s="3">
        <f t="shared" si="38"/>
        <v>25.2</v>
      </c>
    </row>
    <row r="431" spans="1:10">
      <c r="A431" s="174" t="s">
        <v>7099</v>
      </c>
      <c r="B431">
        <v>85</v>
      </c>
      <c r="F431" s="81" t="s">
        <v>1577</v>
      </c>
      <c r="G431" s="81" t="s">
        <v>1062</v>
      </c>
      <c r="H431" s="3">
        <f t="shared" si="37"/>
        <v>1887.9375</v>
      </c>
      <c r="I431" s="3">
        <f t="shared" si="38"/>
        <v>302.07</v>
      </c>
    </row>
    <row r="432" spans="1:10">
      <c r="A432" s="174" t="s">
        <v>7099</v>
      </c>
      <c r="B432">
        <v>85</v>
      </c>
      <c r="F432" s="81" t="s">
        <v>764</v>
      </c>
      <c r="G432" s="81" t="s">
        <v>100</v>
      </c>
      <c r="H432" s="3">
        <f t="shared" si="37"/>
        <v>21031.875</v>
      </c>
      <c r="I432" s="3">
        <f t="shared" si="38"/>
        <v>3365.1</v>
      </c>
    </row>
    <row r="433" spans="1:9">
      <c r="A433" s="174" t="s">
        <v>7099</v>
      </c>
      <c r="B433">
        <v>85</v>
      </c>
      <c r="F433" s="81" t="s">
        <v>4338</v>
      </c>
      <c r="G433" s="81" t="s">
        <v>4289</v>
      </c>
      <c r="H433" s="3">
        <f t="shared" si="37"/>
        <v>11400</v>
      </c>
      <c r="I433" s="3">
        <f t="shared" si="38"/>
        <v>1824</v>
      </c>
    </row>
    <row r="434" spans="1:9">
      <c r="A434" s="174" t="s">
        <v>7099</v>
      </c>
      <c r="B434">
        <v>85</v>
      </c>
      <c r="F434" s="84" t="s">
        <v>759</v>
      </c>
      <c r="G434" s="81" t="s">
        <v>760</v>
      </c>
      <c r="H434" s="3">
        <f t="shared" si="37"/>
        <v>288927.5</v>
      </c>
      <c r="I434" s="3">
        <f t="shared" si="38"/>
        <v>46228.4</v>
      </c>
    </row>
    <row r="435" spans="1:9">
      <c r="A435" s="174" t="s">
        <v>7099</v>
      </c>
      <c r="B435">
        <v>85</v>
      </c>
      <c r="F435" s="81" t="s">
        <v>773</v>
      </c>
      <c r="G435" s="81" t="s">
        <v>514</v>
      </c>
      <c r="H435" s="3">
        <f t="shared" si="37"/>
        <v>680.25</v>
      </c>
      <c r="I435" s="3">
        <f t="shared" si="38"/>
        <v>108.84</v>
      </c>
    </row>
    <row r="436" spans="1:9">
      <c r="A436" s="174" t="s">
        <v>7099</v>
      </c>
      <c r="B436">
        <v>85</v>
      </c>
      <c r="F436" s="81" t="s">
        <v>767</v>
      </c>
      <c r="G436" s="81" t="s">
        <v>4345</v>
      </c>
      <c r="H436" s="3">
        <f t="shared" si="37"/>
        <v>1019.125</v>
      </c>
      <c r="I436" s="3">
        <f t="shared" si="38"/>
        <v>163.06</v>
      </c>
    </row>
    <row r="437" spans="1:9">
      <c r="A437" s="174" t="s">
        <v>7099</v>
      </c>
      <c r="B437">
        <v>85</v>
      </c>
      <c r="F437" s="81" t="s">
        <v>1587</v>
      </c>
      <c r="G437" s="81" t="s">
        <v>1239</v>
      </c>
      <c r="H437" s="3">
        <f t="shared" si="37"/>
        <v>378</v>
      </c>
      <c r="I437" s="3">
        <f t="shared" si="38"/>
        <v>60.48</v>
      </c>
    </row>
    <row r="438" spans="1:9">
      <c r="A438" s="174" t="s">
        <v>7099</v>
      </c>
      <c r="B438">
        <v>85</v>
      </c>
      <c r="F438" s="84" t="s">
        <v>761</v>
      </c>
      <c r="G438" s="81" t="s">
        <v>762</v>
      </c>
      <c r="H438" s="3">
        <f t="shared" si="37"/>
        <v>535098.125</v>
      </c>
      <c r="I438" s="3">
        <f t="shared" si="38"/>
        <v>85615.7</v>
      </c>
    </row>
    <row r="439" spans="1:9">
      <c r="A439" s="174" t="s">
        <v>7099</v>
      </c>
      <c r="B439">
        <v>85</v>
      </c>
      <c r="F439" s="81" t="s">
        <v>2290</v>
      </c>
      <c r="G439" s="81" t="s">
        <v>2064</v>
      </c>
      <c r="H439" s="3">
        <f t="shared" si="37"/>
        <v>425</v>
      </c>
      <c r="I439" s="3">
        <f t="shared" si="38"/>
        <v>68</v>
      </c>
    </row>
    <row r="440" spans="1:9">
      <c r="A440" s="174" t="s">
        <v>7099</v>
      </c>
      <c r="B440">
        <v>85</v>
      </c>
      <c r="F440" s="87" t="s">
        <v>775</v>
      </c>
      <c r="G440" s="81" t="s">
        <v>776</v>
      </c>
      <c r="H440" s="3">
        <f t="shared" si="37"/>
        <v>850989.25</v>
      </c>
      <c r="I440" s="3">
        <f t="shared" si="38"/>
        <v>136158.28</v>
      </c>
    </row>
    <row r="441" spans="1:9">
      <c r="A441" s="174" t="s">
        <v>7099</v>
      </c>
      <c r="B441">
        <v>85</v>
      </c>
      <c r="F441" s="81" t="s">
        <v>1594</v>
      </c>
      <c r="G441" s="81" t="s">
        <v>4344</v>
      </c>
      <c r="H441" s="3">
        <f t="shared" si="37"/>
        <v>7330</v>
      </c>
      <c r="I441" s="3">
        <f t="shared" si="38"/>
        <v>1172.8</v>
      </c>
    </row>
    <row r="442" spans="1:9">
      <c r="A442" s="174" t="s">
        <v>7099</v>
      </c>
      <c r="B442">
        <v>85</v>
      </c>
      <c r="F442" s="81" t="s">
        <v>781</v>
      </c>
      <c r="G442" s="81" t="s">
        <v>80</v>
      </c>
      <c r="H442" s="3">
        <f t="shared" si="37"/>
        <v>4696</v>
      </c>
      <c r="I442" s="3">
        <f t="shared" si="38"/>
        <v>751.36</v>
      </c>
    </row>
    <row r="443" spans="1:9">
      <c r="A443" s="174" t="s">
        <v>7099</v>
      </c>
      <c r="B443">
        <v>85</v>
      </c>
      <c r="F443" s="81" t="s">
        <v>3362</v>
      </c>
      <c r="G443" s="81" t="s">
        <v>3312</v>
      </c>
      <c r="H443" s="3">
        <f t="shared" si="37"/>
        <v>1714</v>
      </c>
      <c r="I443" s="3">
        <f t="shared" si="38"/>
        <v>274.24</v>
      </c>
    </row>
    <row r="444" spans="1:9">
      <c r="A444" s="174" t="s">
        <v>7099</v>
      </c>
      <c r="B444">
        <v>85</v>
      </c>
      <c r="F444" s="93" t="s">
        <v>4346</v>
      </c>
      <c r="G444" s="81" t="s">
        <v>4318</v>
      </c>
      <c r="H444" s="3">
        <f t="shared" si="37"/>
        <v>20937.9375</v>
      </c>
      <c r="I444" s="3">
        <f t="shared" si="38"/>
        <v>3350.07</v>
      </c>
    </row>
    <row r="445" spans="1:9">
      <c r="A445" s="174" t="s">
        <v>7099</v>
      </c>
      <c r="B445">
        <v>85</v>
      </c>
      <c r="F445" s="81" t="s">
        <v>780</v>
      </c>
      <c r="G445" s="81" t="s">
        <v>373</v>
      </c>
      <c r="H445" s="3">
        <f t="shared" si="37"/>
        <v>44022.687499999993</v>
      </c>
      <c r="I445" s="3">
        <f t="shared" si="38"/>
        <v>7043.6299999999992</v>
      </c>
    </row>
    <row r="446" spans="1:9">
      <c r="A446" s="174" t="s">
        <v>7099</v>
      </c>
      <c r="B446">
        <v>85</v>
      </c>
      <c r="F446" s="28" t="s">
        <v>935</v>
      </c>
      <c r="G446" s="28" t="s">
        <v>936</v>
      </c>
      <c r="H446" s="3">
        <f t="shared" si="37"/>
        <v>309</v>
      </c>
      <c r="I446" s="3">
        <f t="shared" si="38"/>
        <v>49.44</v>
      </c>
    </row>
    <row r="447" spans="1:9">
      <c r="A447" s="174" t="s">
        <v>7099</v>
      </c>
      <c r="B447">
        <v>85</v>
      </c>
      <c r="F447" s="9" t="s">
        <v>784</v>
      </c>
      <c r="G447" s="9" t="s">
        <v>618</v>
      </c>
      <c r="H447" s="3">
        <f t="shared" si="37"/>
        <v>383.8125</v>
      </c>
      <c r="I447" s="3">
        <f t="shared" si="38"/>
        <v>61.410000000000004</v>
      </c>
    </row>
    <row r="448" spans="1:9">
      <c r="A448" s="174" t="s">
        <v>7099</v>
      </c>
      <c r="B448">
        <v>85</v>
      </c>
      <c r="F448" s="9" t="s">
        <v>739</v>
      </c>
      <c r="G448" s="9" t="s">
        <v>4334</v>
      </c>
      <c r="H448" s="3">
        <f t="shared" si="37"/>
        <v>746.5</v>
      </c>
      <c r="I448" s="3">
        <f t="shared" si="38"/>
        <v>119.44</v>
      </c>
    </row>
    <row r="449" spans="1:9">
      <c r="A449" s="174" t="s">
        <v>7099</v>
      </c>
      <c r="B449">
        <v>85</v>
      </c>
      <c r="F449" s="9" t="s">
        <v>788</v>
      </c>
      <c r="G449" s="9" t="s">
        <v>569</v>
      </c>
      <c r="H449" s="3">
        <f t="shared" si="37"/>
        <v>74.125</v>
      </c>
      <c r="I449" s="3">
        <f t="shared" si="38"/>
        <v>11.86</v>
      </c>
    </row>
    <row r="450" spans="1:9">
      <c r="A450" s="174" t="s">
        <v>7099</v>
      </c>
      <c r="B450">
        <v>85</v>
      </c>
      <c r="F450" s="9" t="s">
        <v>789</v>
      </c>
      <c r="G450" s="9" t="s">
        <v>1444</v>
      </c>
      <c r="H450" s="3">
        <f t="shared" si="37"/>
        <v>76.8125</v>
      </c>
      <c r="I450" s="3">
        <f t="shared" si="38"/>
        <v>12.29</v>
      </c>
    </row>
    <row r="451" spans="1:9">
      <c r="A451" s="174" t="s">
        <v>7099</v>
      </c>
      <c r="B451">
        <v>85</v>
      </c>
      <c r="F451" s="28" t="s">
        <v>4349</v>
      </c>
      <c r="G451" s="28" t="s">
        <v>4139</v>
      </c>
      <c r="H451" s="3">
        <f t="shared" si="37"/>
        <v>459.375</v>
      </c>
      <c r="I451" s="3">
        <f t="shared" si="38"/>
        <v>73.5</v>
      </c>
    </row>
    <row r="452" spans="1:9">
      <c r="A452" s="174" t="s">
        <v>7099</v>
      </c>
      <c r="B452">
        <v>85</v>
      </c>
      <c r="F452" s="28" t="s">
        <v>954</v>
      </c>
      <c r="G452" s="28" t="s">
        <v>2276</v>
      </c>
      <c r="H452" s="3">
        <f t="shared" si="37"/>
        <v>334</v>
      </c>
      <c r="I452" s="3">
        <f t="shared" si="38"/>
        <v>53.44</v>
      </c>
    </row>
    <row r="453" spans="1:9">
      <c r="A453" s="174" t="s">
        <v>7099</v>
      </c>
      <c r="B453">
        <v>85</v>
      </c>
      <c r="F453" s="9" t="s">
        <v>794</v>
      </c>
      <c r="G453" s="9" t="s">
        <v>612</v>
      </c>
      <c r="H453" s="3">
        <f t="shared" si="37"/>
        <v>150.6875</v>
      </c>
      <c r="I453" s="3">
        <f t="shared" si="38"/>
        <v>24.11</v>
      </c>
    </row>
    <row r="454" spans="1:9">
      <c r="A454" s="174" t="s">
        <v>7099</v>
      </c>
      <c r="B454">
        <v>85</v>
      </c>
      <c r="F454" s="13" t="s">
        <v>1598</v>
      </c>
      <c r="G454" s="9" t="s">
        <v>1599</v>
      </c>
      <c r="H454" s="3">
        <f t="shared" si="37"/>
        <v>638241.93749999988</v>
      </c>
      <c r="I454" s="3">
        <f t="shared" si="38"/>
        <v>102118.70999999999</v>
      </c>
    </row>
    <row r="455" spans="1:9">
      <c r="A455" s="174" t="s">
        <v>7099</v>
      </c>
      <c r="B455">
        <v>85</v>
      </c>
      <c r="F455" s="9" t="s">
        <v>778</v>
      </c>
      <c r="G455" s="9" t="s">
        <v>779</v>
      </c>
      <c r="H455" s="3">
        <f t="shared" si="37"/>
        <v>1000</v>
      </c>
      <c r="I455" s="3">
        <f t="shared" si="38"/>
        <v>160</v>
      </c>
    </row>
    <row r="456" spans="1:9">
      <c r="A456" s="174" t="s">
        <v>7099</v>
      </c>
      <c r="B456">
        <v>85</v>
      </c>
      <c r="F456" s="28" t="s">
        <v>4350</v>
      </c>
      <c r="G456" s="28" t="s">
        <v>4351</v>
      </c>
      <c r="H456" s="3">
        <f t="shared" si="37"/>
        <v>83.5</v>
      </c>
      <c r="I456" s="3">
        <f t="shared" si="38"/>
        <v>13.36</v>
      </c>
    </row>
    <row r="457" spans="1:9">
      <c r="A457" s="174" t="s">
        <v>7099</v>
      </c>
      <c r="B457">
        <v>85</v>
      </c>
      <c r="F457" s="9" t="s">
        <v>798</v>
      </c>
      <c r="G457" s="9" t="s">
        <v>77</v>
      </c>
      <c r="H457" s="3">
        <f t="shared" si="37"/>
        <v>3720.8125</v>
      </c>
      <c r="I457" s="3">
        <f t="shared" si="38"/>
        <v>595.33000000000004</v>
      </c>
    </row>
    <row r="458" spans="1:9">
      <c r="A458" s="174" t="s">
        <v>7099</v>
      </c>
      <c r="B458">
        <v>85</v>
      </c>
      <c r="F458" s="26" t="s">
        <v>1713</v>
      </c>
      <c r="G458" s="26" t="s">
        <v>2914</v>
      </c>
      <c r="H458" s="3">
        <f t="shared" si="37"/>
        <v>195.6875</v>
      </c>
      <c r="I458" s="3">
        <f t="shared" si="38"/>
        <v>31.31</v>
      </c>
    </row>
    <row r="459" spans="1:9">
      <c r="A459" s="174" t="s">
        <v>7099</v>
      </c>
      <c r="B459">
        <v>85</v>
      </c>
      <c r="F459" t="s">
        <v>946</v>
      </c>
      <c r="G459" t="s">
        <v>947</v>
      </c>
      <c r="H459" s="3">
        <f t="shared" si="37"/>
        <v>13422.562499999998</v>
      </c>
      <c r="I459" s="3">
        <f t="shared" si="38"/>
        <v>2147.6099999999997</v>
      </c>
    </row>
    <row r="460" spans="1:9">
      <c r="A460" s="174" t="s">
        <v>7099</v>
      </c>
      <c r="B460">
        <v>85</v>
      </c>
      <c r="F460" s="28" t="s">
        <v>1687</v>
      </c>
      <c r="G460" s="28" t="s">
        <v>1688</v>
      </c>
      <c r="H460" s="3">
        <f t="shared" si="37"/>
        <v>1002.3125</v>
      </c>
      <c r="I460" s="3">
        <f t="shared" si="38"/>
        <v>160.37</v>
      </c>
    </row>
    <row r="461" spans="1:9">
      <c r="A461" s="174" t="s">
        <v>7099</v>
      </c>
      <c r="B461">
        <v>85</v>
      </c>
      <c r="F461" s="9" t="s">
        <v>797</v>
      </c>
      <c r="G461" s="9" t="s">
        <v>220</v>
      </c>
      <c r="H461" s="3">
        <f t="shared" si="37"/>
        <v>9995</v>
      </c>
      <c r="I461" s="3">
        <f t="shared" si="38"/>
        <v>1599.2</v>
      </c>
    </row>
    <row r="462" spans="1:9">
      <c r="A462" s="174" t="s">
        <v>7099</v>
      </c>
      <c r="B462">
        <v>85</v>
      </c>
      <c r="F462" s="9" t="s">
        <v>2285</v>
      </c>
      <c r="G462" s="9" t="s">
        <v>3820</v>
      </c>
      <c r="H462" s="3">
        <f t="shared" si="37"/>
        <v>1130056.6875</v>
      </c>
      <c r="I462" s="3">
        <f t="shared" si="38"/>
        <v>180809.07</v>
      </c>
    </row>
    <row r="463" spans="1:9">
      <c r="A463" s="174" t="s">
        <v>7099</v>
      </c>
      <c r="B463">
        <v>85</v>
      </c>
      <c r="F463" s="28" t="s">
        <v>2277</v>
      </c>
      <c r="G463" s="28" t="s">
        <v>2278</v>
      </c>
      <c r="H463" s="3">
        <f t="shared" si="37"/>
        <v>627.125</v>
      </c>
      <c r="I463" s="3">
        <f t="shared" si="38"/>
        <v>100.34</v>
      </c>
    </row>
    <row r="464" spans="1:9">
      <c r="A464" s="174" t="s">
        <v>7099</v>
      </c>
      <c r="B464">
        <v>85</v>
      </c>
      <c r="F464" s="9" t="s">
        <v>1600</v>
      </c>
      <c r="G464" s="9" t="s">
        <v>1011</v>
      </c>
      <c r="H464" s="3">
        <f t="shared" si="37"/>
        <v>20758.75</v>
      </c>
      <c r="I464" s="3">
        <f t="shared" si="38"/>
        <v>3321.4</v>
      </c>
    </row>
    <row r="465" spans="1:10">
      <c r="A465" s="174" t="s">
        <v>7099</v>
      </c>
      <c r="B465">
        <v>85</v>
      </c>
      <c r="F465" s="9" t="s">
        <v>2853</v>
      </c>
      <c r="G465" s="9" t="s">
        <v>2571</v>
      </c>
      <c r="H465" s="3">
        <f t="shared" si="37"/>
        <v>156.875</v>
      </c>
      <c r="I465" s="3">
        <f t="shared" si="38"/>
        <v>25.1</v>
      </c>
    </row>
    <row r="466" spans="1:10">
      <c r="A466" s="174" t="s">
        <v>7099</v>
      </c>
      <c r="B466">
        <v>85</v>
      </c>
      <c r="F466" s="12" t="s">
        <v>830</v>
      </c>
      <c r="G466" s="20" t="s">
        <v>831</v>
      </c>
      <c r="H466" s="3">
        <f t="shared" si="37"/>
        <v>475.99999999999994</v>
      </c>
      <c r="I466" s="3">
        <f t="shared" si="38"/>
        <v>76.16</v>
      </c>
    </row>
    <row r="467" spans="1:10">
      <c r="A467" s="174" t="s">
        <v>7099</v>
      </c>
      <c r="B467">
        <v>85</v>
      </c>
      <c r="F467" s="9" t="s">
        <v>803</v>
      </c>
      <c r="G467" s="9" t="s">
        <v>74</v>
      </c>
      <c r="H467" s="3">
        <f t="shared" si="37"/>
        <v>37854.4375</v>
      </c>
      <c r="I467" s="3">
        <f t="shared" si="38"/>
        <v>6056.71</v>
      </c>
    </row>
    <row r="468" spans="1:10">
      <c r="A468" s="174" t="s">
        <v>7099</v>
      </c>
      <c r="B468">
        <v>85</v>
      </c>
      <c r="F468" s="9" t="s">
        <v>805</v>
      </c>
      <c r="G468" s="9" t="s">
        <v>112</v>
      </c>
      <c r="H468" s="3">
        <f t="shared" si="37"/>
        <v>25000</v>
      </c>
      <c r="I468" s="3">
        <f t="shared" si="38"/>
        <v>4000</v>
      </c>
    </row>
    <row r="469" spans="1:10">
      <c r="A469" s="174" t="s">
        <v>7099</v>
      </c>
      <c r="B469">
        <v>85</v>
      </c>
      <c r="F469" s="9" t="s">
        <v>2922</v>
      </c>
      <c r="G469" s="9" t="s">
        <v>2923</v>
      </c>
      <c r="H469" s="3">
        <f t="shared" ref="H469:H532" si="39">+I469/0.16</f>
        <v>3327.7499999999995</v>
      </c>
      <c r="I469" s="3">
        <f t="shared" ref="I469:I532" si="40">+SUMIF($F$11:$F$395,F469,$I$11:$I$395)</f>
        <v>532.43999999999994</v>
      </c>
    </row>
    <row r="470" spans="1:10">
      <c r="A470" s="174" t="s">
        <v>7099</v>
      </c>
      <c r="B470">
        <v>85</v>
      </c>
      <c r="F470" s="9" t="s">
        <v>2329</v>
      </c>
      <c r="G470" s="9" t="s">
        <v>4387</v>
      </c>
      <c r="H470" s="3">
        <f t="shared" si="39"/>
        <v>2071.0625</v>
      </c>
      <c r="I470" s="3">
        <f t="shared" si="40"/>
        <v>331.37</v>
      </c>
    </row>
    <row r="471" spans="1:10">
      <c r="A471" s="174" t="s">
        <v>7099</v>
      </c>
      <c r="B471">
        <v>6</v>
      </c>
      <c r="F471" s="9" t="s">
        <v>802</v>
      </c>
      <c r="G471" s="9" t="s">
        <v>226</v>
      </c>
      <c r="H471" s="3">
        <f t="shared" si="39"/>
        <v>252.99999999999997</v>
      </c>
      <c r="I471" s="3">
        <f t="shared" si="40"/>
        <v>40.479999999999997</v>
      </c>
      <c r="J471">
        <v>5.64</v>
      </c>
    </row>
    <row r="472" spans="1:10">
      <c r="A472" s="174" t="s">
        <v>7099</v>
      </c>
      <c r="B472">
        <v>85</v>
      </c>
      <c r="F472" s="9" t="s">
        <v>806</v>
      </c>
      <c r="G472" s="9" t="s">
        <v>207</v>
      </c>
      <c r="H472" s="3">
        <f t="shared" si="39"/>
        <v>2968</v>
      </c>
      <c r="I472" s="3">
        <f t="shared" si="40"/>
        <v>474.88</v>
      </c>
    </row>
    <row r="473" spans="1:10">
      <c r="A473" s="174" t="s">
        <v>7099</v>
      </c>
      <c r="B473">
        <v>85</v>
      </c>
      <c r="F473" s="17" t="s">
        <v>814</v>
      </c>
      <c r="G473" s="9" t="s">
        <v>815</v>
      </c>
      <c r="H473" s="3">
        <f t="shared" si="39"/>
        <v>-199344.9375</v>
      </c>
      <c r="I473" s="3">
        <f t="shared" si="40"/>
        <v>-31895.19</v>
      </c>
    </row>
    <row r="474" spans="1:10">
      <c r="A474" s="174" t="s">
        <v>7099</v>
      </c>
      <c r="B474">
        <v>6</v>
      </c>
      <c r="F474" s="18" t="s">
        <v>816</v>
      </c>
      <c r="G474" s="19" t="s">
        <v>5</v>
      </c>
      <c r="H474" s="3">
        <f t="shared" si="39"/>
        <v>107142.875</v>
      </c>
      <c r="I474" s="3">
        <f t="shared" si="40"/>
        <v>17142.86</v>
      </c>
      <c r="J474">
        <v>11428.57</v>
      </c>
    </row>
    <row r="475" spans="1:10">
      <c r="A475" s="174" t="s">
        <v>7099</v>
      </c>
      <c r="B475">
        <v>85</v>
      </c>
      <c r="F475" s="9" t="s">
        <v>2347</v>
      </c>
      <c r="G475" s="9" t="s">
        <v>4359</v>
      </c>
      <c r="H475" s="3">
        <f t="shared" si="39"/>
        <v>155.125</v>
      </c>
      <c r="I475" s="3">
        <f t="shared" si="40"/>
        <v>24.82</v>
      </c>
    </row>
    <row r="476" spans="1:10">
      <c r="A476" s="174" t="s">
        <v>7099</v>
      </c>
      <c r="B476">
        <v>85</v>
      </c>
      <c r="F476" s="9" t="s">
        <v>738</v>
      </c>
      <c r="G476" s="9" t="s">
        <v>2268</v>
      </c>
      <c r="H476" s="3">
        <f t="shared" si="39"/>
        <v>234.68749999999997</v>
      </c>
      <c r="I476" s="3">
        <f t="shared" si="40"/>
        <v>37.549999999999997</v>
      </c>
    </row>
    <row r="477" spans="1:10">
      <c r="A477" s="174" t="s">
        <v>7099</v>
      </c>
      <c r="B477">
        <v>85</v>
      </c>
      <c r="F477" s="9" t="s">
        <v>952</v>
      </c>
      <c r="G477" s="9" t="s">
        <v>115</v>
      </c>
      <c r="H477" s="3">
        <f t="shared" si="39"/>
        <v>4069.8749999999995</v>
      </c>
      <c r="I477" s="3">
        <f t="shared" si="40"/>
        <v>651.17999999999995</v>
      </c>
    </row>
    <row r="478" spans="1:10">
      <c r="A478" s="174" t="s">
        <v>7099</v>
      </c>
      <c r="B478">
        <v>85</v>
      </c>
      <c r="F478" s="9" t="s">
        <v>2305</v>
      </c>
      <c r="G478" s="9" t="s">
        <v>2157</v>
      </c>
      <c r="H478" s="3">
        <f t="shared" si="39"/>
        <v>3764.9375</v>
      </c>
      <c r="I478" s="3">
        <f t="shared" si="40"/>
        <v>602.39</v>
      </c>
    </row>
    <row r="479" spans="1:10">
      <c r="A479" s="174" t="s">
        <v>7099</v>
      </c>
      <c r="B479">
        <v>85</v>
      </c>
      <c r="F479" s="9" t="s">
        <v>4355</v>
      </c>
      <c r="G479" s="9" t="s">
        <v>4204</v>
      </c>
      <c r="H479" s="3">
        <f t="shared" si="39"/>
        <v>132</v>
      </c>
      <c r="I479" s="3">
        <f t="shared" si="40"/>
        <v>21.12</v>
      </c>
    </row>
    <row r="480" spans="1:10">
      <c r="A480" s="174" t="s">
        <v>7099</v>
      </c>
      <c r="B480">
        <v>85</v>
      </c>
      <c r="F480" s="9" t="s">
        <v>820</v>
      </c>
      <c r="G480" s="9" t="s">
        <v>97</v>
      </c>
      <c r="H480" s="3">
        <f t="shared" si="39"/>
        <v>3802.5</v>
      </c>
      <c r="I480" s="3">
        <f t="shared" si="40"/>
        <v>608.4</v>
      </c>
    </row>
    <row r="481" spans="1:10">
      <c r="A481" s="174" t="s">
        <v>7099</v>
      </c>
      <c r="B481">
        <v>6</v>
      </c>
      <c r="F481" s="9" t="s">
        <v>4354</v>
      </c>
      <c r="G481" s="9" t="s">
        <v>4268</v>
      </c>
      <c r="H481" s="3">
        <f t="shared" si="39"/>
        <v>4050.3124999999995</v>
      </c>
      <c r="I481" s="3">
        <f t="shared" si="40"/>
        <v>648.04999999999995</v>
      </c>
      <c r="J481">
        <v>435.12</v>
      </c>
    </row>
    <row r="482" spans="1:10">
      <c r="A482" s="174" t="s">
        <v>7099</v>
      </c>
      <c r="B482">
        <v>85</v>
      </c>
      <c r="F482" s="9" t="s">
        <v>1706</v>
      </c>
      <c r="G482" s="9" t="s">
        <v>1707</v>
      </c>
      <c r="H482" s="3">
        <f t="shared" si="39"/>
        <v>64.6875</v>
      </c>
      <c r="I482" s="3">
        <f t="shared" si="40"/>
        <v>10.35</v>
      </c>
    </row>
    <row r="483" spans="1:10">
      <c r="A483" s="174" t="s">
        <v>7099</v>
      </c>
      <c r="B483">
        <v>85</v>
      </c>
      <c r="F483" s="9" t="s">
        <v>1615</v>
      </c>
      <c r="G483" s="9" t="s">
        <v>4145</v>
      </c>
      <c r="H483" s="3">
        <f t="shared" si="39"/>
        <v>248.1875</v>
      </c>
      <c r="I483" s="3">
        <f t="shared" si="40"/>
        <v>39.71</v>
      </c>
    </row>
    <row r="484" spans="1:10">
      <c r="A484" s="174" t="s">
        <v>7099</v>
      </c>
      <c r="B484">
        <v>85</v>
      </c>
      <c r="F484" s="9" t="s">
        <v>818</v>
      </c>
      <c r="G484" s="9" t="s">
        <v>584</v>
      </c>
      <c r="H484" s="3">
        <f t="shared" si="39"/>
        <v>469.87499999999994</v>
      </c>
      <c r="I484" s="3">
        <f t="shared" si="40"/>
        <v>75.179999999999993</v>
      </c>
    </row>
    <row r="485" spans="1:10">
      <c r="A485" s="174" t="s">
        <v>7099</v>
      </c>
      <c r="B485">
        <v>85</v>
      </c>
      <c r="F485" s="9" t="s">
        <v>733</v>
      </c>
      <c r="G485" s="9" t="s">
        <v>124</v>
      </c>
      <c r="H485" s="3">
        <f t="shared" si="39"/>
        <v>45014.6875</v>
      </c>
      <c r="I485" s="3">
        <f t="shared" si="40"/>
        <v>7202.35</v>
      </c>
    </row>
    <row r="486" spans="1:10">
      <c r="A486" s="174" t="s">
        <v>7099</v>
      </c>
      <c r="B486">
        <v>85</v>
      </c>
      <c r="F486" s="9" t="s">
        <v>839</v>
      </c>
      <c r="G486" s="9" t="s">
        <v>229</v>
      </c>
      <c r="H486" s="3">
        <f t="shared" si="39"/>
        <v>2360</v>
      </c>
      <c r="I486" s="3">
        <f t="shared" si="40"/>
        <v>377.6</v>
      </c>
    </row>
    <row r="487" spans="1:10">
      <c r="A487" s="174" t="s">
        <v>7099</v>
      </c>
      <c r="B487">
        <v>85</v>
      </c>
      <c r="F487" s="9" t="s">
        <v>842</v>
      </c>
      <c r="G487" s="9" t="s">
        <v>4199</v>
      </c>
      <c r="H487" s="3">
        <f t="shared" si="39"/>
        <v>1500</v>
      </c>
      <c r="I487" s="3">
        <f t="shared" si="40"/>
        <v>240</v>
      </c>
    </row>
    <row r="488" spans="1:10">
      <c r="A488" s="174" t="s">
        <v>7099</v>
      </c>
      <c r="B488">
        <v>6</v>
      </c>
      <c r="F488" s="18" t="s">
        <v>843</v>
      </c>
      <c r="G488" s="19" t="s">
        <v>844</v>
      </c>
      <c r="H488" s="3">
        <f t="shared" si="39"/>
        <v>107142.875</v>
      </c>
      <c r="I488" s="3">
        <f t="shared" si="40"/>
        <v>17142.86</v>
      </c>
      <c r="J488">
        <v>11428.57</v>
      </c>
    </row>
    <row r="489" spans="1:10">
      <c r="A489" s="174" t="s">
        <v>7099</v>
      </c>
      <c r="B489">
        <v>85</v>
      </c>
      <c r="F489" s="9" t="s">
        <v>4366</v>
      </c>
      <c r="G489" s="9" t="s">
        <v>4367</v>
      </c>
      <c r="H489" s="3">
        <f t="shared" si="39"/>
        <v>224.125</v>
      </c>
      <c r="I489" s="3">
        <f t="shared" si="40"/>
        <v>35.86</v>
      </c>
    </row>
    <row r="490" spans="1:10">
      <c r="A490" s="174" t="s">
        <v>7099</v>
      </c>
      <c r="B490">
        <v>85</v>
      </c>
      <c r="F490" s="9" t="s">
        <v>846</v>
      </c>
      <c r="G490" s="9" t="s">
        <v>287</v>
      </c>
      <c r="H490" s="3">
        <f t="shared" si="39"/>
        <v>1112.0625</v>
      </c>
      <c r="I490" s="3">
        <f t="shared" si="40"/>
        <v>177.93</v>
      </c>
    </row>
    <row r="491" spans="1:10">
      <c r="A491" s="174" t="s">
        <v>7099</v>
      </c>
      <c r="B491">
        <v>85</v>
      </c>
      <c r="F491" s="9" t="s">
        <v>1620</v>
      </c>
      <c r="G491" s="9" t="s">
        <v>1186</v>
      </c>
      <c r="H491" s="3">
        <f t="shared" si="39"/>
        <v>150</v>
      </c>
      <c r="I491" s="3">
        <f t="shared" si="40"/>
        <v>24</v>
      </c>
    </row>
    <row r="492" spans="1:10">
      <c r="A492" s="174" t="s">
        <v>7099</v>
      </c>
      <c r="B492">
        <v>85</v>
      </c>
      <c r="F492" s="9" t="s">
        <v>847</v>
      </c>
      <c r="G492" s="9" t="s">
        <v>541</v>
      </c>
      <c r="H492" s="3">
        <f t="shared" si="39"/>
        <v>225.56249999999997</v>
      </c>
      <c r="I492" s="3">
        <f t="shared" si="40"/>
        <v>36.089999999999996</v>
      </c>
    </row>
    <row r="493" spans="1:10">
      <c r="A493" s="174" t="s">
        <v>7099</v>
      </c>
      <c r="B493">
        <v>85</v>
      </c>
      <c r="F493" s="12" t="s">
        <v>856</v>
      </c>
      <c r="G493" s="9" t="s">
        <v>2947</v>
      </c>
      <c r="H493" s="3">
        <f t="shared" si="39"/>
        <v>3682654.4999999995</v>
      </c>
      <c r="I493" s="3">
        <f t="shared" si="40"/>
        <v>589224.72</v>
      </c>
    </row>
    <row r="494" spans="1:10">
      <c r="A494" s="174" t="s">
        <v>7099</v>
      </c>
      <c r="B494">
        <v>85</v>
      </c>
      <c r="F494" s="9" t="s">
        <v>851</v>
      </c>
      <c r="G494" s="9" t="s">
        <v>86</v>
      </c>
      <c r="H494" s="3">
        <f t="shared" si="39"/>
        <v>3624.3750000000005</v>
      </c>
      <c r="I494" s="3">
        <f t="shared" si="40"/>
        <v>579.90000000000009</v>
      </c>
    </row>
    <row r="495" spans="1:10">
      <c r="A495" s="174" t="s">
        <v>7099</v>
      </c>
      <c r="B495">
        <v>85</v>
      </c>
      <c r="F495" s="9" t="s">
        <v>2310</v>
      </c>
      <c r="G495" s="9" t="s">
        <v>2114</v>
      </c>
      <c r="H495" s="3">
        <f t="shared" si="39"/>
        <v>300</v>
      </c>
      <c r="I495" s="3">
        <f t="shared" si="40"/>
        <v>48</v>
      </c>
    </row>
    <row r="496" spans="1:10">
      <c r="A496" s="174" t="s">
        <v>7099</v>
      </c>
      <c r="B496">
        <v>85</v>
      </c>
      <c r="F496" s="26" t="s">
        <v>1717</v>
      </c>
      <c r="G496" s="26" t="s">
        <v>4382</v>
      </c>
      <c r="H496" s="3">
        <f t="shared" si="39"/>
        <v>3993.5</v>
      </c>
      <c r="I496" s="3">
        <f t="shared" si="40"/>
        <v>638.96</v>
      </c>
    </row>
    <row r="497" spans="1:9">
      <c r="A497" s="174" t="s">
        <v>7099</v>
      </c>
      <c r="B497">
        <v>85</v>
      </c>
      <c r="F497" s="9" t="s">
        <v>2331</v>
      </c>
      <c r="G497" s="9" t="s">
        <v>4388</v>
      </c>
      <c r="H497" s="3">
        <f t="shared" si="39"/>
        <v>382.75</v>
      </c>
      <c r="I497" s="3">
        <f t="shared" si="40"/>
        <v>61.24</v>
      </c>
    </row>
    <row r="498" spans="1:9">
      <c r="A498" s="174" t="s">
        <v>7099</v>
      </c>
      <c r="B498">
        <v>85</v>
      </c>
      <c r="F498" s="9" t="s">
        <v>2873</v>
      </c>
      <c r="G498" s="9" t="s">
        <v>2874</v>
      </c>
      <c r="H498" s="3">
        <f t="shared" si="39"/>
        <v>41.8125</v>
      </c>
      <c r="I498" s="3">
        <f t="shared" si="40"/>
        <v>6.69</v>
      </c>
    </row>
    <row r="499" spans="1:9">
      <c r="A499" s="174" t="s">
        <v>7099</v>
      </c>
      <c r="B499">
        <v>85</v>
      </c>
      <c r="F499" s="69" t="s">
        <v>925</v>
      </c>
      <c r="G499" s="28" t="s">
        <v>926</v>
      </c>
      <c r="H499" s="3">
        <f t="shared" si="39"/>
        <v>1044</v>
      </c>
      <c r="I499" s="3">
        <f t="shared" si="40"/>
        <v>167.04</v>
      </c>
    </row>
    <row r="500" spans="1:9">
      <c r="A500" s="174" t="s">
        <v>7099</v>
      </c>
      <c r="B500">
        <v>85</v>
      </c>
      <c r="F500" s="9" t="s">
        <v>849</v>
      </c>
      <c r="G500" s="9" t="s">
        <v>127</v>
      </c>
      <c r="H500" s="3">
        <f t="shared" si="39"/>
        <v>2400</v>
      </c>
      <c r="I500" s="3">
        <f t="shared" si="40"/>
        <v>384</v>
      </c>
    </row>
    <row r="501" spans="1:9">
      <c r="A501" s="174" t="s">
        <v>7099</v>
      </c>
      <c r="B501">
        <v>85</v>
      </c>
      <c r="F501" s="9" t="s">
        <v>850</v>
      </c>
      <c r="G501" s="9" t="s">
        <v>89</v>
      </c>
      <c r="H501" s="3">
        <f t="shared" si="39"/>
        <v>39650</v>
      </c>
      <c r="I501" s="3">
        <f t="shared" si="40"/>
        <v>6344</v>
      </c>
    </row>
    <row r="502" spans="1:9">
      <c r="A502" s="174" t="s">
        <v>7099</v>
      </c>
      <c r="B502">
        <v>85</v>
      </c>
      <c r="F502" s="9" t="s">
        <v>4356</v>
      </c>
      <c r="G502" s="9" t="s">
        <v>4357</v>
      </c>
      <c r="H502" s="3">
        <f t="shared" si="39"/>
        <v>81.875</v>
      </c>
      <c r="I502" s="3">
        <f t="shared" si="40"/>
        <v>13.1</v>
      </c>
    </row>
    <row r="503" spans="1:9">
      <c r="A503" s="174" t="s">
        <v>7099</v>
      </c>
      <c r="B503">
        <v>85</v>
      </c>
      <c r="F503" s="26" t="s">
        <v>4383</v>
      </c>
      <c r="G503" s="26" t="s">
        <v>4384</v>
      </c>
      <c r="H503" s="3">
        <f t="shared" si="39"/>
        <v>153.6875</v>
      </c>
      <c r="I503" s="3">
        <f t="shared" si="40"/>
        <v>24.59</v>
      </c>
    </row>
    <row r="504" spans="1:9">
      <c r="A504" s="174" t="s">
        <v>7099</v>
      </c>
      <c r="B504">
        <v>85</v>
      </c>
      <c r="F504" s="9" t="s">
        <v>1626</v>
      </c>
      <c r="G504" s="9" t="s">
        <v>4000</v>
      </c>
      <c r="H504" s="3">
        <f t="shared" si="39"/>
        <v>259912.62499999997</v>
      </c>
      <c r="I504" s="3">
        <f t="shared" si="40"/>
        <v>41586.019999999997</v>
      </c>
    </row>
    <row r="505" spans="1:9">
      <c r="A505" s="174" t="s">
        <v>7099</v>
      </c>
      <c r="B505">
        <v>85</v>
      </c>
      <c r="F505" s="9" t="s">
        <v>858</v>
      </c>
      <c r="G505" s="9" t="s">
        <v>121</v>
      </c>
      <c r="H505" s="3">
        <f t="shared" si="39"/>
        <v>700</v>
      </c>
      <c r="I505" s="3">
        <f t="shared" si="40"/>
        <v>112</v>
      </c>
    </row>
    <row r="506" spans="1:9">
      <c r="A506" s="174" t="s">
        <v>7099</v>
      </c>
      <c r="B506">
        <v>85</v>
      </c>
      <c r="F506" s="9" t="s">
        <v>927</v>
      </c>
      <c r="G506" s="9" t="s">
        <v>3360</v>
      </c>
      <c r="H506" s="3">
        <f t="shared" si="39"/>
        <v>195</v>
      </c>
      <c r="I506" s="3">
        <f t="shared" si="40"/>
        <v>31.200000000000003</v>
      </c>
    </row>
    <row r="507" spans="1:9">
      <c r="A507" s="174" t="s">
        <v>7099</v>
      </c>
      <c r="B507">
        <v>85</v>
      </c>
      <c r="F507" s="9" t="s">
        <v>862</v>
      </c>
      <c r="G507" s="9" t="s">
        <v>4009</v>
      </c>
      <c r="H507" s="3">
        <f t="shared" si="39"/>
        <v>288927.5</v>
      </c>
      <c r="I507" s="3">
        <f t="shared" si="40"/>
        <v>46228.4</v>
      </c>
    </row>
    <row r="508" spans="1:9">
      <c r="A508" s="174" t="s">
        <v>7099</v>
      </c>
      <c r="B508">
        <v>85</v>
      </c>
      <c r="F508" s="26" t="s">
        <v>4385</v>
      </c>
      <c r="G508" s="26" t="s">
        <v>4386</v>
      </c>
      <c r="H508" s="3">
        <f t="shared" si="39"/>
        <v>309.0625</v>
      </c>
      <c r="I508" s="3">
        <f t="shared" si="40"/>
        <v>49.45</v>
      </c>
    </row>
    <row r="509" spans="1:9">
      <c r="A509" s="174" t="s">
        <v>7099</v>
      </c>
      <c r="B509">
        <v>85</v>
      </c>
      <c r="F509" s="9" t="s">
        <v>2862</v>
      </c>
      <c r="G509" s="9" t="s">
        <v>2600</v>
      </c>
      <c r="H509" s="3">
        <f t="shared" si="39"/>
        <v>577.5625</v>
      </c>
      <c r="I509" s="3">
        <f t="shared" si="40"/>
        <v>92.41</v>
      </c>
    </row>
    <row r="510" spans="1:9">
      <c r="A510" s="174" t="s">
        <v>7099</v>
      </c>
      <c r="B510">
        <v>85</v>
      </c>
      <c r="F510" s="28" t="s">
        <v>3777</v>
      </c>
      <c r="G510" s="28" t="s">
        <v>3778</v>
      </c>
      <c r="H510" s="3">
        <f t="shared" si="39"/>
        <v>918.75</v>
      </c>
      <c r="I510" s="3">
        <f t="shared" si="40"/>
        <v>147</v>
      </c>
    </row>
    <row r="511" spans="1:9">
      <c r="A511" s="174" t="s">
        <v>7099</v>
      </c>
      <c r="B511">
        <v>85</v>
      </c>
      <c r="F511" s="9" t="s">
        <v>4361</v>
      </c>
      <c r="G511" s="9" t="s">
        <v>4271</v>
      </c>
      <c r="H511" s="3">
        <f t="shared" si="39"/>
        <v>6866.2499999999991</v>
      </c>
      <c r="I511" s="3">
        <f t="shared" si="40"/>
        <v>1098.5999999999999</v>
      </c>
    </row>
    <row r="512" spans="1:9">
      <c r="A512" s="174" t="s">
        <v>7099</v>
      </c>
      <c r="B512">
        <v>85</v>
      </c>
      <c r="F512" s="9" t="s">
        <v>4360</v>
      </c>
      <c r="G512" s="9" t="s">
        <v>3998</v>
      </c>
      <c r="H512" s="3">
        <f t="shared" si="39"/>
        <v>180602.62499999997</v>
      </c>
      <c r="I512" s="3">
        <f t="shared" si="40"/>
        <v>28896.42</v>
      </c>
    </row>
    <row r="513" spans="1:9">
      <c r="A513" s="174" t="s">
        <v>7099</v>
      </c>
      <c r="B513">
        <v>85</v>
      </c>
      <c r="F513" s="8" t="s">
        <v>921</v>
      </c>
      <c r="G513" s="9" t="s">
        <v>922</v>
      </c>
      <c r="H513" s="3">
        <f t="shared" si="39"/>
        <v>54519.125000000007</v>
      </c>
      <c r="I513" s="3">
        <f t="shared" si="40"/>
        <v>8723.0600000000013</v>
      </c>
    </row>
    <row r="514" spans="1:9">
      <c r="A514" s="174" t="s">
        <v>7099</v>
      </c>
      <c r="B514">
        <v>85</v>
      </c>
      <c r="F514" s="9" t="s">
        <v>2358</v>
      </c>
      <c r="G514" s="9" t="s">
        <v>2359</v>
      </c>
      <c r="H514" s="3">
        <f t="shared" si="39"/>
        <v>45</v>
      </c>
      <c r="I514" s="3">
        <f t="shared" si="40"/>
        <v>7.2</v>
      </c>
    </row>
    <row r="515" spans="1:9">
      <c r="A515" s="174" t="s">
        <v>7099</v>
      </c>
      <c r="B515">
        <v>85</v>
      </c>
      <c r="F515" s="9" t="s">
        <v>866</v>
      </c>
      <c r="G515" s="9" t="s">
        <v>581</v>
      </c>
      <c r="H515" s="3">
        <f t="shared" si="39"/>
        <v>797.4375</v>
      </c>
      <c r="I515" s="3">
        <f t="shared" si="40"/>
        <v>127.59</v>
      </c>
    </row>
    <row r="516" spans="1:9">
      <c r="A516" s="174" t="s">
        <v>7099</v>
      </c>
      <c r="B516">
        <v>85</v>
      </c>
      <c r="F516" s="9" t="s">
        <v>4362</v>
      </c>
      <c r="G516" s="9" t="s">
        <v>4100</v>
      </c>
      <c r="H516" s="3">
        <f t="shared" si="39"/>
        <v>53.4375</v>
      </c>
      <c r="I516" s="3">
        <f t="shared" si="40"/>
        <v>8.5500000000000007</v>
      </c>
    </row>
    <row r="517" spans="1:9">
      <c r="A517" s="174" t="s">
        <v>7099</v>
      </c>
      <c r="B517">
        <v>85</v>
      </c>
      <c r="F517" s="9" t="s">
        <v>869</v>
      </c>
      <c r="G517" s="9" t="s">
        <v>2142</v>
      </c>
      <c r="H517" s="3">
        <f t="shared" si="39"/>
        <v>3959.5</v>
      </c>
      <c r="I517" s="3">
        <f t="shared" si="40"/>
        <v>633.52</v>
      </c>
    </row>
    <row r="518" spans="1:9">
      <c r="A518" s="174" t="s">
        <v>7099</v>
      </c>
      <c r="B518">
        <v>85</v>
      </c>
      <c r="F518" s="9" t="s">
        <v>868</v>
      </c>
      <c r="G518" s="9" t="s">
        <v>94</v>
      </c>
      <c r="H518" s="3">
        <f t="shared" si="39"/>
        <v>80000</v>
      </c>
      <c r="I518" s="3">
        <f t="shared" si="40"/>
        <v>12800</v>
      </c>
    </row>
    <row r="519" spans="1:9">
      <c r="A519" s="174" t="s">
        <v>7099</v>
      </c>
      <c r="B519">
        <v>85</v>
      </c>
      <c r="F519" s="9" t="s">
        <v>742</v>
      </c>
      <c r="G519" s="9" t="s">
        <v>4335</v>
      </c>
      <c r="H519" s="3">
        <f t="shared" si="39"/>
        <v>144.8125</v>
      </c>
      <c r="I519" s="3">
        <f t="shared" si="40"/>
        <v>23.17</v>
      </c>
    </row>
    <row r="520" spans="1:9">
      <c r="A520" s="174" t="s">
        <v>7099</v>
      </c>
      <c r="B520">
        <v>85</v>
      </c>
      <c r="F520" s="9" t="s">
        <v>919</v>
      </c>
      <c r="G520" s="9" t="s">
        <v>920</v>
      </c>
      <c r="H520" s="3">
        <f t="shared" si="39"/>
        <v>269</v>
      </c>
      <c r="I520" s="3">
        <f t="shared" si="40"/>
        <v>43.04</v>
      </c>
    </row>
    <row r="521" spans="1:9">
      <c r="A521" s="174" t="s">
        <v>7099</v>
      </c>
      <c r="B521">
        <v>85</v>
      </c>
      <c r="F521" s="9" t="s">
        <v>2910</v>
      </c>
      <c r="G521" s="9" t="s">
        <v>4380</v>
      </c>
      <c r="H521" s="3">
        <f t="shared" si="39"/>
        <v>103.4375</v>
      </c>
      <c r="I521" s="3">
        <f t="shared" si="40"/>
        <v>16.55</v>
      </c>
    </row>
    <row r="522" spans="1:9">
      <c r="A522" s="174" t="s">
        <v>7099</v>
      </c>
      <c r="B522">
        <v>85</v>
      </c>
      <c r="F522" s="9" t="s">
        <v>1628</v>
      </c>
      <c r="G522" s="9" t="s">
        <v>1497</v>
      </c>
      <c r="H522" s="3">
        <f t="shared" si="39"/>
        <v>316.5</v>
      </c>
      <c r="I522" s="3">
        <f t="shared" si="40"/>
        <v>50.64</v>
      </c>
    </row>
    <row r="523" spans="1:9">
      <c r="A523" s="174" t="s">
        <v>7099</v>
      </c>
      <c r="B523">
        <v>85</v>
      </c>
      <c r="F523" s="28" t="s">
        <v>943</v>
      </c>
      <c r="G523" s="28" t="s">
        <v>3761</v>
      </c>
      <c r="H523" s="3">
        <f t="shared" si="39"/>
        <v>2329.5625</v>
      </c>
      <c r="I523" s="3">
        <f t="shared" si="40"/>
        <v>372.73</v>
      </c>
    </row>
    <row r="524" spans="1:9">
      <c r="A524" s="174" t="s">
        <v>7099</v>
      </c>
      <c r="B524">
        <v>85</v>
      </c>
      <c r="F524" s="28" t="s">
        <v>1684</v>
      </c>
      <c r="G524" s="28" t="s">
        <v>1685</v>
      </c>
      <c r="H524" s="3">
        <f t="shared" si="39"/>
        <v>3132</v>
      </c>
      <c r="I524" s="3">
        <f t="shared" si="40"/>
        <v>501.12</v>
      </c>
    </row>
    <row r="525" spans="1:9">
      <c r="A525" s="174" t="s">
        <v>7099</v>
      </c>
      <c r="B525">
        <v>85</v>
      </c>
      <c r="F525" s="28" t="s">
        <v>4371</v>
      </c>
      <c r="G525" s="28" t="s">
        <v>4372</v>
      </c>
      <c r="H525" s="3">
        <f t="shared" si="39"/>
        <v>478.875</v>
      </c>
      <c r="I525" s="3">
        <f t="shared" si="40"/>
        <v>76.62</v>
      </c>
    </row>
    <row r="526" spans="1:9">
      <c r="A526" s="174" t="s">
        <v>7099</v>
      </c>
      <c r="B526">
        <v>85</v>
      </c>
      <c r="F526" s="28" t="s">
        <v>877</v>
      </c>
      <c r="G526" s="28" t="s">
        <v>2590</v>
      </c>
      <c r="H526" s="3">
        <f t="shared" si="39"/>
        <v>57564.937500000007</v>
      </c>
      <c r="I526" s="3">
        <f t="shared" si="40"/>
        <v>9210.3900000000012</v>
      </c>
    </row>
    <row r="527" spans="1:9">
      <c r="A527" s="174" t="s">
        <v>7099</v>
      </c>
      <c r="B527">
        <v>85</v>
      </c>
      <c r="F527" s="28" t="s">
        <v>4369</v>
      </c>
      <c r="G527" s="28" t="s">
        <v>4370</v>
      </c>
      <c r="H527" s="3">
        <f t="shared" si="39"/>
        <v>175.4375</v>
      </c>
      <c r="I527" s="3">
        <f t="shared" si="40"/>
        <v>28.07</v>
      </c>
    </row>
    <row r="528" spans="1:9">
      <c r="A528" s="174" t="s">
        <v>7099</v>
      </c>
      <c r="B528">
        <v>85</v>
      </c>
      <c r="F528" s="9" t="s">
        <v>4364</v>
      </c>
      <c r="G528" s="9" t="s">
        <v>4103</v>
      </c>
      <c r="H528" s="3">
        <f t="shared" si="39"/>
        <v>738.74999999999989</v>
      </c>
      <c r="I528" s="3">
        <f t="shared" si="40"/>
        <v>118.19999999999999</v>
      </c>
    </row>
    <row r="529" spans="1:9">
      <c r="A529" s="174" t="s">
        <v>7099</v>
      </c>
      <c r="B529">
        <v>85</v>
      </c>
      <c r="F529" s="12" t="s">
        <v>915</v>
      </c>
      <c r="G529" s="20" t="s">
        <v>916</v>
      </c>
      <c r="H529" s="3">
        <f t="shared" si="39"/>
        <v>285</v>
      </c>
      <c r="I529" s="3">
        <f t="shared" si="40"/>
        <v>45.6</v>
      </c>
    </row>
    <row r="530" spans="1:9">
      <c r="A530" s="174" t="s">
        <v>7099</v>
      </c>
      <c r="B530">
        <v>85</v>
      </c>
      <c r="F530" s="28" t="s">
        <v>4373</v>
      </c>
      <c r="G530" s="28" t="s">
        <v>4374</v>
      </c>
      <c r="H530" s="3">
        <f t="shared" si="39"/>
        <v>526.75</v>
      </c>
      <c r="I530" s="3">
        <f t="shared" si="40"/>
        <v>84.28</v>
      </c>
    </row>
    <row r="531" spans="1:9">
      <c r="A531" s="174" t="s">
        <v>7099</v>
      </c>
      <c r="B531">
        <v>85</v>
      </c>
      <c r="F531" s="28" t="s">
        <v>913</v>
      </c>
      <c r="G531" s="28" t="s">
        <v>914</v>
      </c>
      <c r="H531" s="3">
        <f t="shared" si="39"/>
        <v>1211.375</v>
      </c>
      <c r="I531" s="3">
        <f t="shared" si="40"/>
        <v>193.82</v>
      </c>
    </row>
    <row r="532" spans="1:9">
      <c r="A532" s="174" t="s">
        <v>7099</v>
      </c>
      <c r="B532">
        <v>85</v>
      </c>
      <c r="F532" s="28" t="s">
        <v>3801</v>
      </c>
      <c r="G532" s="28" t="s">
        <v>3802</v>
      </c>
      <c r="H532" s="3">
        <f t="shared" si="39"/>
        <v>292.25</v>
      </c>
      <c r="I532" s="3">
        <f t="shared" si="40"/>
        <v>46.76</v>
      </c>
    </row>
    <row r="533" spans="1:9">
      <c r="A533" s="174" t="s">
        <v>7099</v>
      </c>
      <c r="B533">
        <v>85</v>
      </c>
      <c r="F533" s="9" t="s">
        <v>4363</v>
      </c>
      <c r="G533" s="9" t="s">
        <v>3843</v>
      </c>
      <c r="H533" s="3">
        <f t="shared" ref="H533:H548" si="41">+I533/0.16</f>
        <v>205011.49999999997</v>
      </c>
      <c r="I533" s="3">
        <f t="shared" ref="I533:I548" si="42">+SUMIF($F$11:$F$395,F533,$I$11:$I$395)</f>
        <v>32801.839999999997</v>
      </c>
    </row>
    <row r="534" spans="1:9">
      <c r="A534" s="174" t="s">
        <v>7099</v>
      </c>
      <c r="B534">
        <v>85</v>
      </c>
      <c r="F534" s="9" t="s">
        <v>740</v>
      </c>
      <c r="G534" s="9" t="s">
        <v>4348</v>
      </c>
      <c r="H534" s="3">
        <f t="shared" si="41"/>
        <v>88</v>
      </c>
      <c r="I534" s="3">
        <f t="shared" si="42"/>
        <v>14.08</v>
      </c>
    </row>
    <row r="535" spans="1:9">
      <c r="A535" s="174" t="s">
        <v>7099</v>
      </c>
      <c r="B535">
        <v>85</v>
      </c>
      <c r="F535" s="9" t="s">
        <v>884</v>
      </c>
      <c r="G535" s="9" t="s">
        <v>535</v>
      </c>
      <c r="H535" s="3">
        <f t="shared" si="41"/>
        <v>1379.25</v>
      </c>
      <c r="I535" s="3">
        <f t="shared" si="42"/>
        <v>220.68</v>
      </c>
    </row>
    <row r="536" spans="1:9">
      <c r="A536" s="174" t="s">
        <v>7099</v>
      </c>
      <c r="B536">
        <v>85</v>
      </c>
      <c r="F536" s="9" t="s">
        <v>933</v>
      </c>
      <c r="G536" s="9" t="s">
        <v>934</v>
      </c>
      <c r="H536" s="3">
        <f t="shared" si="41"/>
        <v>240</v>
      </c>
      <c r="I536" s="3">
        <f t="shared" si="42"/>
        <v>38.4</v>
      </c>
    </row>
    <row r="537" spans="1:9">
      <c r="A537" s="174" t="s">
        <v>7099</v>
      </c>
      <c r="B537">
        <v>85</v>
      </c>
      <c r="F537" t="s">
        <v>876</v>
      </c>
      <c r="G537" t="s">
        <v>306</v>
      </c>
      <c r="H537" s="3">
        <f t="shared" si="41"/>
        <v>32500</v>
      </c>
      <c r="I537" s="3">
        <f t="shared" si="42"/>
        <v>5200</v>
      </c>
    </row>
    <row r="538" spans="1:9">
      <c r="A538" s="174" t="s">
        <v>7099</v>
      </c>
      <c r="B538">
        <v>85</v>
      </c>
      <c r="F538" t="s">
        <v>4389</v>
      </c>
      <c r="G538" t="s">
        <v>4390</v>
      </c>
      <c r="H538" s="3">
        <f t="shared" si="41"/>
        <v>417.5</v>
      </c>
      <c r="I538" s="3">
        <f t="shared" si="42"/>
        <v>66.8</v>
      </c>
    </row>
    <row r="539" spans="1:9">
      <c r="A539" s="174" t="s">
        <v>7099</v>
      </c>
      <c r="B539">
        <v>85</v>
      </c>
      <c r="F539" t="s">
        <v>4381</v>
      </c>
      <c r="G539" t="s">
        <v>4287</v>
      </c>
      <c r="H539" s="3">
        <f t="shared" si="41"/>
        <v>1900</v>
      </c>
      <c r="I539" s="3">
        <f t="shared" si="42"/>
        <v>304</v>
      </c>
    </row>
    <row r="540" spans="1:9">
      <c r="A540" s="174" t="s">
        <v>7099</v>
      </c>
      <c r="B540">
        <v>85</v>
      </c>
      <c r="F540" s="67" t="s">
        <v>829</v>
      </c>
      <c r="G540" s="68" t="s">
        <v>6</v>
      </c>
      <c r="H540" s="3">
        <f t="shared" si="41"/>
        <v>808859.125</v>
      </c>
      <c r="I540" s="3">
        <f t="shared" si="42"/>
        <v>129417.46</v>
      </c>
    </row>
    <row r="541" spans="1:9">
      <c r="A541" s="174" t="s">
        <v>7099</v>
      </c>
      <c r="B541">
        <v>85</v>
      </c>
      <c r="F541" t="s">
        <v>1632</v>
      </c>
      <c r="G541" t="s">
        <v>968</v>
      </c>
      <c r="H541" s="3">
        <f t="shared" si="41"/>
        <v>13821.375</v>
      </c>
      <c r="I541" s="3">
        <f t="shared" si="42"/>
        <v>2211.42</v>
      </c>
    </row>
    <row r="542" spans="1:9">
      <c r="A542" s="174" t="s">
        <v>7099</v>
      </c>
      <c r="B542">
        <v>85</v>
      </c>
      <c r="F542" t="s">
        <v>1633</v>
      </c>
      <c r="G542" t="s">
        <v>3825</v>
      </c>
      <c r="H542" s="3">
        <f t="shared" si="41"/>
        <v>161302.0625</v>
      </c>
      <c r="I542" s="3">
        <f t="shared" si="42"/>
        <v>25808.33</v>
      </c>
    </row>
    <row r="543" spans="1:9">
      <c r="A543" s="174" t="s">
        <v>7099</v>
      </c>
      <c r="B543">
        <v>85</v>
      </c>
      <c r="F543" s="30" t="s">
        <v>886</v>
      </c>
      <c r="G543" s="31" t="s">
        <v>887</v>
      </c>
      <c r="H543" s="3">
        <f t="shared" si="41"/>
        <v>9539611.4374999981</v>
      </c>
      <c r="I543" s="3">
        <f t="shared" si="42"/>
        <v>1526337.8299999996</v>
      </c>
    </row>
    <row r="544" spans="1:9">
      <c r="A544" s="174" t="s">
        <v>7099</v>
      </c>
      <c r="B544">
        <v>85</v>
      </c>
      <c r="F544" s="9" t="s">
        <v>3751</v>
      </c>
      <c r="G544" s="9" t="s">
        <v>4341</v>
      </c>
      <c r="H544" s="3">
        <f t="shared" si="41"/>
        <v>292.99999999999994</v>
      </c>
      <c r="I544" s="3">
        <f t="shared" si="42"/>
        <v>46.879999999999995</v>
      </c>
    </row>
    <row r="545" spans="1:10">
      <c r="A545" s="174" t="s">
        <v>7099</v>
      </c>
      <c r="B545">
        <v>85</v>
      </c>
      <c r="F545" s="9" t="s">
        <v>882</v>
      </c>
      <c r="G545" s="9" t="s">
        <v>883</v>
      </c>
      <c r="H545" s="3">
        <f t="shared" si="41"/>
        <v>275.4375</v>
      </c>
      <c r="I545" s="3">
        <f t="shared" si="42"/>
        <v>44.07</v>
      </c>
    </row>
    <row r="546" spans="1:10">
      <c r="A546" s="174" t="s">
        <v>7099</v>
      </c>
      <c r="B546">
        <v>85</v>
      </c>
      <c r="F546" s="9" t="s">
        <v>4339</v>
      </c>
      <c r="G546" s="9" t="s">
        <v>4310</v>
      </c>
      <c r="H546" s="3">
        <f t="shared" si="41"/>
        <v>86206.875</v>
      </c>
      <c r="I546" s="3">
        <f t="shared" si="42"/>
        <v>13793.1</v>
      </c>
    </row>
    <row r="547" spans="1:10">
      <c r="A547" s="174" t="s">
        <v>7099</v>
      </c>
      <c r="B547">
        <v>85</v>
      </c>
      <c r="F547" s="9" t="s">
        <v>894</v>
      </c>
      <c r="G547" s="9" t="s">
        <v>895</v>
      </c>
      <c r="H547" s="3">
        <f t="shared" si="41"/>
        <v>375.875</v>
      </c>
      <c r="I547" s="3">
        <f t="shared" si="42"/>
        <v>60.14</v>
      </c>
    </row>
    <row r="548" spans="1:10">
      <c r="A548" s="174" t="s">
        <v>7099</v>
      </c>
      <c r="B548">
        <v>85</v>
      </c>
      <c r="F548" t="s">
        <v>4376</v>
      </c>
      <c r="G548" t="s">
        <v>4040</v>
      </c>
      <c r="H548" s="3">
        <f t="shared" si="41"/>
        <v>297.375</v>
      </c>
      <c r="I548" s="3">
        <f t="shared" si="42"/>
        <v>47.58</v>
      </c>
    </row>
    <row r="550" spans="1:10">
      <c r="H550" s="3">
        <f>SUM(H404:H548)</f>
        <v>22763370.4375</v>
      </c>
      <c r="I550" s="3">
        <f>SUM(I404:I549)</f>
        <v>3642139.2699999996</v>
      </c>
      <c r="J550">
        <f>SUM(J404:J548)</f>
        <v>23631.5</v>
      </c>
    </row>
    <row r="551" spans="1:10">
      <c r="H551" s="3">
        <f>+H397</f>
        <v>22763370.4375</v>
      </c>
      <c r="I551" s="3">
        <f>+I397</f>
        <v>3642139.2699999982</v>
      </c>
      <c r="J551">
        <v>23292.26</v>
      </c>
    </row>
    <row r="552" spans="1:10">
      <c r="H552" s="3">
        <f>+H550-H551</f>
        <v>0</v>
      </c>
      <c r="I552" s="3">
        <f>+I550-I551</f>
        <v>0</v>
      </c>
      <c r="J552">
        <f>+J551-J550</f>
        <v>-339.2400000000016</v>
      </c>
    </row>
  </sheetData>
  <autoFilter ref="A10:I395"/>
  <sortState ref="A11:M315">
    <sortCondition ref="E11:E315"/>
  </sortState>
  <conditionalFormatting sqref="F404:G458 F460:G548 G459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L498"/>
  <sheetViews>
    <sheetView zoomScale="80" zoomScaleNormal="80" workbookViewId="0">
      <pane ySplit="8" topLeftCell="A329" activePane="bottomLeft" state="frozen"/>
      <selection pane="bottomLeft" activeCell="A329" sqref="A329:A494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3" bestFit="1" customWidth="1"/>
    <col min="4" max="4" width="2" bestFit="1" customWidth="1"/>
    <col min="5" max="5" width="39.140625" bestFit="1" customWidth="1"/>
    <col min="6" max="6" width="38.28515625" bestFit="1" customWidth="1"/>
    <col min="7" max="7" width="51.5703125" bestFit="1" customWidth="1"/>
    <col min="8" max="8" width="17.85546875" style="3" bestFit="1" customWidth="1"/>
    <col min="9" max="9" width="13.140625" style="3" bestFit="1" customWidth="1"/>
    <col min="10" max="10" width="11.28515625" bestFit="1" customWidth="1"/>
  </cols>
  <sheetData>
    <row r="1" spans="1:11">
      <c r="A1" t="s">
        <v>729</v>
      </c>
    </row>
    <row r="2" spans="1:11">
      <c r="A2" t="s">
        <v>4696</v>
      </c>
      <c r="B2">
        <v>2013</v>
      </c>
    </row>
    <row r="3" spans="1:11">
      <c r="A3" t="s">
        <v>731</v>
      </c>
    </row>
    <row r="8" spans="1:11">
      <c r="A8" s="6" t="s">
        <v>721</v>
      </c>
      <c r="B8" s="6" t="s">
        <v>722</v>
      </c>
      <c r="C8" s="6" t="s">
        <v>1568</v>
      </c>
      <c r="D8" s="6" t="s">
        <v>728</v>
      </c>
      <c r="E8" s="6" t="s">
        <v>723</v>
      </c>
      <c r="F8" s="5" t="s">
        <v>724</v>
      </c>
      <c r="G8" s="4" t="s">
        <v>725</v>
      </c>
      <c r="H8" s="7" t="s">
        <v>732</v>
      </c>
      <c r="I8" s="7" t="s">
        <v>726</v>
      </c>
    </row>
    <row r="9" spans="1:11">
      <c r="A9" t="s">
        <v>2169</v>
      </c>
      <c r="B9" s="1">
        <v>41505</v>
      </c>
      <c r="C9" t="s">
        <v>4638</v>
      </c>
      <c r="D9">
        <v>1</v>
      </c>
      <c r="E9" t="s">
        <v>4639</v>
      </c>
      <c r="F9" s="9" t="s">
        <v>4697</v>
      </c>
      <c r="G9" s="9" t="s">
        <v>4639</v>
      </c>
      <c r="H9" s="3">
        <f t="shared" ref="H9:H19" si="0">+I9/0.16</f>
        <v>2398.5</v>
      </c>
      <c r="I9" s="3">
        <v>383.76</v>
      </c>
    </row>
    <row r="10" spans="1:11">
      <c r="A10" t="s">
        <v>4515</v>
      </c>
      <c r="B10" s="1">
        <v>41515</v>
      </c>
      <c r="C10" t="s">
        <v>4516</v>
      </c>
      <c r="D10">
        <v>1</v>
      </c>
      <c r="E10" t="s">
        <v>4517</v>
      </c>
      <c r="F10" s="8" t="s">
        <v>734</v>
      </c>
      <c r="G10" s="9" t="s">
        <v>735</v>
      </c>
      <c r="H10" s="3">
        <f t="shared" si="0"/>
        <v>253738.74999999997</v>
      </c>
      <c r="I10" s="3">
        <v>40598.199999999997</v>
      </c>
      <c r="J10" s="56"/>
      <c r="K10" s="56"/>
    </row>
    <row r="11" spans="1:11">
      <c r="A11" t="s">
        <v>359</v>
      </c>
      <c r="B11" s="1">
        <v>41514</v>
      </c>
      <c r="C11" t="s">
        <v>4504</v>
      </c>
      <c r="D11">
        <v>1</v>
      </c>
      <c r="E11" t="s">
        <v>4505</v>
      </c>
      <c r="F11" s="8" t="s">
        <v>734</v>
      </c>
      <c r="G11" s="9" t="s">
        <v>735</v>
      </c>
      <c r="H11" s="3">
        <f t="shared" si="0"/>
        <v>221634.8125</v>
      </c>
      <c r="I11" s="3">
        <v>35461.57</v>
      </c>
      <c r="J11" s="56"/>
      <c r="K11" s="56"/>
    </row>
    <row r="12" spans="1:11">
      <c r="A12" t="s">
        <v>146</v>
      </c>
      <c r="B12" s="1">
        <v>41500</v>
      </c>
      <c r="C12" t="s">
        <v>4417</v>
      </c>
      <c r="D12">
        <v>1</v>
      </c>
      <c r="E12" t="s">
        <v>4418</v>
      </c>
      <c r="F12" s="8" t="s">
        <v>734</v>
      </c>
      <c r="G12" s="9" t="s">
        <v>735</v>
      </c>
      <c r="H12" s="3">
        <f t="shared" si="0"/>
        <v>161302.0625</v>
      </c>
      <c r="I12" s="3">
        <v>25808.33</v>
      </c>
      <c r="J12" s="56"/>
      <c r="K12" s="56"/>
    </row>
    <row r="13" spans="1:11">
      <c r="A13" t="s">
        <v>4405</v>
      </c>
      <c r="B13" s="1">
        <v>41498</v>
      </c>
      <c r="C13" t="s">
        <v>4406</v>
      </c>
      <c r="D13">
        <v>1</v>
      </c>
      <c r="E13" t="s">
        <v>3831</v>
      </c>
      <c r="F13" s="9" t="s">
        <v>2267</v>
      </c>
      <c r="G13" s="9" t="s">
        <v>4396</v>
      </c>
      <c r="H13" s="3">
        <f t="shared" si="0"/>
        <v>288927.5</v>
      </c>
      <c r="I13" s="3">
        <v>46228.4</v>
      </c>
      <c r="J13" s="56"/>
      <c r="K13" s="56"/>
    </row>
    <row r="14" spans="1:11">
      <c r="A14" t="s">
        <v>4510</v>
      </c>
      <c r="B14" s="1">
        <v>41515</v>
      </c>
      <c r="C14" t="s">
        <v>4511</v>
      </c>
      <c r="D14">
        <v>1</v>
      </c>
      <c r="E14" t="s">
        <v>4512</v>
      </c>
      <c r="F14" s="9" t="s">
        <v>2267</v>
      </c>
      <c r="G14" s="9" t="s">
        <v>1757</v>
      </c>
      <c r="H14" s="3">
        <f t="shared" si="0"/>
        <v>180602.62499999997</v>
      </c>
      <c r="I14" s="3">
        <v>28896.42</v>
      </c>
      <c r="J14" s="56"/>
      <c r="K14" s="56"/>
    </row>
    <row r="15" spans="1:11">
      <c r="A15" t="s">
        <v>4394</v>
      </c>
      <c r="B15" s="1">
        <v>41489</v>
      </c>
      <c r="C15" t="s">
        <v>4395</v>
      </c>
      <c r="D15">
        <v>1</v>
      </c>
      <c r="E15" t="s">
        <v>4396</v>
      </c>
      <c r="F15" s="9" t="s">
        <v>2267</v>
      </c>
      <c r="G15" s="9" t="s">
        <v>1757</v>
      </c>
      <c r="H15" s="3">
        <f t="shared" si="0"/>
        <v>299262.375</v>
      </c>
      <c r="I15" s="3">
        <v>47881.98</v>
      </c>
      <c r="J15" s="56"/>
      <c r="K15" s="56"/>
    </row>
    <row r="16" spans="1:11">
      <c r="A16" t="s">
        <v>582</v>
      </c>
      <c r="B16" s="1">
        <v>41513</v>
      </c>
      <c r="C16">
        <v>8883</v>
      </c>
      <c r="D16">
        <v>1</v>
      </c>
      <c r="E16" t="s">
        <v>3606</v>
      </c>
      <c r="F16" s="12" t="s">
        <v>3347</v>
      </c>
      <c r="G16" s="9" t="s">
        <v>3606</v>
      </c>
      <c r="H16" s="3">
        <f t="shared" si="0"/>
        <v>155.1875</v>
      </c>
      <c r="I16" s="3">
        <v>24.83</v>
      </c>
    </row>
    <row r="17" spans="1:11">
      <c r="A17" t="s">
        <v>683</v>
      </c>
      <c r="B17" s="1">
        <v>41509</v>
      </c>
      <c r="C17" t="s">
        <v>4604</v>
      </c>
      <c r="D17">
        <v>1</v>
      </c>
      <c r="E17" t="s">
        <v>469</v>
      </c>
      <c r="F17" s="9" t="s">
        <v>739</v>
      </c>
      <c r="G17" s="9" t="s">
        <v>469</v>
      </c>
      <c r="H17" s="3">
        <f t="shared" si="0"/>
        <v>431.0625</v>
      </c>
      <c r="I17" s="3">
        <v>68.97</v>
      </c>
    </row>
    <row r="18" spans="1:11">
      <c r="A18" t="s">
        <v>4659</v>
      </c>
      <c r="B18" s="1">
        <v>41514</v>
      </c>
      <c r="C18" t="s">
        <v>4660</v>
      </c>
      <c r="D18">
        <v>1</v>
      </c>
      <c r="E18" t="s">
        <v>1285</v>
      </c>
      <c r="F18" s="8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11">
      <c r="A19" t="s">
        <v>4451</v>
      </c>
      <c r="B19" s="1">
        <v>41502</v>
      </c>
      <c r="C19">
        <v>8821</v>
      </c>
      <c r="D19">
        <v>1</v>
      </c>
      <c r="E19" t="s">
        <v>2080</v>
      </c>
      <c r="F19" s="9" t="s">
        <v>2269</v>
      </c>
      <c r="G19" s="9" t="s">
        <v>2080</v>
      </c>
      <c r="H19" s="3">
        <f t="shared" si="0"/>
        <v>440</v>
      </c>
      <c r="I19" s="3">
        <v>70.400000000000006</v>
      </c>
    </row>
    <row r="20" spans="1:11">
      <c r="A20" t="s">
        <v>4432</v>
      </c>
      <c r="B20" s="1">
        <v>41501</v>
      </c>
      <c r="C20" t="s">
        <v>4433</v>
      </c>
      <c r="D20">
        <v>1</v>
      </c>
      <c r="E20" t="s">
        <v>4434</v>
      </c>
      <c r="F20" s="28" t="s">
        <v>3770</v>
      </c>
      <c r="G20" s="28" t="s">
        <v>3771</v>
      </c>
      <c r="H20" s="56">
        <f t="shared" ref="H20:H24" si="1">I20/0.16</f>
        <v>390.6875</v>
      </c>
      <c r="I20" s="56">
        <v>62.51</v>
      </c>
      <c r="J20" s="3"/>
      <c r="K20" s="3"/>
    </row>
    <row r="21" spans="1:11">
      <c r="A21" t="s">
        <v>4432</v>
      </c>
      <c r="B21" s="1">
        <v>41501</v>
      </c>
      <c r="C21" t="s">
        <v>4433</v>
      </c>
      <c r="D21">
        <v>1</v>
      </c>
      <c r="E21" t="s">
        <v>4434</v>
      </c>
      <c r="F21" s="9" t="s">
        <v>2888</v>
      </c>
      <c r="G21" s="9" t="s">
        <v>2889</v>
      </c>
      <c r="H21" s="56">
        <f t="shared" si="1"/>
        <v>86.25</v>
      </c>
      <c r="I21" s="56">
        <v>13.8</v>
      </c>
    </row>
    <row r="22" spans="1:11">
      <c r="A22" t="s">
        <v>4432</v>
      </c>
      <c r="B22" s="1">
        <v>41501</v>
      </c>
      <c r="C22" t="s">
        <v>4433</v>
      </c>
      <c r="D22">
        <v>1</v>
      </c>
      <c r="E22" t="s">
        <v>4434</v>
      </c>
      <c r="F22" t="s">
        <v>4698</v>
      </c>
      <c r="G22" t="s">
        <v>4699</v>
      </c>
      <c r="H22" s="56">
        <f t="shared" si="1"/>
        <v>725.0625</v>
      </c>
      <c r="I22" s="56">
        <v>116.01</v>
      </c>
    </row>
    <row r="23" spans="1:11">
      <c r="A23" t="s">
        <v>4432</v>
      </c>
      <c r="B23" s="1">
        <v>41501</v>
      </c>
      <c r="C23" t="s">
        <v>4433</v>
      </c>
      <c r="D23">
        <v>1</v>
      </c>
      <c r="E23" t="s">
        <v>4434</v>
      </c>
      <c r="F23" t="s">
        <v>946</v>
      </c>
      <c r="G23" t="s">
        <v>947</v>
      </c>
      <c r="H23" s="56">
        <f t="shared" si="1"/>
        <v>1074.25</v>
      </c>
      <c r="I23" s="56">
        <v>171.88</v>
      </c>
    </row>
    <row r="24" spans="1:11">
      <c r="A24" t="s">
        <v>4432</v>
      </c>
      <c r="B24" s="1">
        <v>41501</v>
      </c>
      <c r="C24" t="s">
        <v>4433</v>
      </c>
      <c r="D24">
        <v>1</v>
      </c>
      <c r="E24" t="s">
        <v>4434</v>
      </c>
      <c r="F24" s="28" t="s">
        <v>4700</v>
      </c>
      <c r="G24" s="28" t="s">
        <v>4701</v>
      </c>
      <c r="H24" s="56">
        <f t="shared" si="1"/>
        <v>742.3125</v>
      </c>
      <c r="I24" s="56">
        <v>118.77</v>
      </c>
      <c r="J24" s="14">
        <f>3018.56-H20-H21-H22-H23-H24</f>
        <v>-2.5000000000545697E-3</v>
      </c>
      <c r="K24" s="14">
        <f>482.97-I20-I21-I22-I23-I24</f>
        <v>0</v>
      </c>
    </row>
    <row r="25" spans="1:11">
      <c r="A25" t="s">
        <v>4460</v>
      </c>
      <c r="B25" s="1">
        <v>41503</v>
      </c>
      <c r="C25" t="s">
        <v>4461</v>
      </c>
      <c r="D25">
        <v>1</v>
      </c>
      <c r="E25" t="s">
        <v>4462</v>
      </c>
      <c r="F25" s="41" t="s">
        <v>745</v>
      </c>
      <c r="G25" t="s">
        <v>4462</v>
      </c>
      <c r="H25" s="3">
        <f>+I25/0.16</f>
        <v>221635</v>
      </c>
      <c r="I25" s="3">
        <v>35461.599999999999</v>
      </c>
    </row>
    <row r="26" spans="1:11">
      <c r="A26" t="s">
        <v>1975</v>
      </c>
      <c r="B26" s="1">
        <v>41516</v>
      </c>
      <c r="C26" t="s">
        <v>4523</v>
      </c>
      <c r="D26">
        <v>1</v>
      </c>
      <c r="E26" t="s">
        <v>4524</v>
      </c>
      <c r="F26" s="64" t="s">
        <v>4702</v>
      </c>
      <c r="G26" s="9" t="s">
        <v>4524</v>
      </c>
      <c r="H26" s="3">
        <f>+I26/0.16</f>
        <v>288927.5</v>
      </c>
      <c r="I26" s="3">
        <v>46228.4</v>
      </c>
    </row>
    <row r="27" spans="1:11">
      <c r="A27" t="s">
        <v>4518</v>
      </c>
      <c r="B27" s="1">
        <v>41515</v>
      </c>
      <c r="C27" t="s">
        <v>4519</v>
      </c>
      <c r="D27">
        <v>1</v>
      </c>
      <c r="E27" t="s">
        <v>4520</v>
      </c>
      <c r="F27" s="12" t="s">
        <v>4703</v>
      </c>
      <c r="G27" s="9" t="s">
        <v>4520</v>
      </c>
      <c r="H27" s="3">
        <f>+I27/0.16</f>
        <v>288927.5</v>
      </c>
      <c r="I27" s="3">
        <v>46228.4</v>
      </c>
    </row>
    <row r="28" spans="1:11">
      <c r="A28" t="s">
        <v>4465</v>
      </c>
      <c r="B28" s="1">
        <v>41505</v>
      </c>
      <c r="C28" t="s">
        <v>4466</v>
      </c>
      <c r="D28">
        <v>1</v>
      </c>
      <c r="E28" t="s">
        <v>4467</v>
      </c>
      <c r="F28" s="9" t="s">
        <v>1574</v>
      </c>
      <c r="G28" s="9" t="s">
        <v>991</v>
      </c>
      <c r="H28" s="3">
        <f>+I28/0.16</f>
        <v>182560.6875</v>
      </c>
      <c r="I28" s="3">
        <v>29209.71</v>
      </c>
    </row>
    <row r="29" spans="1:11">
      <c r="A29" t="s">
        <v>3874</v>
      </c>
      <c r="B29" s="1">
        <v>41502</v>
      </c>
      <c r="C29" t="s">
        <v>4452</v>
      </c>
      <c r="D29">
        <v>1</v>
      </c>
      <c r="E29" t="s">
        <v>3096</v>
      </c>
      <c r="F29" s="9" t="s">
        <v>747</v>
      </c>
      <c r="G29" s="9" t="s">
        <v>3096</v>
      </c>
      <c r="H29" s="3">
        <f>+I29/0.16</f>
        <v>1396.3125</v>
      </c>
      <c r="I29" s="3">
        <v>223.41</v>
      </c>
    </row>
    <row r="30" spans="1:11">
      <c r="A30" t="s">
        <v>4421</v>
      </c>
      <c r="B30" s="1">
        <v>41501</v>
      </c>
      <c r="C30" t="s">
        <v>4422</v>
      </c>
      <c r="D30">
        <v>1</v>
      </c>
      <c r="E30" t="s">
        <v>3359</v>
      </c>
      <c r="F30" s="28" t="s">
        <v>939</v>
      </c>
      <c r="G30" s="28" t="s">
        <v>940</v>
      </c>
      <c r="H30" s="56">
        <f t="shared" ref="H30:H32" si="2">I30/0.16</f>
        <v>334.125</v>
      </c>
      <c r="I30" s="56">
        <v>53.46</v>
      </c>
      <c r="J30" s="3"/>
      <c r="K30" s="3"/>
    </row>
    <row r="31" spans="1:11">
      <c r="A31" t="s">
        <v>4421</v>
      </c>
      <c r="B31" s="1">
        <v>41501</v>
      </c>
      <c r="C31" t="s">
        <v>4422</v>
      </c>
      <c r="D31">
        <v>1</v>
      </c>
      <c r="E31" t="s">
        <v>3359</v>
      </c>
      <c r="F31" s="9" t="s">
        <v>3384</v>
      </c>
      <c r="G31" s="9" t="s">
        <v>4704</v>
      </c>
      <c r="H31" s="56">
        <f t="shared" si="2"/>
        <v>70.6875</v>
      </c>
      <c r="I31" s="56">
        <v>11.31</v>
      </c>
    </row>
    <row r="32" spans="1:11">
      <c r="A32" t="s">
        <v>4421</v>
      </c>
      <c r="B32" s="1">
        <v>41501</v>
      </c>
      <c r="C32" t="s">
        <v>4422</v>
      </c>
      <c r="D32">
        <v>1</v>
      </c>
      <c r="E32" t="s">
        <v>3359</v>
      </c>
      <c r="F32" t="s">
        <v>946</v>
      </c>
      <c r="G32" t="s">
        <v>1581</v>
      </c>
      <c r="H32" s="56">
        <f t="shared" si="2"/>
        <v>394.0625</v>
      </c>
      <c r="I32" s="56">
        <v>63.05</v>
      </c>
      <c r="J32" s="14">
        <f>798.88-H30-H31-H32</f>
        <v>4.9999999999954525E-3</v>
      </c>
      <c r="K32" s="14">
        <f>127.82-I30-I31-I32</f>
        <v>0</v>
      </c>
    </row>
    <row r="33" spans="1:11">
      <c r="A33" t="s">
        <v>585</v>
      </c>
      <c r="B33" s="1">
        <v>41513</v>
      </c>
      <c r="C33">
        <v>8887</v>
      </c>
      <c r="D33">
        <v>1</v>
      </c>
      <c r="E33" t="s">
        <v>481</v>
      </c>
      <c r="F33" s="12" t="s">
        <v>748</v>
      </c>
      <c r="G33" s="9" t="s">
        <v>481</v>
      </c>
      <c r="H33" s="3">
        <f>+I33/0.16</f>
        <v>86.125</v>
      </c>
      <c r="I33" s="3">
        <v>13.78</v>
      </c>
    </row>
    <row r="34" spans="1:11">
      <c r="A34" t="s">
        <v>2479</v>
      </c>
      <c r="B34" s="1">
        <v>41515</v>
      </c>
      <c r="C34" t="s">
        <v>4513</v>
      </c>
      <c r="D34">
        <v>1</v>
      </c>
      <c r="E34" t="s">
        <v>4514</v>
      </c>
      <c r="F34" s="9" t="s">
        <v>4705</v>
      </c>
      <c r="G34" s="9" t="s">
        <v>4514</v>
      </c>
      <c r="H34" s="3">
        <f>+I34/0.16</f>
        <v>180602.62499999997</v>
      </c>
      <c r="I34" s="3">
        <v>28896.42</v>
      </c>
    </row>
    <row r="35" spans="1:11">
      <c r="A35" t="s">
        <v>539</v>
      </c>
      <c r="B35" s="1">
        <v>41505</v>
      </c>
      <c r="C35">
        <v>8847</v>
      </c>
      <c r="D35">
        <v>1</v>
      </c>
      <c r="E35" t="s">
        <v>4564</v>
      </c>
      <c r="F35" s="28" t="s">
        <v>4706</v>
      </c>
      <c r="G35" s="28" t="s">
        <v>4707</v>
      </c>
      <c r="H35" s="56">
        <f t="shared" ref="H35:H42" si="3">I35/0.16</f>
        <v>668.4375</v>
      </c>
      <c r="I35" s="56">
        <v>106.95</v>
      </c>
      <c r="J35" s="3"/>
      <c r="K35" s="3"/>
    </row>
    <row r="36" spans="1:11">
      <c r="A36" t="s">
        <v>539</v>
      </c>
      <c r="B36" s="1">
        <v>41505</v>
      </c>
      <c r="C36">
        <v>8847</v>
      </c>
      <c r="D36">
        <v>1</v>
      </c>
      <c r="E36" t="s">
        <v>4564</v>
      </c>
      <c r="F36" s="28" t="s">
        <v>3794</v>
      </c>
      <c r="G36" s="28" t="s">
        <v>3795</v>
      </c>
      <c r="H36" s="56">
        <f t="shared" si="3"/>
        <v>589.0625</v>
      </c>
      <c r="I36" s="56">
        <v>94.25</v>
      </c>
    </row>
    <row r="37" spans="1:11">
      <c r="A37" t="s">
        <v>539</v>
      </c>
      <c r="B37" s="1">
        <v>41505</v>
      </c>
      <c r="C37">
        <v>8847</v>
      </c>
      <c r="D37">
        <v>1</v>
      </c>
      <c r="E37" t="s">
        <v>4564</v>
      </c>
      <c r="F37" s="33" t="s">
        <v>2287</v>
      </c>
      <c r="G37" s="33" t="s">
        <v>4708</v>
      </c>
      <c r="H37" s="56">
        <f t="shared" si="3"/>
        <v>417.75</v>
      </c>
      <c r="I37" s="56">
        <v>66.84</v>
      </c>
    </row>
    <row r="38" spans="1:11">
      <c r="A38" t="s">
        <v>539</v>
      </c>
      <c r="B38" s="1">
        <v>41505</v>
      </c>
      <c r="C38">
        <v>8847</v>
      </c>
      <c r="D38">
        <v>1</v>
      </c>
      <c r="E38" t="s">
        <v>4564</v>
      </c>
      <c r="F38" s="28" t="s">
        <v>923</v>
      </c>
      <c r="G38" s="28" t="s">
        <v>924</v>
      </c>
      <c r="H38" s="56">
        <f t="shared" si="3"/>
        <v>634.875</v>
      </c>
      <c r="I38" s="56">
        <v>101.58</v>
      </c>
    </row>
    <row r="39" spans="1:11">
      <c r="A39" t="s">
        <v>539</v>
      </c>
      <c r="B39" s="1">
        <v>41505</v>
      </c>
      <c r="C39">
        <v>8847</v>
      </c>
      <c r="D39">
        <v>1</v>
      </c>
      <c r="E39" t="s">
        <v>4564</v>
      </c>
      <c r="F39" s="9" t="s">
        <v>4709</v>
      </c>
      <c r="G39" s="9" t="s">
        <v>4710</v>
      </c>
      <c r="H39" s="56">
        <f t="shared" si="3"/>
        <v>97.375</v>
      </c>
      <c r="I39" s="56">
        <v>15.58</v>
      </c>
    </row>
    <row r="40" spans="1:11">
      <c r="A40" t="s">
        <v>539</v>
      </c>
      <c r="B40" s="1">
        <v>41505</v>
      </c>
      <c r="C40">
        <v>8847</v>
      </c>
      <c r="D40">
        <v>1</v>
      </c>
      <c r="E40" t="s">
        <v>4564</v>
      </c>
      <c r="F40" t="s">
        <v>946</v>
      </c>
      <c r="G40" t="s">
        <v>1581</v>
      </c>
      <c r="H40" s="56">
        <f t="shared" si="3"/>
        <v>773.375</v>
      </c>
      <c r="I40" s="56">
        <v>123.74</v>
      </c>
    </row>
    <row r="41" spans="1:11">
      <c r="A41" t="s">
        <v>539</v>
      </c>
      <c r="B41" s="1">
        <v>41505</v>
      </c>
      <c r="C41">
        <v>8847</v>
      </c>
      <c r="D41">
        <v>1</v>
      </c>
      <c r="E41" t="s">
        <v>4564</v>
      </c>
      <c r="F41" t="s">
        <v>946</v>
      </c>
      <c r="G41" s="33" t="s">
        <v>947</v>
      </c>
      <c r="H41" s="56">
        <f t="shared" si="3"/>
        <v>362.125</v>
      </c>
      <c r="I41" s="56">
        <v>57.94</v>
      </c>
    </row>
    <row r="42" spans="1:11">
      <c r="A42" t="s">
        <v>539</v>
      </c>
      <c r="B42" s="1">
        <v>41505</v>
      </c>
      <c r="C42">
        <v>8847</v>
      </c>
      <c r="D42">
        <v>1</v>
      </c>
      <c r="E42" t="s">
        <v>4564</v>
      </c>
      <c r="F42" t="s">
        <v>946</v>
      </c>
      <c r="G42" s="33" t="s">
        <v>947</v>
      </c>
      <c r="H42" s="56">
        <f t="shared" si="3"/>
        <v>496.6875</v>
      </c>
      <c r="I42" s="56">
        <v>79.47</v>
      </c>
      <c r="J42" s="14">
        <f>4039.69-H35-H36-H37-H38-H39-H40-H41-H42</f>
        <v>2.5000000000545697E-3</v>
      </c>
      <c r="K42" s="14">
        <f>646.35-I35-I36-I37-I38-I39-I40-I41-I42</f>
        <v>0</v>
      </c>
    </row>
    <row r="43" spans="1:11">
      <c r="A43" t="s">
        <v>3984</v>
      </c>
      <c r="B43" s="1">
        <v>41514</v>
      </c>
      <c r="C43" t="s">
        <v>4506</v>
      </c>
      <c r="D43">
        <v>1</v>
      </c>
      <c r="E43" t="s">
        <v>4507</v>
      </c>
      <c r="F43" s="8" t="s">
        <v>921</v>
      </c>
      <c r="G43" s="9" t="s">
        <v>922</v>
      </c>
      <c r="H43" s="3">
        <f t="shared" ref="H43:H50" si="4">+I43/0.16</f>
        <v>-350000</v>
      </c>
      <c r="I43" s="3">
        <v>-56000</v>
      </c>
      <c r="J43" s="2"/>
    </row>
    <row r="44" spans="1:11">
      <c r="A44" t="s">
        <v>156</v>
      </c>
      <c r="B44" s="1">
        <v>41505</v>
      </c>
      <c r="C44" t="s">
        <v>4644</v>
      </c>
      <c r="D44">
        <v>1</v>
      </c>
      <c r="E44" t="s">
        <v>4289</v>
      </c>
      <c r="F44" s="9" t="s">
        <v>4338</v>
      </c>
      <c r="G44" s="9" t="s">
        <v>4289</v>
      </c>
      <c r="H44" s="3">
        <f t="shared" si="4"/>
        <v>11400</v>
      </c>
      <c r="I44" s="3">
        <v>1824</v>
      </c>
    </row>
    <row r="45" spans="1:11">
      <c r="A45" t="s">
        <v>4592</v>
      </c>
      <c r="B45" s="1">
        <v>41515</v>
      </c>
      <c r="C45">
        <v>8937</v>
      </c>
      <c r="D45">
        <v>1</v>
      </c>
      <c r="E45" t="s">
        <v>4194</v>
      </c>
      <c r="F45" t="s">
        <v>946</v>
      </c>
      <c r="G45" t="s">
        <v>947</v>
      </c>
      <c r="H45" s="3">
        <f t="shared" si="4"/>
        <v>1271.5625</v>
      </c>
      <c r="I45" s="3">
        <v>203.45</v>
      </c>
    </row>
    <row r="46" spans="1:11">
      <c r="A46" t="s">
        <v>680</v>
      </c>
      <c r="B46" s="1">
        <v>41517</v>
      </c>
      <c r="C46">
        <v>8953</v>
      </c>
      <c r="D46">
        <v>1</v>
      </c>
      <c r="E46" t="s">
        <v>4194</v>
      </c>
      <c r="F46" t="s">
        <v>946</v>
      </c>
      <c r="G46" t="s">
        <v>1581</v>
      </c>
      <c r="H46" s="3">
        <f t="shared" si="4"/>
        <v>168.1875</v>
      </c>
      <c r="I46" s="3">
        <v>26.91</v>
      </c>
    </row>
    <row r="47" spans="1:11">
      <c r="A47" t="s">
        <v>1344</v>
      </c>
      <c r="B47" s="1">
        <v>41513</v>
      </c>
      <c r="C47" t="s">
        <v>4503</v>
      </c>
      <c r="D47">
        <v>1</v>
      </c>
      <c r="E47" t="s">
        <v>385</v>
      </c>
      <c r="F47" s="12" t="s">
        <v>755</v>
      </c>
      <c r="G47" s="9" t="s">
        <v>756</v>
      </c>
      <c r="H47" s="3">
        <f t="shared" si="4"/>
        <v>221634.8125</v>
      </c>
      <c r="I47" s="3">
        <v>35461.57</v>
      </c>
      <c r="J47" s="56"/>
      <c r="K47" s="56"/>
    </row>
    <row r="48" spans="1:11">
      <c r="A48" t="s">
        <v>4457</v>
      </c>
      <c r="B48" s="1">
        <v>41503</v>
      </c>
      <c r="C48" t="s">
        <v>4458</v>
      </c>
      <c r="D48">
        <v>1</v>
      </c>
      <c r="E48" t="s">
        <v>4459</v>
      </c>
      <c r="F48" s="12" t="s">
        <v>755</v>
      </c>
      <c r="G48" s="9" t="s">
        <v>756</v>
      </c>
      <c r="H48" s="3">
        <f t="shared" si="4"/>
        <v>309184.5625</v>
      </c>
      <c r="I48" s="3">
        <v>49469.53</v>
      </c>
      <c r="J48" s="56"/>
      <c r="K48" s="56"/>
    </row>
    <row r="49" spans="1:11">
      <c r="A49" t="s">
        <v>2017</v>
      </c>
      <c r="B49" s="1">
        <v>41516</v>
      </c>
      <c r="C49" t="s">
        <v>4527</v>
      </c>
      <c r="D49">
        <v>1</v>
      </c>
      <c r="E49" t="s">
        <v>4528</v>
      </c>
      <c r="F49" s="12" t="s">
        <v>755</v>
      </c>
      <c r="G49" s="9" t="s">
        <v>756</v>
      </c>
      <c r="H49" s="3">
        <f t="shared" si="4"/>
        <v>253738.74999999997</v>
      </c>
      <c r="I49" s="3">
        <v>40598.199999999997</v>
      </c>
      <c r="J49" s="56"/>
      <c r="K49" s="56"/>
    </row>
    <row r="50" spans="1:11">
      <c r="A50" t="s">
        <v>2678</v>
      </c>
      <c r="B50" s="1">
        <v>41513</v>
      </c>
      <c r="C50">
        <v>8871</v>
      </c>
      <c r="D50">
        <v>1</v>
      </c>
      <c r="E50" t="s">
        <v>1421</v>
      </c>
      <c r="F50" s="12" t="s">
        <v>1575</v>
      </c>
      <c r="G50" s="9" t="s">
        <v>1421</v>
      </c>
      <c r="H50" s="3">
        <f t="shared" si="4"/>
        <v>175.875</v>
      </c>
      <c r="I50" s="3">
        <v>28.14</v>
      </c>
    </row>
    <row r="51" spans="1:11">
      <c r="A51" t="s">
        <v>4428</v>
      </c>
      <c r="B51" s="1">
        <v>41501</v>
      </c>
      <c r="C51" t="s">
        <v>4429</v>
      </c>
      <c r="D51">
        <v>1</v>
      </c>
      <c r="E51" t="s">
        <v>4430</v>
      </c>
      <c r="F51" s="28" t="s">
        <v>3794</v>
      </c>
      <c r="G51" s="28" t="s">
        <v>3795</v>
      </c>
      <c r="H51" s="56">
        <f t="shared" ref="H51:H53" si="5">I51/0.16</f>
        <v>454.1875</v>
      </c>
      <c r="I51" s="56">
        <v>72.67</v>
      </c>
      <c r="J51" s="3"/>
      <c r="K51" s="3"/>
    </row>
    <row r="52" spans="1:11">
      <c r="A52" t="s">
        <v>4428</v>
      </c>
      <c r="B52" s="1">
        <v>41501</v>
      </c>
      <c r="C52" t="s">
        <v>4429</v>
      </c>
      <c r="D52">
        <v>1</v>
      </c>
      <c r="E52" t="s">
        <v>4430</v>
      </c>
      <c r="F52" s="28" t="s">
        <v>923</v>
      </c>
      <c r="G52" s="28" t="s">
        <v>924</v>
      </c>
      <c r="H52" s="56">
        <f t="shared" si="5"/>
        <v>193.4375</v>
      </c>
      <c r="I52" s="56">
        <v>30.95</v>
      </c>
    </row>
    <row r="53" spans="1:11">
      <c r="A53" t="s">
        <v>4428</v>
      </c>
      <c r="B53" s="1">
        <v>41501</v>
      </c>
      <c r="C53" t="s">
        <v>4429</v>
      </c>
      <c r="D53">
        <v>1</v>
      </c>
      <c r="E53" t="s">
        <v>4430</v>
      </c>
      <c r="F53" t="s">
        <v>946</v>
      </c>
      <c r="G53" t="s">
        <v>947</v>
      </c>
      <c r="H53" s="56">
        <f t="shared" si="5"/>
        <v>632.8125</v>
      </c>
      <c r="I53" s="56">
        <v>101.25</v>
      </c>
      <c r="J53" s="14">
        <f>1280.44-H51-H52-H53</f>
        <v>2.5000000000545697E-3</v>
      </c>
      <c r="K53" s="14">
        <f>204.87-I51-I52-I53</f>
        <v>0</v>
      </c>
    </row>
    <row r="54" spans="1:11">
      <c r="A54" t="s">
        <v>24</v>
      </c>
      <c r="B54" s="1">
        <v>41492</v>
      </c>
      <c r="C54" t="s">
        <v>4397</v>
      </c>
      <c r="D54">
        <v>1</v>
      </c>
      <c r="E54" t="s">
        <v>4398</v>
      </c>
      <c r="F54" s="9" t="s">
        <v>761</v>
      </c>
      <c r="G54" s="9" t="s">
        <v>4398</v>
      </c>
      <c r="H54" s="3">
        <f>+I54/0.16</f>
        <v>175267.5625</v>
      </c>
      <c r="I54" s="3">
        <v>28042.81</v>
      </c>
    </row>
    <row r="55" spans="1:11">
      <c r="A55" t="s">
        <v>1259</v>
      </c>
      <c r="B55" s="1">
        <v>41517</v>
      </c>
      <c r="C55" t="s">
        <v>4227</v>
      </c>
      <c r="D55">
        <v>2</v>
      </c>
      <c r="E55" t="s">
        <v>1062</v>
      </c>
      <c r="F55" s="9" t="s">
        <v>1577</v>
      </c>
      <c r="G55" s="9" t="s">
        <v>1062</v>
      </c>
      <c r="H55" s="3">
        <f>+I55/0.16</f>
        <v>3372.4375</v>
      </c>
      <c r="I55" s="3">
        <v>539.59</v>
      </c>
    </row>
    <row r="56" spans="1:11">
      <c r="A56" t="s">
        <v>4575</v>
      </c>
      <c r="B56" s="1">
        <v>41515</v>
      </c>
      <c r="C56">
        <v>8906</v>
      </c>
      <c r="D56">
        <v>1</v>
      </c>
      <c r="E56" t="s">
        <v>4576</v>
      </c>
      <c r="F56" s="9" t="s">
        <v>4712</v>
      </c>
      <c r="G56" s="9" t="s">
        <v>4576</v>
      </c>
      <c r="H56" s="3">
        <f>+I56/0.16</f>
        <v>92.125</v>
      </c>
      <c r="I56" s="3">
        <v>14.74</v>
      </c>
    </row>
    <row r="57" spans="1:11">
      <c r="A57" t="s">
        <v>2643</v>
      </c>
      <c r="B57" s="1">
        <v>41502</v>
      </c>
      <c r="C57" t="s">
        <v>4552</v>
      </c>
      <c r="D57">
        <v>1</v>
      </c>
      <c r="E57" t="s">
        <v>4553</v>
      </c>
      <c r="F57" s="9" t="s">
        <v>2920</v>
      </c>
      <c r="G57" s="9" t="s">
        <v>4553</v>
      </c>
      <c r="H57" s="56">
        <f t="shared" ref="H57:H59" si="6">I57/0.16</f>
        <v>167.0625</v>
      </c>
      <c r="I57" s="56">
        <v>26.73</v>
      </c>
      <c r="J57" s="3"/>
      <c r="K57" s="3"/>
    </row>
    <row r="58" spans="1:11">
      <c r="A58" t="s">
        <v>2643</v>
      </c>
      <c r="B58" s="1">
        <v>41502</v>
      </c>
      <c r="C58" t="s">
        <v>4552</v>
      </c>
      <c r="D58">
        <v>1</v>
      </c>
      <c r="E58" t="s">
        <v>4553</v>
      </c>
      <c r="F58" s="9" t="s">
        <v>4713</v>
      </c>
      <c r="G58" s="9" t="s">
        <v>4714</v>
      </c>
      <c r="H58" s="56">
        <f t="shared" si="6"/>
        <v>75</v>
      </c>
      <c r="I58" s="56">
        <v>12</v>
      </c>
    </row>
    <row r="59" spans="1:11">
      <c r="A59" t="s">
        <v>2643</v>
      </c>
      <c r="B59" s="1">
        <v>41502</v>
      </c>
      <c r="C59" t="s">
        <v>4552</v>
      </c>
      <c r="D59">
        <v>1</v>
      </c>
      <c r="E59" t="s">
        <v>4553</v>
      </c>
      <c r="F59" t="s">
        <v>946</v>
      </c>
      <c r="G59" t="s">
        <v>947</v>
      </c>
      <c r="H59" s="56">
        <f t="shared" si="6"/>
        <v>56.0625</v>
      </c>
      <c r="I59" s="56">
        <v>8.9700000000000006</v>
      </c>
      <c r="J59" s="14">
        <f>298.13-H57-H58-H59</f>
        <v>4.9999999999954525E-3</v>
      </c>
      <c r="K59" s="14">
        <f>47.7-I57-I58-I59</f>
        <v>0</v>
      </c>
    </row>
    <row r="60" spans="1:11">
      <c r="A60" t="s">
        <v>2151</v>
      </c>
      <c r="B60" s="1">
        <v>41498</v>
      </c>
      <c r="C60" t="s">
        <v>4628</v>
      </c>
      <c r="D60">
        <v>1</v>
      </c>
      <c r="E60" t="s">
        <v>100</v>
      </c>
      <c r="F60" s="9" t="s">
        <v>764</v>
      </c>
      <c r="G60" s="9" t="s">
        <v>100</v>
      </c>
      <c r="H60" s="3">
        <f t="shared" ref="H60:H104" si="7">+I60/0.16</f>
        <v>21994.8125</v>
      </c>
      <c r="I60" s="3">
        <v>3519.17</v>
      </c>
    </row>
    <row r="61" spans="1:11">
      <c r="A61" t="s">
        <v>2593</v>
      </c>
      <c r="B61" s="1">
        <v>41517</v>
      </c>
      <c r="C61" t="s">
        <v>433</v>
      </c>
      <c r="D61">
        <v>1</v>
      </c>
      <c r="E61" t="s">
        <v>4546</v>
      </c>
      <c r="F61" s="13" t="s">
        <v>1578</v>
      </c>
      <c r="G61" s="75" t="s">
        <v>1579</v>
      </c>
      <c r="H61" s="3">
        <f t="shared" si="7"/>
        <v>1212.5</v>
      </c>
      <c r="I61" s="3">
        <v>194</v>
      </c>
    </row>
    <row r="62" spans="1:11">
      <c r="A62" t="s">
        <v>2588</v>
      </c>
      <c r="B62" s="1">
        <v>41517</v>
      </c>
      <c r="C62" t="s">
        <v>433</v>
      </c>
      <c r="D62">
        <v>1</v>
      </c>
      <c r="E62" t="s">
        <v>4544</v>
      </c>
      <c r="F62" s="12" t="s">
        <v>821</v>
      </c>
      <c r="G62" s="12" t="s">
        <v>2272</v>
      </c>
      <c r="H62" s="3">
        <f t="shared" si="7"/>
        <v>265</v>
      </c>
      <c r="I62" s="3">
        <v>42.4</v>
      </c>
    </row>
    <row r="63" spans="1:11">
      <c r="A63" t="s">
        <v>1055</v>
      </c>
      <c r="B63" s="1">
        <v>41517</v>
      </c>
      <c r="C63" t="s">
        <v>433</v>
      </c>
      <c r="D63">
        <v>1</v>
      </c>
      <c r="E63" t="s">
        <v>4540</v>
      </c>
      <c r="F63" s="12" t="s">
        <v>4715</v>
      </c>
      <c r="G63" s="9" t="s">
        <v>828</v>
      </c>
      <c r="H63" s="3">
        <f t="shared" si="7"/>
        <v>16324.75</v>
      </c>
      <c r="I63" s="3">
        <v>2611.96</v>
      </c>
    </row>
    <row r="64" spans="1:11">
      <c r="A64" t="s">
        <v>2605</v>
      </c>
      <c r="B64" s="1">
        <v>41517</v>
      </c>
      <c r="C64" t="s">
        <v>433</v>
      </c>
      <c r="D64">
        <v>1</v>
      </c>
      <c r="E64" t="s">
        <v>4549</v>
      </c>
      <c r="F64" s="12" t="s">
        <v>823</v>
      </c>
      <c r="G64" s="20" t="s">
        <v>824</v>
      </c>
      <c r="H64" s="3">
        <f t="shared" si="7"/>
        <v>348</v>
      </c>
      <c r="I64" s="3">
        <v>55.68</v>
      </c>
    </row>
    <row r="65" spans="1:11">
      <c r="A65" t="s">
        <v>2584</v>
      </c>
      <c r="B65" s="1">
        <v>41517</v>
      </c>
      <c r="C65" t="s">
        <v>433</v>
      </c>
      <c r="D65">
        <v>1</v>
      </c>
      <c r="E65" t="s">
        <v>4543</v>
      </c>
      <c r="F65" s="12" t="s">
        <v>830</v>
      </c>
      <c r="G65" s="20" t="s">
        <v>831</v>
      </c>
      <c r="H65" s="3">
        <f t="shared" si="7"/>
        <v>454.5</v>
      </c>
      <c r="I65" s="3">
        <v>72.72</v>
      </c>
    </row>
    <row r="66" spans="1:11">
      <c r="A66" t="s">
        <v>2591</v>
      </c>
      <c r="B66" s="1">
        <v>41517</v>
      </c>
      <c r="C66" t="s">
        <v>433</v>
      </c>
      <c r="D66">
        <v>1</v>
      </c>
      <c r="E66" t="s">
        <v>4545</v>
      </c>
      <c r="F66" s="12" t="s">
        <v>825</v>
      </c>
      <c r="G66" s="20" t="s">
        <v>826</v>
      </c>
      <c r="H66" s="3">
        <f t="shared" si="7"/>
        <v>26</v>
      </c>
      <c r="I66" s="3">
        <v>4.16</v>
      </c>
    </row>
    <row r="67" spans="1:11">
      <c r="A67" t="s">
        <v>2582</v>
      </c>
      <c r="B67" s="1">
        <v>41517</v>
      </c>
      <c r="C67" t="s">
        <v>433</v>
      </c>
      <c r="D67">
        <v>1</v>
      </c>
      <c r="E67" t="s">
        <v>4542</v>
      </c>
      <c r="F67" s="12" t="s">
        <v>915</v>
      </c>
      <c r="G67" s="20" t="s">
        <v>916</v>
      </c>
      <c r="H67" s="3">
        <f t="shared" si="7"/>
        <v>95</v>
      </c>
      <c r="I67" s="3">
        <v>15.2</v>
      </c>
    </row>
    <row r="68" spans="1:11">
      <c r="A68" t="s">
        <v>304</v>
      </c>
      <c r="B68" s="1">
        <v>41517</v>
      </c>
      <c r="C68" t="s">
        <v>4678</v>
      </c>
      <c r="D68">
        <v>1</v>
      </c>
      <c r="E68" t="s">
        <v>999</v>
      </c>
      <c r="F68" s="9" t="s">
        <v>1585</v>
      </c>
      <c r="G68" s="9" t="s">
        <v>999</v>
      </c>
      <c r="H68" s="3">
        <f t="shared" si="7"/>
        <v>10753.1875</v>
      </c>
      <c r="I68" s="3">
        <v>1720.51</v>
      </c>
    </row>
    <row r="69" spans="1:11">
      <c r="A69" t="s">
        <v>665</v>
      </c>
      <c r="B69" s="1">
        <v>41515</v>
      </c>
      <c r="C69">
        <v>8935</v>
      </c>
      <c r="D69">
        <v>1</v>
      </c>
      <c r="E69" t="s">
        <v>549</v>
      </c>
      <c r="F69" s="9" t="s">
        <v>767</v>
      </c>
      <c r="G69" s="9" t="s">
        <v>549</v>
      </c>
      <c r="H69" s="3">
        <f t="shared" si="7"/>
        <v>994.81249999999989</v>
      </c>
      <c r="I69" s="3">
        <v>159.16999999999999</v>
      </c>
    </row>
    <row r="70" spans="1:11">
      <c r="A70" t="s">
        <v>969</v>
      </c>
      <c r="B70" s="1">
        <v>41488</v>
      </c>
      <c r="C70" t="s">
        <v>4619</v>
      </c>
      <c r="D70">
        <v>1</v>
      </c>
      <c r="E70" t="s">
        <v>29</v>
      </c>
      <c r="F70" s="64" t="s">
        <v>772</v>
      </c>
      <c r="G70" s="9" t="s">
        <v>29</v>
      </c>
      <c r="H70" s="3">
        <f t="shared" si="7"/>
        <v>144899.0625</v>
      </c>
      <c r="I70" s="3">
        <v>23183.85</v>
      </c>
      <c r="J70" s="56"/>
      <c r="K70" s="56"/>
    </row>
    <row r="71" spans="1:11">
      <c r="A71" t="s">
        <v>4621</v>
      </c>
      <c r="B71" s="1">
        <v>41491</v>
      </c>
      <c r="C71" t="s">
        <v>4622</v>
      </c>
      <c r="D71">
        <v>1</v>
      </c>
      <c r="E71" t="s">
        <v>29</v>
      </c>
      <c r="F71" s="64" t="s">
        <v>772</v>
      </c>
      <c r="G71" s="9" t="s">
        <v>29</v>
      </c>
      <c r="H71" s="3">
        <f t="shared" si="7"/>
        <v>112500</v>
      </c>
      <c r="I71" s="3">
        <v>18000</v>
      </c>
      <c r="J71" s="56"/>
      <c r="K71" s="56"/>
    </row>
    <row r="72" spans="1:11">
      <c r="A72" t="s">
        <v>1027</v>
      </c>
      <c r="B72" s="1">
        <v>41495</v>
      </c>
      <c r="C72" t="s">
        <v>4625</v>
      </c>
      <c r="D72">
        <v>1</v>
      </c>
      <c r="E72" t="s">
        <v>29</v>
      </c>
      <c r="F72" s="64" t="s">
        <v>772</v>
      </c>
      <c r="G72" s="9" t="s">
        <v>29</v>
      </c>
      <c r="H72" s="3">
        <f t="shared" si="7"/>
        <v>102485.9375</v>
      </c>
      <c r="I72" s="3">
        <v>16397.75</v>
      </c>
      <c r="J72" s="56"/>
      <c r="K72" s="56"/>
    </row>
    <row r="73" spans="1:11">
      <c r="A73" t="s">
        <v>50</v>
      </c>
      <c r="B73" s="1">
        <v>41500</v>
      </c>
      <c r="C73" t="s">
        <v>4629</v>
      </c>
      <c r="D73">
        <v>1</v>
      </c>
      <c r="E73" t="s">
        <v>29</v>
      </c>
      <c r="F73" s="64" t="s">
        <v>772</v>
      </c>
      <c r="G73" s="9" t="s">
        <v>29</v>
      </c>
      <c r="H73" s="3">
        <f t="shared" si="7"/>
        <v>353304.3125</v>
      </c>
      <c r="I73" s="3">
        <v>56528.69</v>
      </c>
      <c r="J73" s="56"/>
      <c r="K73" s="56"/>
    </row>
    <row r="74" spans="1:11">
      <c r="A74" t="s">
        <v>98</v>
      </c>
      <c r="B74" s="1">
        <v>41502</v>
      </c>
      <c r="C74" t="s">
        <v>4634</v>
      </c>
      <c r="D74">
        <v>1</v>
      </c>
      <c r="E74" t="s">
        <v>29</v>
      </c>
      <c r="F74" s="64" t="s">
        <v>772</v>
      </c>
      <c r="G74" s="9" t="s">
        <v>29</v>
      </c>
      <c r="H74" s="3">
        <f t="shared" si="7"/>
        <v>48777.25</v>
      </c>
      <c r="I74" s="3">
        <v>7804.36</v>
      </c>
      <c r="J74" s="56"/>
      <c r="K74" s="56"/>
    </row>
    <row r="75" spans="1:11">
      <c r="A75" t="s">
        <v>136</v>
      </c>
      <c r="B75" s="1">
        <v>41505</v>
      </c>
      <c r="C75" t="s">
        <v>4640</v>
      </c>
      <c r="D75">
        <v>1</v>
      </c>
      <c r="E75" t="s">
        <v>29</v>
      </c>
      <c r="F75" s="64" t="s">
        <v>772</v>
      </c>
      <c r="G75" s="9" t="s">
        <v>29</v>
      </c>
      <c r="H75" s="3">
        <f t="shared" si="7"/>
        <v>33563.375</v>
      </c>
      <c r="I75" s="3">
        <v>5370.14</v>
      </c>
      <c r="J75" s="56"/>
      <c r="K75" s="56"/>
    </row>
    <row r="76" spans="1:11">
      <c r="A76" t="s">
        <v>2180</v>
      </c>
      <c r="B76" s="1">
        <v>41508</v>
      </c>
      <c r="C76" t="s">
        <v>4650</v>
      </c>
      <c r="D76">
        <v>1</v>
      </c>
      <c r="E76" t="s">
        <v>29</v>
      </c>
      <c r="F76" s="64" t="s">
        <v>772</v>
      </c>
      <c r="G76" s="9" t="s">
        <v>29</v>
      </c>
      <c r="H76" s="3">
        <f t="shared" si="7"/>
        <v>32443.124999999996</v>
      </c>
      <c r="I76" s="3">
        <v>5190.8999999999996</v>
      </c>
      <c r="J76" s="56"/>
      <c r="K76" s="56"/>
    </row>
    <row r="77" spans="1:11">
      <c r="A77" t="s">
        <v>1155</v>
      </c>
      <c r="B77" s="1">
        <v>41509</v>
      </c>
      <c r="C77" t="s">
        <v>4651</v>
      </c>
      <c r="D77">
        <v>1</v>
      </c>
      <c r="E77" t="s">
        <v>29</v>
      </c>
      <c r="F77" s="64" t="s">
        <v>772</v>
      </c>
      <c r="G77" s="9" t="s">
        <v>29</v>
      </c>
      <c r="H77" s="3">
        <f t="shared" si="7"/>
        <v>97471.5625</v>
      </c>
      <c r="I77" s="3">
        <v>15595.45</v>
      </c>
      <c r="J77" s="56"/>
      <c r="K77" s="56"/>
    </row>
    <row r="78" spans="1:11">
      <c r="A78" t="s">
        <v>1158</v>
      </c>
      <c r="B78" s="1">
        <v>41512</v>
      </c>
      <c r="C78" t="s">
        <v>4652</v>
      </c>
      <c r="D78">
        <v>1</v>
      </c>
      <c r="E78" t="s">
        <v>29</v>
      </c>
      <c r="F78" s="64" t="s">
        <v>772</v>
      </c>
      <c r="G78" s="9" t="s">
        <v>29</v>
      </c>
      <c r="H78" s="3">
        <f t="shared" si="7"/>
        <v>10539.3125</v>
      </c>
      <c r="I78" s="3">
        <v>1686.29</v>
      </c>
      <c r="J78" s="56"/>
      <c r="K78" s="56"/>
    </row>
    <row r="79" spans="1:11">
      <c r="A79" t="s">
        <v>1161</v>
      </c>
      <c r="B79" s="1">
        <v>41512</v>
      </c>
      <c r="C79" t="s">
        <v>4653</v>
      </c>
      <c r="D79">
        <v>1</v>
      </c>
      <c r="E79" t="s">
        <v>29</v>
      </c>
      <c r="F79" s="64" t="s">
        <v>772</v>
      </c>
      <c r="G79" s="9" t="s">
        <v>29</v>
      </c>
      <c r="H79" s="3">
        <f t="shared" si="7"/>
        <v>2977.1875</v>
      </c>
      <c r="I79" s="3">
        <v>476.35</v>
      </c>
      <c r="J79" s="56"/>
      <c r="K79" s="56"/>
    </row>
    <row r="80" spans="1:11">
      <c r="A80" t="s">
        <v>3701</v>
      </c>
      <c r="B80" s="1">
        <v>41515</v>
      </c>
      <c r="C80" t="s">
        <v>4661</v>
      </c>
      <c r="D80">
        <v>1</v>
      </c>
      <c r="E80" t="s">
        <v>29</v>
      </c>
      <c r="F80" s="64" t="s">
        <v>772</v>
      </c>
      <c r="G80" s="9" t="s">
        <v>29</v>
      </c>
      <c r="H80" s="3">
        <f t="shared" si="7"/>
        <v>5820</v>
      </c>
      <c r="I80" s="3">
        <v>931.2</v>
      </c>
      <c r="J80" s="56"/>
      <c r="K80" s="56"/>
    </row>
    <row r="81" spans="1:11">
      <c r="A81" t="s">
        <v>2774</v>
      </c>
      <c r="B81" s="1">
        <v>41515</v>
      </c>
      <c r="C81" t="s">
        <v>4662</v>
      </c>
      <c r="D81">
        <v>1</v>
      </c>
      <c r="E81" t="s">
        <v>29</v>
      </c>
      <c r="F81" s="64" t="s">
        <v>772</v>
      </c>
      <c r="G81" s="9" t="s">
        <v>29</v>
      </c>
      <c r="H81" s="3">
        <f t="shared" si="7"/>
        <v>27843.1875</v>
      </c>
      <c r="I81" s="3">
        <v>4454.91</v>
      </c>
      <c r="J81" s="56"/>
      <c r="K81" s="56"/>
    </row>
    <row r="82" spans="1:11">
      <c r="A82" t="s">
        <v>1217</v>
      </c>
      <c r="B82" s="1">
        <v>41515</v>
      </c>
      <c r="C82" t="s">
        <v>4663</v>
      </c>
      <c r="D82">
        <v>1</v>
      </c>
      <c r="E82" t="s">
        <v>29</v>
      </c>
      <c r="F82" s="64" t="s">
        <v>772</v>
      </c>
      <c r="G82" s="9" t="s">
        <v>29</v>
      </c>
      <c r="H82" s="3">
        <f t="shared" si="7"/>
        <v>1030.375</v>
      </c>
      <c r="I82" s="3">
        <v>164.86</v>
      </c>
      <c r="J82" s="56"/>
      <c r="K82" s="56"/>
    </row>
    <row r="83" spans="1:11">
      <c r="A83" t="s">
        <v>2192</v>
      </c>
      <c r="B83" s="1">
        <v>41515</v>
      </c>
      <c r="C83" t="s">
        <v>4664</v>
      </c>
      <c r="D83">
        <v>1</v>
      </c>
      <c r="E83" t="s">
        <v>29</v>
      </c>
      <c r="F83" s="64" t="s">
        <v>772</v>
      </c>
      <c r="G83" s="9" t="s">
        <v>29</v>
      </c>
      <c r="H83" s="3">
        <f t="shared" si="7"/>
        <v>1184</v>
      </c>
      <c r="I83" s="3">
        <v>189.44</v>
      </c>
      <c r="J83" s="56"/>
      <c r="K83" s="56"/>
    </row>
    <row r="84" spans="1:11">
      <c r="A84" t="s">
        <v>282</v>
      </c>
      <c r="B84" s="1">
        <v>41515</v>
      </c>
      <c r="C84" t="s">
        <v>4666</v>
      </c>
      <c r="D84">
        <v>1</v>
      </c>
      <c r="E84" t="s">
        <v>29</v>
      </c>
      <c r="F84" s="64" t="s">
        <v>772</v>
      </c>
      <c r="G84" s="9" t="s">
        <v>29</v>
      </c>
      <c r="H84" s="3">
        <f t="shared" si="7"/>
        <v>783.0625</v>
      </c>
      <c r="I84" s="3">
        <v>125.29</v>
      </c>
      <c r="J84" s="56"/>
      <c r="K84" s="56"/>
    </row>
    <row r="85" spans="1:11">
      <c r="A85" t="s">
        <v>2196</v>
      </c>
      <c r="B85" s="1">
        <v>41516</v>
      </c>
      <c r="C85" t="s">
        <v>4667</v>
      </c>
      <c r="D85">
        <v>1</v>
      </c>
      <c r="E85" t="s">
        <v>29</v>
      </c>
      <c r="F85" s="64" t="s">
        <v>772</v>
      </c>
      <c r="G85" s="9" t="s">
        <v>29</v>
      </c>
      <c r="H85" s="3">
        <f t="shared" si="7"/>
        <v>10454.25</v>
      </c>
      <c r="I85" s="3">
        <v>1672.68</v>
      </c>
      <c r="J85" s="56"/>
      <c r="K85" s="56"/>
    </row>
    <row r="86" spans="1:11">
      <c r="A86" t="s">
        <v>285</v>
      </c>
      <c r="B86" s="1">
        <v>41517</v>
      </c>
      <c r="C86" t="s">
        <v>4668</v>
      </c>
      <c r="D86">
        <v>1</v>
      </c>
      <c r="E86" t="s">
        <v>29</v>
      </c>
      <c r="F86" s="64" t="s">
        <v>772</v>
      </c>
      <c r="G86" s="9" t="s">
        <v>29</v>
      </c>
      <c r="H86" s="3">
        <f t="shared" si="7"/>
        <v>103641.93749999999</v>
      </c>
      <c r="I86" s="3">
        <v>16582.71</v>
      </c>
      <c r="J86" s="56"/>
      <c r="K86" s="56"/>
    </row>
    <row r="87" spans="1:11">
      <c r="A87" t="s">
        <v>2202</v>
      </c>
      <c r="B87" s="1">
        <v>41517</v>
      </c>
      <c r="C87" t="s">
        <v>4669</v>
      </c>
      <c r="D87">
        <v>1</v>
      </c>
      <c r="E87" t="s">
        <v>29</v>
      </c>
      <c r="F87" s="64" t="s">
        <v>772</v>
      </c>
      <c r="G87" s="9" t="s">
        <v>29</v>
      </c>
      <c r="H87" s="3">
        <f t="shared" si="7"/>
        <v>150368.0625</v>
      </c>
      <c r="I87" s="3">
        <v>24058.89</v>
      </c>
      <c r="J87" s="56"/>
      <c r="K87" s="56"/>
    </row>
    <row r="88" spans="1:11">
      <c r="A88" t="s">
        <v>2211</v>
      </c>
      <c r="B88" s="1">
        <v>41517</v>
      </c>
      <c r="C88" t="s">
        <v>4674</v>
      </c>
      <c r="D88">
        <v>1</v>
      </c>
      <c r="E88" t="s">
        <v>1239</v>
      </c>
      <c r="F88" s="9" t="s">
        <v>1587</v>
      </c>
      <c r="G88" s="9" t="s">
        <v>1239</v>
      </c>
      <c r="H88" s="3">
        <f t="shared" si="7"/>
        <v>348</v>
      </c>
      <c r="I88" s="3">
        <v>55.68</v>
      </c>
    </row>
    <row r="89" spans="1:11">
      <c r="A89" t="s">
        <v>4447</v>
      </c>
      <c r="B89" s="1">
        <v>41502</v>
      </c>
      <c r="C89">
        <v>8816</v>
      </c>
      <c r="D89">
        <v>1</v>
      </c>
      <c r="E89" t="s">
        <v>514</v>
      </c>
      <c r="F89" s="9" t="s">
        <v>773</v>
      </c>
      <c r="G89" s="9" t="s">
        <v>514</v>
      </c>
      <c r="H89" s="3">
        <f t="shared" si="7"/>
        <v>52.5625</v>
      </c>
      <c r="I89" s="3">
        <v>8.41</v>
      </c>
    </row>
    <row r="90" spans="1:11">
      <c r="A90" t="s">
        <v>2675</v>
      </c>
      <c r="B90" s="1">
        <v>41505</v>
      </c>
      <c r="C90">
        <v>8854</v>
      </c>
      <c r="D90">
        <v>1</v>
      </c>
      <c r="E90" t="s">
        <v>514</v>
      </c>
      <c r="F90" s="9" t="s">
        <v>773</v>
      </c>
      <c r="G90" s="9" t="s">
        <v>514</v>
      </c>
      <c r="H90" s="3">
        <f t="shared" si="7"/>
        <v>145.6875</v>
      </c>
      <c r="I90" s="3">
        <v>23.31</v>
      </c>
    </row>
    <row r="91" spans="1:11">
      <c r="A91" t="s">
        <v>650</v>
      </c>
      <c r="B91" s="1">
        <v>41515</v>
      </c>
      <c r="C91">
        <v>8928</v>
      </c>
      <c r="D91">
        <v>1</v>
      </c>
      <c r="E91" t="s">
        <v>514</v>
      </c>
      <c r="F91" s="9" t="s">
        <v>773</v>
      </c>
      <c r="G91" s="9" t="s">
        <v>514</v>
      </c>
      <c r="H91" s="3">
        <f t="shared" si="7"/>
        <v>81.8125</v>
      </c>
      <c r="I91" s="3">
        <v>13.09</v>
      </c>
    </row>
    <row r="92" spans="1:11">
      <c r="A92" t="s">
        <v>1393</v>
      </c>
      <c r="B92" s="1">
        <v>41516</v>
      </c>
      <c r="C92" t="s">
        <v>4525</v>
      </c>
      <c r="D92">
        <v>1</v>
      </c>
      <c r="E92" t="s">
        <v>3416</v>
      </c>
      <c r="F92" s="12" t="s">
        <v>775</v>
      </c>
      <c r="G92" s="9" t="s">
        <v>776</v>
      </c>
      <c r="H92" s="3">
        <f t="shared" si="7"/>
        <v>180602.62499999997</v>
      </c>
      <c r="I92" s="3">
        <v>28896.42</v>
      </c>
    </row>
    <row r="93" spans="1:11">
      <c r="A93" t="s">
        <v>4693</v>
      </c>
      <c r="B93" s="1">
        <v>41502</v>
      </c>
      <c r="C93" t="s">
        <v>4694</v>
      </c>
      <c r="D93">
        <v>1</v>
      </c>
      <c r="E93" t="s">
        <v>4695</v>
      </c>
      <c r="F93" s="67" t="s">
        <v>829</v>
      </c>
      <c r="G93" s="68" t="s">
        <v>6</v>
      </c>
      <c r="H93" s="3">
        <f t="shared" si="7"/>
        <v>968.3125</v>
      </c>
      <c r="I93" s="3">
        <v>154.93</v>
      </c>
    </row>
    <row r="94" spans="1:11">
      <c r="A94" t="s">
        <v>2231</v>
      </c>
      <c r="B94" s="1">
        <v>41517</v>
      </c>
      <c r="C94" t="s">
        <v>4691</v>
      </c>
      <c r="D94">
        <v>1</v>
      </c>
      <c r="E94" t="s">
        <v>983</v>
      </c>
      <c r="F94" s="9" t="s">
        <v>2849</v>
      </c>
      <c r="G94" s="9" t="s">
        <v>983</v>
      </c>
      <c r="H94" s="3">
        <f t="shared" si="7"/>
        <v>10000</v>
      </c>
      <c r="I94" s="3">
        <v>1600</v>
      </c>
    </row>
    <row r="95" spans="1:11">
      <c r="A95" t="s">
        <v>339</v>
      </c>
      <c r="B95" s="1">
        <v>41517</v>
      </c>
      <c r="C95" t="s">
        <v>4690</v>
      </c>
      <c r="D95">
        <v>1</v>
      </c>
      <c r="E95" t="s">
        <v>983</v>
      </c>
      <c r="F95" s="9" t="s">
        <v>2849</v>
      </c>
      <c r="G95" s="9" t="s">
        <v>983</v>
      </c>
      <c r="H95" s="3">
        <f t="shared" si="7"/>
        <v>40000</v>
      </c>
      <c r="I95" s="3">
        <v>6400</v>
      </c>
    </row>
    <row r="96" spans="1:11">
      <c r="A96" t="s">
        <v>4610</v>
      </c>
      <c r="B96" s="1">
        <v>41517</v>
      </c>
      <c r="C96" t="s">
        <v>4611</v>
      </c>
      <c r="D96">
        <v>1</v>
      </c>
      <c r="E96" t="s">
        <v>4612</v>
      </c>
      <c r="F96" s="9" t="s">
        <v>733</v>
      </c>
      <c r="G96" s="9" t="s">
        <v>124</v>
      </c>
      <c r="H96" s="3">
        <f t="shared" si="7"/>
        <v>-38400</v>
      </c>
      <c r="I96" s="3">
        <v>-6144</v>
      </c>
      <c r="J96" s="2"/>
    </row>
    <row r="97" spans="1:11">
      <c r="A97" t="s">
        <v>84</v>
      </c>
      <c r="B97" s="1">
        <v>41498</v>
      </c>
      <c r="C97" t="s">
        <v>4630</v>
      </c>
      <c r="D97">
        <v>1</v>
      </c>
      <c r="E97" t="s">
        <v>373</v>
      </c>
      <c r="F97" s="9" t="s">
        <v>780</v>
      </c>
      <c r="G97" s="9" t="s">
        <v>373</v>
      </c>
      <c r="H97" s="3">
        <f t="shared" si="7"/>
        <v>16019</v>
      </c>
      <c r="I97" s="3">
        <v>2563.04</v>
      </c>
    </row>
    <row r="98" spans="1:11">
      <c r="A98" t="s">
        <v>4281</v>
      </c>
      <c r="B98" s="1">
        <v>41517</v>
      </c>
      <c r="C98" t="s">
        <v>4681</v>
      </c>
      <c r="D98">
        <v>1</v>
      </c>
      <c r="E98" t="s">
        <v>373</v>
      </c>
      <c r="F98" s="9" t="s">
        <v>780</v>
      </c>
      <c r="G98" s="9" t="s">
        <v>373</v>
      </c>
      <c r="H98" s="3">
        <f t="shared" si="7"/>
        <v>15000</v>
      </c>
      <c r="I98" s="3">
        <v>2400</v>
      </c>
    </row>
    <row r="99" spans="1:11">
      <c r="A99" t="s">
        <v>154</v>
      </c>
      <c r="B99" s="1">
        <v>41505</v>
      </c>
      <c r="C99" t="s">
        <v>4643</v>
      </c>
      <c r="D99">
        <v>1</v>
      </c>
      <c r="E99" t="s">
        <v>80</v>
      </c>
      <c r="F99" s="9" t="s">
        <v>781</v>
      </c>
      <c r="G99" s="9" t="s">
        <v>80</v>
      </c>
      <c r="H99" s="3">
        <f t="shared" si="7"/>
        <v>756</v>
      </c>
      <c r="I99" s="3">
        <v>120.96</v>
      </c>
    </row>
    <row r="100" spans="1:11">
      <c r="A100" t="s">
        <v>317</v>
      </c>
      <c r="B100" s="1">
        <v>41517</v>
      </c>
      <c r="C100" t="s">
        <v>4683</v>
      </c>
      <c r="D100">
        <v>1</v>
      </c>
      <c r="E100" t="s">
        <v>80</v>
      </c>
      <c r="F100" s="9" t="s">
        <v>781</v>
      </c>
      <c r="G100" s="9" t="s">
        <v>80</v>
      </c>
      <c r="H100" s="3">
        <f t="shared" si="7"/>
        <v>4617</v>
      </c>
      <c r="I100" s="3">
        <v>738.72</v>
      </c>
    </row>
    <row r="101" spans="1:11">
      <c r="A101" t="s">
        <v>2685</v>
      </c>
      <c r="B101" s="1">
        <v>41513</v>
      </c>
      <c r="C101">
        <v>8877</v>
      </c>
      <c r="D101">
        <v>1</v>
      </c>
      <c r="E101" t="s">
        <v>618</v>
      </c>
      <c r="F101" s="12" t="s">
        <v>784</v>
      </c>
      <c r="G101" s="9" t="s">
        <v>618</v>
      </c>
      <c r="H101" s="3">
        <f t="shared" si="7"/>
        <v>172.4375</v>
      </c>
      <c r="I101" s="3">
        <v>27.59</v>
      </c>
    </row>
    <row r="102" spans="1:11">
      <c r="A102" t="s">
        <v>4608</v>
      </c>
      <c r="B102" s="1">
        <v>41516</v>
      </c>
      <c r="C102" t="s">
        <v>4609</v>
      </c>
      <c r="D102">
        <v>1</v>
      </c>
      <c r="E102" t="s">
        <v>618</v>
      </c>
      <c r="F102" s="9" t="s">
        <v>784</v>
      </c>
      <c r="G102" s="9" t="s">
        <v>618</v>
      </c>
      <c r="H102" s="3">
        <f t="shared" si="7"/>
        <v>426.75</v>
      </c>
      <c r="I102" s="3">
        <v>68.28</v>
      </c>
    </row>
    <row r="103" spans="1:11">
      <c r="A103" t="s">
        <v>559</v>
      </c>
      <c r="B103" s="1">
        <v>41513</v>
      </c>
      <c r="C103">
        <v>8873</v>
      </c>
      <c r="D103">
        <v>1</v>
      </c>
      <c r="E103" t="s">
        <v>1446</v>
      </c>
      <c r="F103" s="12" t="s">
        <v>1593</v>
      </c>
      <c r="G103" s="9" t="s">
        <v>1446</v>
      </c>
      <c r="H103" s="3">
        <f t="shared" si="7"/>
        <v>723.125</v>
      </c>
      <c r="I103" s="3">
        <v>115.7</v>
      </c>
    </row>
    <row r="104" spans="1:11">
      <c r="A104" t="s">
        <v>616</v>
      </c>
      <c r="B104" s="1">
        <v>41515</v>
      </c>
      <c r="C104">
        <v>8909</v>
      </c>
      <c r="D104">
        <v>1</v>
      </c>
      <c r="E104" t="s">
        <v>4580</v>
      </c>
      <c r="F104" s="9" t="s">
        <v>4716</v>
      </c>
      <c r="G104" s="9" t="s">
        <v>4580</v>
      </c>
      <c r="H104" s="3">
        <f t="shared" si="7"/>
        <v>706.9375</v>
      </c>
      <c r="I104" s="3">
        <v>113.11</v>
      </c>
    </row>
    <row r="105" spans="1:11">
      <c r="A105" t="s">
        <v>2651</v>
      </c>
      <c r="B105" s="1">
        <v>41505</v>
      </c>
      <c r="C105" t="s">
        <v>4556</v>
      </c>
      <c r="D105">
        <v>1</v>
      </c>
      <c r="E105" t="s">
        <v>4055</v>
      </c>
      <c r="F105" s="28" t="s">
        <v>935</v>
      </c>
      <c r="G105" s="28" t="s">
        <v>936</v>
      </c>
      <c r="H105" s="56">
        <f t="shared" ref="H105:H106" si="8">I105/0.16</f>
        <v>83.5625</v>
      </c>
      <c r="I105" s="56">
        <v>13.37</v>
      </c>
      <c r="J105" s="3"/>
      <c r="K105" s="3"/>
    </row>
    <row r="106" spans="1:11">
      <c r="A106" t="s">
        <v>2651</v>
      </c>
      <c r="B106" s="1">
        <v>41505</v>
      </c>
      <c r="C106" t="s">
        <v>4556</v>
      </c>
      <c r="D106">
        <v>1</v>
      </c>
      <c r="E106" t="s">
        <v>4055</v>
      </c>
      <c r="F106" t="s">
        <v>946</v>
      </c>
      <c r="G106" t="s">
        <v>947</v>
      </c>
      <c r="H106" s="56">
        <f t="shared" si="8"/>
        <v>56.0625</v>
      </c>
      <c r="I106" s="56">
        <v>8.9700000000000006</v>
      </c>
      <c r="J106" s="14">
        <f>139.63-H105-H106</f>
        <v>4.9999999999954525E-3</v>
      </c>
      <c r="K106" s="14">
        <f>22.34-I105-I106</f>
        <v>0</v>
      </c>
    </row>
    <row r="107" spans="1:11">
      <c r="A107" t="s">
        <v>1029</v>
      </c>
      <c r="B107" s="1">
        <v>41498</v>
      </c>
      <c r="C107" t="s">
        <v>4626</v>
      </c>
      <c r="D107">
        <v>1</v>
      </c>
      <c r="E107" t="s">
        <v>973</v>
      </c>
      <c r="F107" s="9" t="s">
        <v>1594</v>
      </c>
      <c r="G107" s="9" t="s">
        <v>973</v>
      </c>
      <c r="H107" s="3">
        <f t="shared" ref="H107:H112" si="9">+I107/0.16</f>
        <v>22090.5</v>
      </c>
      <c r="I107" s="3">
        <v>3534.48</v>
      </c>
    </row>
    <row r="108" spans="1:11">
      <c r="A108" t="s">
        <v>2710</v>
      </c>
      <c r="B108" s="1">
        <v>41498</v>
      </c>
      <c r="C108" t="s">
        <v>4627</v>
      </c>
      <c r="D108">
        <v>1</v>
      </c>
      <c r="E108" t="s">
        <v>973</v>
      </c>
      <c r="F108" s="9" t="s">
        <v>1594</v>
      </c>
      <c r="G108" s="9" t="s">
        <v>973</v>
      </c>
      <c r="H108" s="3">
        <f t="shared" si="9"/>
        <v>5718.9375</v>
      </c>
      <c r="I108" s="3">
        <v>915.03</v>
      </c>
    </row>
    <row r="109" spans="1:11">
      <c r="A109" t="s">
        <v>224</v>
      </c>
      <c r="B109" s="1">
        <v>41513</v>
      </c>
      <c r="C109" t="s">
        <v>4656</v>
      </c>
      <c r="D109">
        <v>1</v>
      </c>
      <c r="E109" t="s">
        <v>973</v>
      </c>
      <c r="F109" s="36" t="s">
        <v>1594</v>
      </c>
      <c r="G109" s="9" t="s">
        <v>973</v>
      </c>
      <c r="H109" s="3">
        <f t="shared" si="9"/>
        <v>4180.375</v>
      </c>
      <c r="I109" s="3">
        <v>668.86</v>
      </c>
    </row>
    <row r="110" spans="1:11">
      <c r="A110" t="s">
        <v>4481</v>
      </c>
      <c r="B110" s="1">
        <v>41509</v>
      </c>
      <c r="C110" t="s">
        <v>4482</v>
      </c>
      <c r="D110">
        <v>1</v>
      </c>
      <c r="E110" t="s">
        <v>4483</v>
      </c>
      <c r="F110" s="9" t="s">
        <v>1595</v>
      </c>
      <c r="G110" s="9" t="s">
        <v>4483</v>
      </c>
      <c r="H110" s="3">
        <f t="shared" si="9"/>
        <v>221634.8125</v>
      </c>
      <c r="I110" s="3">
        <v>35461.57</v>
      </c>
    </row>
    <row r="111" spans="1:11">
      <c r="A111" t="s">
        <v>564</v>
      </c>
      <c r="B111" s="1">
        <v>41513</v>
      </c>
      <c r="C111">
        <v>8875</v>
      </c>
      <c r="D111">
        <v>1</v>
      </c>
      <c r="E111" t="s">
        <v>1444</v>
      </c>
      <c r="F111" s="12" t="s">
        <v>789</v>
      </c>
      <c r="G111" s="9" t="s">
        <v>1444</v>
      </c>
      <c r="H111" s="3">
        <f t="shared" si="9"/>
        <v>136.25</v>
      </c>
      <c r="I111" s="3">
        <v>21.8</v>
      </c>
    </row>
    <row r="112" spans="1:11">
      <c r="A112" t="s">
        <v>1678</v>
      </c>
      <c r="B112" s="1">
        <v>41517</v>
      </c>
      <c r="C112" t="s">
        <v>4538</v>
      </c>
      <c r="D112">
        <v>1</v>
      </c>
      <c r="E112" t="s">
        <v>4539</v>
      </c>
      <c r="F112" s="67" t="s">
        <v>829</v>
      </c>
      <c r="G112" s="68" t="s">
        <v>6</v>
      </c>
      <c r="H112" s="3">
        <f t="shared" si="9"/>
        <v>584.3125</v>
      </c>
      <c r="I112" s="3">
        <v>93.49</v>
      </c>
    </row>
    <row r="113" spans="1:12">
      <c r="A113" t="s">
        <v>677</v>
      </c>
      <c r="B113" s="1">
        <v>41515</v>
      </c>
      <c r="C113" t="s">
        <v>4597</v>
      </c>
      <c r="D113">
        <v>1</v>
      </c>
      <c r="E113" t="s">
        <v>1656</v>
      </c>
      <c r="F113" s="28" t="s">
        <v>923</v>
      </c>
      <c r="G113" s="28" t="s">
        <v>924</v>
      </c>
      <c r="H113" s="56">
        <f t="shared" ref="H113:H122" si="10">I113/0.16</f>
        <v>208.875</v>
      </c>
      <c r="I113" s="56">
        <v>33.42</v>
      </c>
      <c r="J113" s="3"/>
      <c r="K113" s="3"/>
    </row>
    <row r="114" spans="1:12">
      <c r="A114" t="s">
        <v>677</v>
      </c>
      <c r="B114" s="1">
        <v>41515</v>
      </c>
      <c r="C114" t="s">
        <v>4597</v>
      </c>
      <c r="D114">
        <v>1</v>
      </c>
      <c r="E114" t="s">
        <v>1656</v>
      </c>
      <c r="F114" s="9" t="s">
        <v>4717</v>
      </c>
      <c r="G114" s="9" t="s">
        <v>4718</v>
      </c>
      <c r="H114" s="56">
        <f t="shared" si="10"/>
        <v>66.375</v>
      </c>
      <c r="I114" s="56">
        <v>10.62</v>
      </c>
    </row>
    <row r="115" spans="1:12">
      <c r="A115" t="s">
        <v>677</v>
      </c>
      <c r="B115" s="1">
        <v>41515</v>
      </c>
      <c r="C115" t="s">
        <v>4597</v>
      </c>
      <c r="D115">
        <v>1</v>
      </c>
      <c r="E115" t="s">
        <v>1656</v>
      </c>
      <c r="F115" t="s">
        <v>946</v>
      </c>
      <c r="G115" t="s">
        <v>947</v>
      </c>
      <c r="H115" s="56">
        <f t="shared" si="10"/>
        <v>599.3125</v>
      </c>
      <c r="I115" s="56">
        <f>95.88+0.01</f>
        <v>95.89</v>
      </c>
    </row>
    <row r="116" spans="1:12">
      <c r="A116" t="s">
        <v>677</v>
      </c>
      <c r="B116" s="1">
        <v>41515</v>
      </c>
      <c r="C116" t="s">
        <v>4597</v>
      </c>
      <c r="D116">
        <v>1</v>
      </c>
      <c r="E116" t="s">
        <v>1656</v>
      </c>
      <c r="F116" s="28" t="s">
        <v>1655</v>
      </c>
      <c r="G116" s="28" t="s">
        <v>1656</v>
      </c>
      <c r="H116" s="56">
        <f t="shared" si="10"/>
        <v>742.3125</v>
      </c>
      <c r="I116" s="56">
        <v>118.77</v>
      </c>
    </row>
    <row r="117" spans="1:12">
      <c r="A117" t="s">
        <v>677</v>
      </c>
      <c r="B117" s="1">
        <v>41515</v>
      </c>
      <c r="C117" t="s">
        <v>4597</v>
      </c>
      <c r="D117">
        <v>1</v>
      </c>
      <c r="E117" t="s">
        <v>1656</v>
      </c>
      <c r="F117" s="28" t="s">
        <v>2903</v>
      </c>
      <c r="G117" s="28" t="s">
        <v>2904</v>
      </c>
      <c r="H117" s="56">
        <f t="shared" si="10"/>
        <v>683.6875</v>
      </c>
      <c r="I117" s="56">
        <v>109.39</v>
      </c>
      <c r="J117" s="14">
        <f>2300.56-H113-H114-H115-H116-H117</f>
        <v>-2.5000000000545697E-3</v>
      </c>
      <c r="K117" s="14">
        <f>368.09-I113-I114-I115-I116-I117</f>
        <v>0</v>
      </c>
      <c r="L117" t="s">
        <v>900</v>
      </c>
    </row>
    <row r="118" spans="1:12">
      <c r="A118" t="s">
        <v>512</v>
      </c>
      <c r="B118" s="1">
        <v>41505</v>
      </c>
      <c r="C118" t="s">
        <v>4558</v>
      </c>
      <c r="D118">
        <v>1</v>
      </c>
      <c r="E118" t="s">
        <v>4139</v>
      </c>
      <c r="F118" s="28" t="s">
        <v>4349</v>
      </c>
      <c r="G118" s="28" t="s">
        <v>4720</v>
      </c>
      <c r="H118" s="56">
        <f t="shared" si="10"/>
        <v>375.875</v>
      </c>
      <c r="I118" s="56">
        <v>60.14</v>
      </c>
      <c r="J118" s="3"/>
      <c r="K118" s="3"/>
    </row>
    <row r="119" spans="1:12">
      <c r="A119" t="s">
        <v>512</v>
      </c>
      <c r="B119" s="1">
        <v>41505</v>
      </c>
      <c r="C119" t="s">
        <v>4558</v>
      </c>
      <c r="D119">
        <v>1</v>
      </c>
      <c r="E119" t="s">
        <v>4139</v>
      </c>
      <c r="F119" t="s">
        <v>946</v>
      </c>
      <c r="G119" t="s">
        <v>947</v>
      </c>
      <c r="H119" s="56">
        <f t="shared" si="10"/>
        <v>226.8125</v>
      </c>
      <c r="I119" s="56">
        <f>38.29-2</f>
        <v>36.29</v>
      </c>
    </row>
    <row r="120" spans="1:12">
      <c r="A120" t="s">
        <v>512</v>
      </c>
      <c r="B120" s="1">
        <v>41505</v>
      </c>
      <c r="C120" t="s">
        <v>4558</v>
      </c>
      <c r="D120">
        <v>1</v>
      </c>
      <c r="E120" t="s">
        <v>4139</v>
      </c>
      <c r="F120" s="9" t="s">
        <v>1649</v>
      </c>
      <c r="G120" s="9" t="s">
        <v>1650</v>
      </c>
      <c r="H120" s="56">
        <f t="shared" si="10"/>
        <v>86.187499999999986</v>
      </c>
      <c r="I120" s="56">
        <v>13.79</v>
      </c>
      <c r="J120" s="14">
        <f>688.88-H118-H119-H120</f>
        <v>5.0000000000096634E-3</v>
      </c>
      <c r="K120" s="14">
        <f>110.22-I118-I119-I120</f>
        <v>0</v>
      </c>
      <c r="L120" t="s">
        <v>900</v>
      </c>
    </row>
    <row r="121" spans="1:12">
      <c r="A121" t="s">
        <v>2654</v>
      </c>
      <c r="B121" s="1">
        <v>41505</v>
      </c>
      <c r="C121" t="s">
        <v>4557</v>
      </c>
      <c r="D121">
        <v>1</v>
      </c>
      <c r="E121" t="s">
        <v>4081</v>
      </c>
      <c r="F121" s="28" t="s">
        <v>954</v>
      </c>
      <c r="G121" s="28" t="s">
        <v>4721</v>
      </c>
      <c r="H121" s="56">
        <f t="shared" si="10"/>
        <v>86.5</v>
      </c>
      <c r="I121" s="56">
        <v>13.84</v>
      </c>
      <c r="J121" s="3"/>
      <c r="K121" s="3"/>
    </row>
    <row r="122" spans="1:12">
      <c r="A122" t="s">
        <v>2654</v>
      </c>
      <c r="B122" s="1">
        <v>41505</v>
      </c>
      <c r="C122" t="s">
        <v>4557</v>
      </c>
      <c r="D122">
        <v>1</v>
      </c>
      <c r="E122" t="s">
        <v>4081</v>
      </c>
      <c r="F122" t="s">
        <v>946</v>
      </c>
      <c r="G122" t="s">
        <v>947</v>
      </c>
      <c r="H122" s="56">
        <f t="shared" si="10"/>
        <v>56.0625</v>
      </c>
      <c r="I122" s="56">
        <v>8.9700000000000006</v>
      </c>
      <c r="J122" s="14">
        <f>142.56-H121-H122</f>
        <v>-2.4999999999977263E-3</v>
      </c>
      <c r="K122" s="14">
        <f>22.81-I121-I122</f>
        <v>0</v>
      </c>
    </row>
    <row r="123" spans="1:12">
      <c r="A123" t="s">
        <v>4590</v>
      </c>
      <c r="B123" s="1">
        <v>41515</v>
      </c>
      <c r="C123">
        <v>8932</v>
      </c>
      <c r="D123">
        <v>1</v>
      </c>
      <c r="E123" t="s">
        <v>4591</v>
      </c>
      <c r="F123" s="9" t="s">
        <v>880</v>
      </c>
      <c r="G123" s="9" t="s">
        <v>4722</v>
      </c>
      <c r="H123" s="3">
        <f t="shared" ref="H123:H146" si="11">+I123/0.16</f>
        <v>61.25</v>
      </c>
      <c r="I123" s="3">
        <v>9.8000000000000007</v>
      </c>
    </row>
    <row r="124" spans="1:12">
      <c r="A124" t="s">
        <v>4441</v>
      </c>
      <c r="B124" s="1">
        <v>41502</v>
      </c>
      <c r="C124">
        <v>8808</v>
      </c>
      <c r="D124">
        <v>1</v>
      </c>
      <c r="E124" t="s">
        <v>612</v>
      </c>
      <c r="F124" s="9" t="s">
        <v>794</v>
      </c>
      <c r="G124" s="9" t="s">
        <v>612</v>
      </c>
      <c r="H124" s="3">
        <f t="shared" si="11"/>
        <v>80.625</v>
      </c>
      <c r="I124" s="3">
        <v>12.9</v>
      </c>
    </row>
    <row r="125" spans="1:12">
      <c r="A125" t="s">
        <v>4446</v>
      </c>
      <c r="B125" s="1">
        <v>41502</v>
      </c>
      <c r="C125">
        <v>8815</v>
      </c>
      <c r="D125">
        <v>1</v>
      </c>
      <c r="E125" t="s">
        <v>612</v>
      </c>
      <c r="F125" s="9" t="s">
        <v>794</v>
      </c>
      <c r="G125" s="9" t="s">
        <v>612</v>
      </c>
      <c r="H125" s="3">
        <f t="shared" si="11"/>
        <v>297.5625</v>
      </c>
      <c r="I125" s="3">
        <v>47.61</v>
      </c>
    </row>
    <row r="126" spans="1:12">
      <c r="A126" t="s">
        <v>579</v>
      </c>
      <c r="B126" s="1">
        <v>41513</v>
      </c>
      <c r="C126">
        <v>8881</v>
      </c>
      <c r="D126">
        <v>1</v>
      </c>
      <c r="E126" t="s">
        <v>612</v>
      </c>
      <c r="F126" s="12" t="s">
        <v>794</v>
      </c>
      <c r="G126" s="9" t="s">
        <v>612</v>
      </c>
      <c r="H126" s="3">
        <f t="shared" si="11"/>
        <v>233.1875</v>
      </c>
      <c r="I126" s="3">
        <v>37.31</v>
      </c>
    </row>
    <row r="127" spans="1:12">
      <c r="A127" t="s">
        <v>4569</v>
      </c>
      <c r="B127" s="1">
        <v>41513</v>
      </c>
      <c r="C127">
        <v>8884</v>
      </c>
      <c r="D127">
        <v>1</v>
      </c>
      <c r="E127" t="s">
        <v>612</v>
      </c>
      <c r="F127" s="12" t="s">
        <v>794</v>
      </c>
      <c r="G127" s="9" t="s">
        <v>612</v>
      </c>
      <c r="H127" s="3">
        <f t="shared" si="11"/>
        <v>335.3125</v>
      </c>
      <c r="I127" s="3">
        <v>53.65</v>
      </c>
    </row>
    <row r="128" spans="1:12">
      <c r="A128" t="s">
        <v>591</v>
      </c>
      <c r="B128" s="1">
        <v>41513</v>
      </c>
      <c r="C128">
        <v>8890</v>
      </c>
      <c r="D128">
        <v>1</v>
      </c>
      <c r="E128" t="s">
        <v>612</v>
      </c>
      <c r="F128" s="12" t="s">
        <v>794</v>
      </c>
      <c r="G128" s="9" t="s">
        <v>612</v>
      </c>
      <c r="H128" s="3">
        <f t="shared" si="11"/>
        <v>133</v>
      </c>
      <c r="I128" s="3">
        <v>21.28</v>
      </c>
    </row>
    <row r="129" spans="1:9">
      <c r="A129" t="s">
        <v>4577</v>
      </c>
      <c r="B129" s="1">
        <v>41515</v>
      </c>
      <c r="C129">
        <v>8907</v>
      </c>
      <c r="D129">
        <v>1</v>
      </c>
      <c r="E129" t="s">
        <v>612</v>
      </c>
      <c r="F129" s="9" t="s">
        <v>794</v>
      </c>
      <c r="G129" s="9" t="s">
        <v>612</v>
      </c>
      <c r="H129" s="3">
        <f t="shared" si="11"/>
        <v>40.375</v>
      </c>
      <c r="I129" s="3">
        <v>6.46</v>
      </c>
    </row>
    <row r="130" spans="1:9">
      <c r="A130" t="s">
        <v>619</v>
      </c>
      <c r="B130" s="1">
        <v>41515</v>
      </c>
      <c r="C130">
        <v>8910</v>
      </c>
      <c r="D130">
        <v>1</v>
      </c>
      <c r="E130" t="s">
        <v>612</v>
      </c>
      <c r="F130" s="9" t="s">
        <v>794</v>
      </c>
      <c r="G130" s="9" t="s">
        <v>612</v>
      </c>
      <c r="H130" s="3">
        <f t="shared" si="11"/>
        <v>78.25</v>
      </c>
      <c r="I130" s="3">
        <v>12.52</v>
      </c>
    </row>
    <row r="131" spans="1:9">
      <c r="A131" t="s">
        <v>624</v>
      </c>
      <c r="B131" s="1">
        <v>41515</v>
      </c>
      <c r="C131">
        <v>8919</v>
      </c>
      <c r="D131">
        <v>1</v>
      </c>
      <c r="E131" t="s">
        <v>612</v>
      </c>
      <c r="F131" s="9" t="s">
        <v>794</v>
      </c>
      <c r="G131" s="9" t="s">
        <v>612</v>
      </c>
      <c r="H131" s="3">
        <f t="shared" si="11"/>
        <v>76.6875</v>
      </c>
      <c r="I131" s="3">
        <v>12.27</v>
      </c>
    </row>
    <row r="132" spans="1:9">
      <c r="A132" t="s">
        <v>4593</v>
      </c>
      <c r="B132" s="1">
        <v>41515</v>
      </c>
      <c r="C132">
        <v>8947</v>
      </c>
      <c r="D132">
        <v>1</v>
      </c>
      <c r="E132" t="s">
        <v>612</v>
      </c>
      <c r="F132" s="9" t="s">
        <v>794</v>
      </c>
      <c r="G132" s="9" t="s">
        <v>612</v>
      </c>
      <c r="H132" s="3">
        <f t="shared" si="11"/>
        <v>23.625</v>
      </c>
      <c r="I132" s="3">
        <v>3.78</v>
      </c>
    </row>
    <row r="133" spans="1:9">
      <c r="A133" t="s">
        <v>4439</v>
      </c>
      <c r="B133" s="1">
        <v>41502</v>
      </c>
      <c r="C133">
        <v>8807</v>
      </c>
      <c r="D133">
        <v>1</v>
      </c>
      <c r="E133" t="s">
        <v>4440</v>
      </c>
      <c r="F133" s="9" t="s">
        <v>778</v>
      </c>
      <c r="G133" s="9" t="s">
        <v>779</v>
      </c>
      <c r="H133" s="3">
        <f t="shared" si="11"/>
        <v>1150</v>
      </c>
      <c r="I133" s="3">
        <v>184</v>
      </c>
    </row>
    <row r="134" spans="1:9">
      <c r="A134" t="s">
        <v>221</v>
      </c>
      <c r="B134" s="1">
        <v>41513</v>
      </c>
      <c r="C134" t="s">
        <v>4655</v>
      </c>
      <c r="D134">
        <v>1</v>
      </c>
      <c r="E134" t="s">
        <v>1011</v>
      </c>
      <c r="F134" s="12" t="s">
        <v>1600</v>
      </c>
      <c r="G134" s="9" t="s">
        <v>1011</v>
      </c>
      <c r="H134" s="3">
        <f t="shared" si="11"/>
        <v>10379.375</v>
      </c>
      <c r="I134" s="3">
        <v>1660.7</v>
      </c>
    </row>
    <row r="135" spans="1:9">
      <c r="A135" t="s">
        <v>203</v>
      </c>
      <c r="B135" s="1">
        <v>41512</v>
      </c>
      <c r="C135" t="s">
        <v>4654</v>
      </c>
      <c r="D135">
        <v>1</v>
      </c>
      <c r="E135" t="s">
        <v>965</v>
      </c>
      <c r="F135" s="9" t="s">
        <v>4723</v>
      </c>
      <c r="G135" s="9" t="s">
        <v>4724</v>
      </c>
      <c r="H135" s="3">
        <f t="shared" si="11"/>
        <v>301.75</v>
      </c>
      <c r="I135" s="3">
        <v>48.28</v>
      </c>
    </row>
    <row r="136" spans="1:9">
      <c r="A136" t="s">
        <v>4578</v>
      </c>
      <c r="B136" s="1">
        <v>41515</v>
      </c>
      <c r="C136">
        <v>8908</v>
      </c>
      <c r="D136">
        <v>1</v>
      </c>
      <c r="E136" t="s">
        <v>4579</v>
      </c>
      <c r="F136" s="9" t="s">
        <v>4725</v>
      </c>
      <c r="G136" s="9" t="s">
        <v>4579</v>
      </c>
      <c r="H136" s="3">
        <f t="shared" si="11"/>
        <v>250.25</v>
      </c>
      <c r="I136" s="3">
        <v>40.04</v>
      </c>
    </row>
    <row r="137" spans="1:9">
      <c r="A137" t="s">
        <v>4583</v>
      </c>
      <c r="B137" s="1">
        <v>41515</v>
      </c>
      <c r="C137">
        <v>8921</v>
      </c>
      <c r="D137">
        <v>1</v>
      </c>
      <c r="E137" t="s">
        <v>4579</v>
      </c>
      <c r="F137" s="9" t="s">
        <v>4725</v>
      </c>
      <c r="G137" s="9" t="s">
        <v>4579</v>
      </c>
      <c r="H137" s="3">
        <f t="shared" si="11"/>
        <v>84.125</v>
      </c>
      <c r="I137" s="3">
        <v>13.46</v>
      </c>
    </row>
    <row r="138" spans="1:9">
      <c r="A138" t="s">
        <v>87</v>
      </c>
      <c r="B138" s="1">
        <v>41498</v>
      </c>
      <c r="C138" t="s">
        <v>4631</v>
      </c>
      <c r="D138">
        <v>1</v>
      </c>
      <c r="E138" t="s">
        <v>77</v>
      </c>
      <c r="F138" s="9" t="s">
        <v>798</v>
      </c>
      <c r="G138" s="9" t="s">
        <v>77</v>
      </c>
      <c r="H138" s="3">
        <f t="shared" si="11"/>
        <v>2721.8125</v>
      </c>
      <c r="I138" s="3">
        <v>435.49</v>
      </c>
    </row>
    <row r="139" spans="1:9">
      <c r="A139" t="s">
        <v>320</v>
      </c>
      <c r="B139" s="1">
        <v>41517</v>
      </c>
      <c r="C139" t="s">
        <v>4684</v>
      </c>
      <c r="D139">
        <v>1</v>
      </c>
      <c r="E139" t="s">
        <v>77</v>
      </c>
      <c r="F139" s="9" t="s">
        <v>798</v>
      </c>
      <c r="G139" s="9" t="s">
        <v>77</v>
      </c>
      <c r="H139" s="3">
        <f t="shared" si="11"/>
        <v>675</v>
      </c>
      <c r="I139" s="3">
        <v>108</v>
      </c>
    </row>
    <row r="140" spans="1:9">
      <c r="A140" t="s">
        <v>613</v>
      </c>
      <c r="B140" s="1">
        <v>41515</v>
      </c>
      <c r="C140">
        <v>8904</v>
      </c>
      <c r="D140">
        <v>1</v>
      </c>
      <c r="E140" t="s">
        <v>4573</v>
      </c>
      <c r="F140" s="9" t="s">
        <v>4726</v>
      </c>
      <c r="G140" s="9" t="s">
        <v>4573</v>
      </c>
      <c r="H140" s="3">
        <f t="shared" si="11"/>
        <v>46.5</v>
      </c>
      <c r="I140" s="3">
        <v>7.44</v>
      </c>
    </row>
    <row r="141" spans="1:9">
      <c r="A141" t="s">
        <v>647</v>
      </c>
      <c r="B141" s="1">
        <v>41515</v>
      </c>
      <c r="C141">
        <v>8926</v>
      </c>
      <c r="D141">
        <v>1</v>
      </c>
      <c r="E141" t="s">
        <v>4589</v>
      </c>
      <c r="F141" s="9" t="s">
        <v>4727</v>
      </c>
      <c r="G141" s="9" t="s">
        <v>4589</v>
      </c>
      <c r="H141" s="3">
        <f t="shared" si="11"/>
        <v>850</v>
      </c>
      <c r="I141" s="3">
        <v>136</v>
      </c>
    </row>
    <row r="142" spans="1:9">
      <c r="A142" t="s">
        <v>4574</v>
      </c>
      <c r="B142" s="1">
        <v>41515</v>
      </c>
      <c r="C142">
        <v>8905</v>
      </c>
      <c r="D142">
        <v>1</v>
      </c>
      <c r="E142" t="s">
        <v>2571</v>
      </c>
      <c r="F142" s="9" t="s">
        <v>2853</v>
      </c>
      <c r="G142" s="9" t="s">
        <v>2571</v>
      </c>
      <c r="H142" s="3">
        <f t="shared" si="11"/>
        <v>590.5</v>
      </c>
      <c r="I142" s="3">
        <v>94.48</v>
      </c>
    </row>
    <row r="143" spans="1:9">
      <c r="A143" t="s">
        <v>1126</v>
      </c>
      <c r="B143" s="1">
        <v>41507</v>
      </c>
      <c r="C143" t="s">
        <v>4648</v>
      </c>
      <c r="D143">
        <v>2</v>
      </c>
      <c r="E143" t="s">
        <v>74</v>
      </c>
      <c r="F143" s="9" t="s">
        <v>803</v>
      </c>
      <c r="G143" s="9" t="s">
        <v>74</v>
      </c>
      <c r="H143" s="3">
        <f t="shared" si="11"/>
        <v>9229.625</v>
      </c>
      <c r="I143" s="3">
        <v>1476.74</v>
      </c>
    </row>
    <row r="144" spans="1:9">
      <c r="A144" t="s">
        <v>1255</v>
      </c>
      <c r="B144" s="1">
        <v>41517</v>
      </c>
      <c r="C144" t="s">
        <v>4226</v>
      </c>
      <c r="D144">
        <v>2</v>
      </c>
      <c r="E144" t="s">
        <v>74</v>
      </c>
      <c r="F144" s="9" t="s">
        <v>803</v>
      </c>
      <c r="G144" s="9" t="s">
        <v>74</v>
      </c>
      <c r="H144" s="3">
        <f t="shared" si="11"/>
        <v>5719.375</v>
      </c>
      <c r="I144" s="3">
        <v>915.1</v>
      </c>
    </row>
    <row r="145" spans="1:11">
      <c r="A145" t="s">
        <v>1067</v>
      </c>
      <c r="B145" s="1">
        <v>41505</v>
      </c>
      <c r="C145" t="s">
        <v>4635</v>
      </c>
      <c r="D145">
        <v>1</v>
      </c>
      <c r="E145" t="s">
        <v>112</v>
      </c>
      <c r="F145" s="9" t="s">
        <v>805</v>
      </c>
      <c r="G145" s="9" t="s">
        <v>112</v>
      </c>
      <c r="H145" s="3">
        <f t="shared" si="11"/>
        <v>25000</v>
      </c>
      <c r="I145" s="3">
        <v>4000</v>
      </c>
    </row>
    <row r="146" spans="1:11">
      <c r="A146" t="s">
        <v>122</v>
      </c>
      <c r="B146" s="1">
        <v>41505</v>
      </c>
      <c r="C146" t="s">
        <v>4637</v>
      </c>
      <c r="D146">
        <v>1</v>
      </c>
      <c r="E146" t="s">
        <v>112</v>
      </c>
      <c r="F146" s="9" t="s">
        <v>805</v>
      </c>
      <c r="G146" s="9" t="s">
        <v>112</v>
      </c>
      <c r="H146" s="3">
        <f t="shared" si="11"/>
        <v>10000</v>
      </c>
      <c r="I146" s="3">
        <v>1600</v>
      </c>
    </row>
    <row r="147" spans="1:11">
      <c r="A147" t="s">
        <v>1111</v>
      </c>
      <c r="B147" s="1">
        <v>41502</v>
      </c>
      <c r="C147" t="s">
        <v>4435</v>
      </c>
      <c r="D147">
        <v>1</v>
      </c>
      <c r="E147" t="s">
        <v>4436</v>
      </c>
      <c r="F147" s="28" t="s">
        <v>4728</v>
      </c>
      <c r="G147" s="28" t="s">
        <v>4729</v>
      </c>
      <c r="H147" s="56">
        <f t="shared" ref="H147:H152" si="12">I147/0.16</f>
        <v>409.375</v>
      </c>
      <c r="I147" s="56">
        <v>65.5</v>
      </c>
      <c r="J147" s="3"/>
      <c r="K147" s="3"/>
    </row>
    <row r="148" spans="1:11">
      <c r="A148" t="s">
        <v>1111</v>
      </c>
      <c r="B148" s="1">
        <v>41502</v>
      </c>
      <c r="C148" t="s">
        <v>4435</v>
      </c>
      <c r="D148">
        <v>1</v>
      </c>
      <c r="E148" t="s">
        <v>4436</v>
      </c>
      <c r="F148" t="s">
        <v>946</v>
      </c>
      <c r="G148" s="33" t="s">
        <v>947</v>
      </c>
      <c r="H148" s="56">
        <f t="shared" si="12"/>
        <v>1005.25</v>
      </c>
      <c r="I148" s="56">
        <v>160.84</v>
      </c>
    </row>
    <row r="149" spans="1:11">
      <c r="A149" t="s">
        <v>1111</v>
      </c>
      <c r="B149" s="1">
        <v>41502</v>
      </c>
      <c r="C149" t="s">
        <v>4435</v>
      </c>
      <c r="D149">
        <v>1</v>
      </c>
      <c r="E149" t="s">
        <v>4436</v>
      </c>
      <c r="F149" s="28" t="s">
        <v>4730</v>
      </c>
      <c r="G149" s="28" t="s">
        <v>4731</v>
      </c>
      <c r="H149" s="56">
        <f t="shared" si="12"/>
        <v>435.25</v>
      </c>
      <c r="I149" s="56">
        <v>69.64</v>
      </c>
    </row>
    <row r="150" spans="1:11">
      <c r="A150" t="s">
        <v>1111</v>
      </c>
      <c r="B150" s="1">
        <v>41502</v>
      </c>
      <c r="C150" t="s">
        <v>4435</v>
      </c>
      <c r="D150">
        <v>1</v>
      </c>
      <c r="E150" t="s">
        <v>4436</v>
      </c>
      <c r="F150" s="9" t="s">
        <v>4732</v>
      </c>
      <c r="G150" s="9" t="s">
        <v>4733</v>
      </c>
      <c r="H150" s="56">
        <f t="shared" si="12"/>
        <v>90</v>
      </c>
      <c r="I150" s="56">
        <v>14.4</v>
      </c>
    </row>
    <row r="151" spans="1:11">
      <c r="A151" t="s">
        <v>1111</v>
      </c>
      <c r="B151" s="1">
        <v>41502</v>
      </c>
      <c r="C151" t="s">
        <v>4435</v>
      </c>
      <c r="D151">
        <v>1</v>
      </c>
      <c r="E151" t="s">
        <v>4436</v>
      </c>
      <c r="F151" s="28" t="s">
        <v>4734</v>
      </c>
      <c r="G151" s="28" t="s">
        <v>4735</v>
      </c>
      <c r="H151" s="56">
        <f t="shared" si="12"/>
        <v>406.25</v>
      </c>
      <c r="I151" s="56">
        <v>65</v>
      </c>
    </row>
    <row r="152" spans="1:11">
      <c r="A152" t="s">
        <v>1111</v>
      </c>
      <c r="B152" s="1">
        <v>41502</v>
      </c>
      <c r="C152" t="s">
        <v>4435</v>
      </c>
      <c r="D152">
        <v>1</v>
      </c>
      <c r="E152" t="s">
        <v>4436</v>
      </c>
      <c r="F152" s="28" t="s">
        <v>4736</v>
      </c>
      <c r="G152" s="28" t="s">
        <v>4737</v>
      </c>
      <c r="H152" s="56">
        <f t="shared" si="12"/>
        <v>415.9375</v>
      </c>
      <c r="I152" s="56">
        <v>66.55</v>
      </c>
      <c r="J152" s="14">
        <f>2762.06-H147-H148-H149-H150-H151-H152</f>
        <v>-2.5000000000545697E-3</v>
      </c>
      <c r="K152" s="14">
        <f>441.93-I147-I148-I149-I150-I151-I152</f>
        <v>0</v>
      </c>
    </row>
    <row r="153" spans="1:11">
      <c r="A153" t="s">
        <v>297</v>
      </c>
      <c r="B153" s="1">
        <v>41517</v>
      </c>
      <c r="C153" t="s">
        <v>4675</v>
      </c>
      <c r="D153">
        <v>1</v>
      </c>
      <c r="E153" t="s">
        <v>2724</v>
      </c>
      <c r="F153" s="9" t="s">
        <v>2855</v>
      </c>
      <c r="G153" s="9" t="s">
        <v>2724</v>
      </c>
      <c r="H153" s="3">
        <f t="shared" ref="H153:H186" si="13">+I153/0.16</f>
        <v>3500</v>
      </c>
      <c r="I153" s="3">
        <v>560</v>
      </c>
    </row>
    <row r="154" spans="1:11">
      <c r="A154" t="s">
        <v>2945</v>
      </c>
      <c r="B154" s="1">
        <v>41498</v>
      </c>
      <c r="C154" t="s">
        <v>4403</v>
      </c>
      <c r="D154">
        <v>1</v>
      </c>
      <c r="E154" t="s">
        <v>4404</v>
      </c>
      <c r="F154" s="64" t="s">
        <v>1594</v>
      </c>
      <c r="G154" s="9" t="s">
        <v>973</v>
      </c>
      <c r="H154" s="3">
        <f t="shared" si="13"/>
        <v>4713.5</v>
      </c>
      <c r="I154" s="3">
        <v>754.16</v>
      </c>
    </row>
    <row r="155" spans="1:11">
      <c r="A155" t="s">
        <v>347</v>
      </c>
      <c r="B155" s="1">
        <v>41517</v>
      </c>
      <c r="C155" t="s">
        <v>4692</v>
      </c>
      <c r="D155">
        <v>2</v>
      </c>
      <c r="E155" t="s">
        <v>207</v>
      </c>
      <c r="F155" s="9" t="s">
        <v>806</v>
      </c>
      <c r="G155" s="9" t="s">
        <v>207</v>
      </c>
      <c r="H155" s="3">
        <f t="shared" si="13"/>
        <v>1102.5</v>
      </c>
      <c r="I155" s="3">
        <v>176.4</v>
      </c>
    </row>
    <row r="156" spans="1:11">
      <c r="A156" t="s">
        <v>3869</v>
      </c>
      <c r="B156" s="1">
        <v>41502</v>
      </c>
      <c r="C156" t="s">
        <v>4437</v>
      </c>
      <c r="D156">
        <v>1</v>
      </c>
      <c r="E156" t="s">
        <v>4438</v>
      </c>
      <c r="F156" s="9" t="s">
        <v>811</v>
      </c>
      <c r="G156" s="9" t="s">
        <v>4438</v>
      </c>
      <c r="H156" s="3">
        <f t="shared" si="13"/>
        <v>51</v>
      </c>
      <c r="I156" s="3">
        <v>8.16</v>
      </c>
    </row>
    <row r="157" spans="1:11">
      <c r="A157" t="s">
        <v>556</v>
      </c>
      <c r="B157" s="1">
        <v>41513</v>
      </c>
      <c r="C157">
        <v>8870</v>
      </c>
      <c r="D157">
        <v>1</v>
      </c>
      <c r="E157" t="s">
        <v>4568</v>
      </c>
      <c r="F157" s="12" t="s">
        <v>2290</v>
      </c>
      <c r="G157" s="9" t="s">
        <v>4568</v>
      </c>
      <c r="H157" s="3">
        <f t="shared" si="13"/>
        <v>425</v>
      </c>
      <c r="I157" s="3">
        <v>68</v>
      </c>
    </row>
    <row r="158" spans="1:11">
      <c r="A158" t="s">
        <v>553</v>
      </c>
      <c r="B158" s="1">
        <v>41513</v>
      </c>
      <c r="C158">
        <v>8869</v>
      </c>
      <c r="D158">
        <v>1</v>
      </c>
      <c r="E158" t="s">
        <v>4567</v>
      </c>
      <c r="F158" s="12" t="s">
        <v>4738</v>
      </c>
      <c r="G158" s="9" t="s">
        <v>4567</v>
      </c>
      <c r="H158" s="3">
        <f t="shared" si="13"/>
        <v>48</v>
      </c>
      <c r="I158" s="3">
        <v>7.68</v>
      </c>
    </row>
    <row r="159" spans="1:11">
      <c r="A159" t="s">
        <v>2596</v>
      </c>
      <c r="B159" s="1">
        <v>41517</v>
      </c>
      <c r="C159" t="s">
        <v>433</v>
      </c>
      <c r="D159">
        <v>1</v>
      </c>
      <c r="E159" t="s">
        <v>4547</v>
      </c>
      <c r="F159" s="12" t="s">
        <v>950</v>
      </c>
      <c r="G159" s="20" t="s">
        <v>951</v>
      </c>
      <c r="H159" s="3">
        <f t="shared" si="13"/>
        <v>7103.7499999999991</v>
      </c>
      <c r="I159" s="3">
        <v>1136.5999999999999</v>
      </c>
    </row>
    <row r="160" spans="1:11">
      <c r="A160" t="s">
        <v>335</v>
      </c>
      <c r="B160" s="1">
        <v>41517</v>
      </c>
      <c r="C160" t="s">
        <v>4688</v>
      </c>
      <c r="D160">
        <v>2</v>
      </c>
      <c r="E160" t="s">
        <v>4689</v>
      </c>
      <c r="F160" s="9" t="s">
        <v>1594</v>
      </c>
      <c r="G160" s="9" t="s">
        <v>4739</v>
      </c>
      <c r="H160" s="3">
        <f t="shared" si="13"/>
        <v>6321.125</v>
      </c>
      <c r="I160" s="3">
        <v>1011.38</v>
      </c>
    </row>
    <row r="161" spans="1:12">
      <c r="A161" t="s">
        <v>2740</v>
      </c>
      <c r="B161" s="1">
        <v>41505</v>
      </c>
      <c r="C161" t="s">
        <v>4646</v>
      </c>
      <c r="D161">
        <v>1</v>
      </c>
      <c r="E161" t="s">
        <v>1128</v>
      </c>
      <c r="F161" s="9" t="s">
        <v>802</v>
      </c>
      <c r="G161" s="9" t="s">
        <v>226</v>
      </c>
      <c r="H161" s="3">
        <f t="shared" si="13"/>
        <v>304</v>
      </c>
      <c r="I161" s="3">
        <v>48.64</v>
      </c>
    </row>
    <row r="162" spans="1:12">
      <c r="A162" t="s">
        <v>1472</v>
      </c>
      <c r="B162" s="1">
        <v>41487</v>
      </c>
      <c r="C162" t="s">
        <v>4533</v>
      </c>
      <c r="D162">
        <v>1</v>
      </c>
      <c r="E162" t="s">
        <v>5</v>
      </c>
      <c r="F162" s="18" t="s">
        <v>816</v>
      </c>
      <c r="G162" s="19" t="s">
        <v>5</v>
      </c>
      <c r="H162" s="3">
        <f t="shared" si="13"/>
        <v>107142.68750000001</v>
      </c>
      <c r="I162" s="3">
        <v>17142.830000000002</v>
      </c>
    </row>
    <row r="163" spans="1:12">
      <c r="A163" t="s">
        <v>3172</v>
      </c>
      <c r="B163" s="1">
        <v>41487</v>
      </c>
      <c r="C163" t="s">
        <v>4533</v>
      </c>
      <c r="D163">
        <v>1</v>
      </c>
      <c r="E163" t="s">
        <v>2</v>
      </c>
      <c r="F163" s="18" t="s">
        <v>843</v>
      </c>
      <c r="G163" s="19" t="s">
        <v>844</v>
      </c>
      <c r="H163" s="3">
        <f t="shared" si="13"/>
        <v>107142.68750000001</v>
      </c>
      <c r="I163" s="3">
        <v>17142.830000000002</v>
      </c>
    </row>
    <row r="164" spans="1:12">
      <c r="A164" t="s">
        <v>641</v>
      </c>
      <c r="B164" s="1">
        <v>41517</v>
      </c>
      <c r="C164" t="s">
        <v>4584</v>
      </c>
      <c r="D164">
        <v>1</v>
      </c>
      <c r="E164" t="s">
        <v>694</v>
      </c>
      <c r="F164" s="12" t="s">
        <v>931</v>
      </c>
      <c r="G164" s="9" t="s">
        <v>4740</v>
      </c>
      <c r="H164" s="3">
        <f t="shared" si="13"/>
        <v>307.0625</v>
      </c>
      <c r="I164" s="3">
        <v>49.13</v>
      </c>
    </row>
    <row r="165" spans="1:12">
      <c r="A165" t="s">
        <v>644</v>
      </c>
      <c r="B165" s="1">
        <v>41517</v>
      </c>
      <c r="C165" t="s">
        <v>4586</v>
      </c>
      <c r="D165">
        <v>1</v>
      </c>
      <c r="E165" t="s">
        <v>694</v>
      </c>
      <c r="F165" s="12" t="s">
        <v>931</v>
      </c>
      <c r="G165" s="9" t="s">
        <v>4740</v>
      </c>
      <c r="H165" s="3">
        <f t="shared" si="13"/>
        <v>87.749999999999986</v>
      </c>
      <c r="I165" s="3">
        <v>14.04</v>
      </c>
    </row>
    <row r="166" spans="1:12">
      <c r="A166" t="s">
        <v>4415</v>
      </c>
      <c r="B166" s="1">
        <v>41500</v>
      </c>
      <c r="C166" t="s">
        <v>4416</v>
      </c>
      <c r="D166">
        <v>1</v>
      </c>
      <c r="E166" t="s">
        <v>57</v>
      </c>
      <c r="F166" s="8" t="s">
        <v>921</v>
      </c>
      <c r="G166" s="9" t="s">
        <v>922</v>
      </c>
      <c r="H166" s="3">
        <f t="shared" si="13"/>
        <v>23064.875</v>
      </c>
      <c r="I166" s="3">
        <v>3690.38</v>
      </c>
    </row>
    <row r="167" spans="1:12">
      <c r="A167" t="s">
        <v>4453</v>
      </c>
      <c r="B167" s="1">
        <v>41503</v>
      </c>
      <c r="C167" t="s">
        <v>4454</v>
      </c>
      <c r="D167">
        <v>1</v>
      </c>
      <c r="E167" t="s">
        <v>57</v>
      </c>
      <c r="F167" s="8" t="s">
        <v>921</v>
      </c>
      <c r="G167" s="9" t="s">
        <v>922</v>
      </c>
      <c r="H167" s="3">
        <f t="shared" si="13"/>
        <v>3571.125</v>
      </c>
      <c r="I167" s="3">
        <v>571.38</v>
      </c>
    </row>
    <row r="168" spans="1:12">
      <c r="A168" t="s">
        <v>4455</v>
      </c>
      <c r="B168" s="1">
        <v>41503</v>
      </c>
      <c r="C168" t="s">
        <v>4456</v>
      </c>
      <c r="D168">
        <v>1</v>
      </c>
      <c r="E168" t="s">
        <v>57</v>
      </c>
      <c r="F168" s="8" t="s">
        <v>921</v>
      </c>
      <c r="G168" s="9" t="s">
        <v>922</v>
      </c>
      <c r="H168" s="3">
        <f t="shared" si="13"/>
        <v>1587.625</v>
      </c>
      <c r="I168" s="3">
        <v>254.02</v>
      </c>
    </row>
    <row r="169" spans="1:12">
      <c r="A169" t="s">
        <v>4499</v>
      </c>
      <c r="B169" s="1">
        <v>41512</v>
      </c>
      <c r="C169" t="s">
        <v>4500</v>
      </c>
      <c r="D169">
        <v>1</v>
      </c>
      <c r="E169" t="s">
        <v>57</v>
      </c>
      <c r="F169" s="8" t="s">
        <v>921</v>
      </c>
      <c r="G169" s="9" t="s">
        <v>922</v>
      </c>
      <c r="H169" s="3">
        <f t="shared" si="13"/>
        <v>31726.125</v>
      </c>
      <c r="I169" s="3">
        <v>5076.18</v>
      </c>
    </row>
    <row r="170" spans="1:12">
      <c r="A170" t="s">
        <v>4017</v>
      </c>
      <c r="B170" s="1">
        <v>41517</v>
      </c>
      <c r="C170" t="s">
        <v>4618</v>
      </c>
      <c r="D170">
        <v>1</v>
      </c>
      <c r="E170" t="s">
        <v>57</v>
      </c>
      <c r="F170" t="s">
        <v>921</v>
      </c>
      <c r="G170" t="s">
        <v>922</v>
      </c>
      <c r="H170" s="3">
        <f t="shared" si="13"/>
        <v>782.0625</v>
      </c>
      <c r="I170" s="3">
        <v>125.13</v>
      </c>
      <c r="K170" s="135">
        <f t="shared" ref="K170:K171" si="14">+L170/0.16</f>
        <v>782.0625</v>
      </c>
      <c r="L170" s="135">
        <v>125.13</v>
      </c>
    </row>
    <row r="171" spans="1:12">
      <c r="A171" t="s">
        <v>4615</v>
      </c>
      <c r="B171" s="1">
        <v>41516</v>
      </c>
      <c r="C171" t="s">
        <v>4616</v>
      </c>
      <c r="D171">
        <v>1</v>
      </c>
      <c r="E171" t="s">
        <v>4617</v>
      </c>
      <c r="F171" t="s">
        <v>829</v>
      </c>
      <c r="G171" t="s">
        <v>6</v>
      </c>
      <c r="H171" s="3">
        <f t="shared" si="13"/>
        <v>8730</v>
      </c>
      <c r="I171" s="3">
        <v>1396.8</v>
      </c>
      <c r="K171" s="135">
        <f t="shared" si="14"/>
        <v>8730</v>
      </c>
      <c r="L171" s="135">
        <v>1396.8</v>
      </c>
    </row>
    <row r="172" spans="1:12">
      <c r="A172" t="s">
        <v>2738</v>
      </c>
      <c r="B172" s="1">
        <v>41505</v>
      </c>
      <c r="C172" t="s">
        <v>4645</v>
      </c>
      <c r="D172">
        <v>1</v>
      </c>
      <c r="E172" t="s">
        <v>1065</v>
      </c>
      <c r="F172" s="28" t="s">
        <v>943</v>
      </c>
      <c r="G172" s="28" t="s">
        <v>3761</v>
      </c>
      <c r="H172" s="3">
        <f t="shared" si="13"/>
        <v>167</v>
      </c>
      <c r="I172" s="3">
        <v>26.72</v>
      </c>
    </row>
    <row r="173" spans="1:12">
      <c r="A173" t="s">
        <v>152</v>
      </c>
      <c r="B173" s="1">
        <v>41505</v>
      </c>
      <c r="C173" t="s">
        <v>4642</v>
      </c>
      <c r="D173">
        <v>1</v>
      </c>
      <c r="E173" t="s">
        <v>83</v>
      </c>
      <c r="F173" s="28" t="s">
        <v>877</v>
      </c>
      <c r="G173" s="28" t="s">
        <v>223</v>
      </c>
      <c r="H173" s="3">
        <f t="shared" si="13"/>
        <v>8177.8125</v>
      </c>
      <c r="I173" s="3">
        <v>1308.45</v>
      </c>
    </row>
    <row r="174" spans="1:12">
      <c r="A174" t="s">
        <v>2204</v>
      </c>
      <c r="B174" s="1">
        <v>41517</v>
      </c>
      <c r="C174" t="s">
        <v>4670</v>
      </c>
      <c r="D174">
        <v>1</v>
      </c>
      <c r="E174" t="s">
        <v>83</v>
      </c>
      <c r="F174" s="28" t="s">
        <v>877</v>
      </c>
      <c r="G174" s="28" t="s">
        <v>223</v>
      </c>
      <c r="H174" s="3">
        <f t="shared" si="13"/>
        <v>20269.5625</v>
      </c>
      <c r="I174" s="3">
        <v>3243.13</v>
      </c>
    </row>
    <row r="175" spans="1:12">
      <c r="A175" t="s">
        <v>327</v>
      </c>
      <c r="B175" s="1">
        <v>41517</v>
      </c>
      <c r="C175" t="s">
        <v>4687</v>
      </c>
      <c r="D175">
        <v>1</v>
      </c>
      <c r="E175" t="s">
        <v>83</v>
      </c>
      <c r="F175" s="28" t="s">
        <v>877</v>
      </c>
      <c r="G175" s="28" t="s">
        <v>223</v>
      </c>
      <c r="H175" s="3">
        <f t="shared" si="13"/>
        <v>12045.9375</v>
      </c>
      <c r="I175" s="3">
        <v>1927.35</v>
      </c>
    </row>
    <row r="176" spans="1:12">
      <c r="A176" t="s">
        <v>1804</v>
      </c>
      <c r="B176" s="1">
        <v>41502</v>
      </c>
      <c r="C176">
        <v>8809</v>
      </c>
      <c r="D176">
        <v>1</v>
      </c>
      <c r="E176" t="s">
        <v>4442</v>
      </c>
      <c r="F176" s="9" t="s">
        <v>738</v>
      </c>
      <c r="G176" s="9" t="s">
        <v>4442</v>
      </c>
      <c r="H176" s="3">
        <f t="shared" si="13"/>
        <v>67.8125</v>
      </c>
      <c r="I176" s="3">
        <v>10.85</v>
      </c>
    </row>
    <row r="177" spans="1:11">
      <c r="A177" t="s">
        <v>550</v>
      </c>
      <c r="B177" s="1">
        <v>41505</v>
      </c>
      <c r="C177">
        <v>8855</v>
      </c>
      <c r="D177">
        <v>1</v>
      </c>
      <c r="E177" t="s">
        <v>1449</v>
      </c>
      <c r="F177" s="9" t="s">
        <v>1615</v>
      </c>
      <c r="G177" s="9" t="s">
        <v>1449</v>
      </c>
      <c r="H177" s="3">
        <f t="shared" si="13"/>
        <v>67.5</v>
      </c>
      <c r="I177" s="3">
        <v>10.8</v>
      </c>
    </row>
    <row r="178" spans="1:11">
      <c r="A178" t="s">
        <v>597</v>
      </c>
      <c r="B178" s="1">
        <v>41513</v>
      </c>
      <c r="C178">
        <v>8894</v>
      </c>
      <c r="D178">
        <v>1</v>
      </c>
      <c r="E178" t="s">
        <v>584</v>
      </c>
      <c r="F178" s="12" t="s">
        <v>818</v>
      </c>
      <c r="G178" s="9" t="s">
        <v>584</v>
      </c>
      <c r="H178" s="3">
        <f t="shared" si="13"/>
        <v>437.875</v>
      </c>
      <c r="I178" s="3">
        <v>70.06</v>
      </c>
    </row>
    <row r="179" spans="1:11">
      <c r="A179" t="s">
        <v>610</v>
      </c>
      <c r="B179" s="1">
        <v>41515</v>
      </c>
      <c r="C179">
        <v>8902</v>
      </c>
      <c r="D179">
        <v>1</v>
      </c>
      <c r="E179" t="s">
        <v>584</v>
      </c>
      <c r="F179" s="9" t="s">
        <v>818</v>
      </c>
      <c r="G179" s="9" t="s">
        <v>584</v>
      </c>
      <c r="H179" s="3">
        <f t="shared" si="13"/>
        <v>28.875</v>
      </c>
      <c r="I179" s="3">
        <v>4.62</v>
      </c>
    </row>
    <row r="180" spans="1:11">
      <c r="A180" t="s">
        <v>4582</v>
      </c>
      <c r="B180" s="1">
        <v>41515</v>
      </c>
      <c r="C180">
        <v>8918</v>
      </c>
      <c r="D180">
        <v>1</v>
      </c>
      <c r="E180" t="s">
        <v>584</v>
      </c>
      <c r="F180" s="9" t="s">
        <v>818</v>
      </c>
      <c r="G180" s="9" t="s">
        <v>584</v>
      </c>
      <c r="H180" s="3">
        <f t="shared" si="13"/>
        <v>358.5</v>
      </c>
      <c r="I180" s="3">
        <v>57.36</v>
      </c>
    </row>
    <row r="181" spans="1:11">
      <c r="A181" t="s">
        <v>307</v>
      </c>
      <c r="B181" s="1">
        <v>41517</v>
      </c>
      <c r="C181" t="s">
        <v>4682</v>
      </c>
      <c r="D181">
        <v>1</v>
      </c>
      <c r="E181" t="s">
        <v>97</v>
      </c>
      <c r="F181" s="9" t="s">
        <v>820</v>
      </c>
      <c r="G181" s="9" t="s">
        <v>97</v>
      </c>
      <c r="H181" s="3">
        <f t="shared" si="13"/>
        <v>3150</v>
      </c>
      <c r="I181" s="3">
        <v>504</v>
      </c>
    </row>
    <row r="182" spans="1:11">
      <c r="A182" t="s">
        <v>4600</v>
      </c>
      <c r="B182" s="1">
        <v>41488</v>
      </c>
      <c r="C182" t="s">
        <v>4601</v>
      </c>
      <c r="D182">
        <v>1</v>
      </c>
      <c r="E182" t="s">
        <v>1487</v>
      </c>
      <c r="F182" s="9" t="s">
        <v>1618</v>
      </c>
      <c r="G182" s="9" t="s">
        <v>1487</v>
      </c>
      <c r="H182" s="3">
        <f t="shared" si="13"/>
        <v>200</v>
      </c>
      <c r="I182" s="3">
        <v>32</v>
      </c>
    </row>
    <row r="183" spans="1:11">
      <c r="A183" t="s">
        <v>2797</v>
      </c>
      <c r="B183" s="1">
        <v>41517</v>
      </c>
      <c r="C183" t="s">
        <v>4676</v>
      </c>
      <c r="D183">
        <v>1</v>
      </c>
      <c r="E183" t="s">
        <v>49</v>
      </c>
      <c r="F183" s="9" t="s">
        <v>838</v>
      </c>
      <c r="G183" s="9" t="s">
        <v>49</v>
      </c>
      <c r="H183" s="3">
        <f t="shared" si="13"/>
        <v>912.93749999999989</v>
      </c>
      <c r="I183" s="3">
        <v>146.07</v>
      </c>
    </row>
    <row r="184" spans="1:11">
      <c r="A184" t="s">
        <v>4391</v>
      </c>
      <c r="B184" s="1">
        <v>41488</v>
      </c>
      <c r="C184" t="s">
        <v>4392</v>
      </c>
      <c r="D184">
        <v>1</v>
      </c>
      <c r="E184" t="s">
        <v>4393</v>
      </c>
      <c r="F184" s="9" t="s">
        <v>4741</v>
      </c>
      <c r="G184" s="9" t="s">
        <v>4393</v>
      </c>
      <c r="H184" s="3">
        <f t="shared" si="13"/>
        <v>205379.4375</v>
      </c>
      <c r="I184" s="3">
        <v>32860.71</v>
      </c>
    </row>
    <row r="185" spans="1:11">
      <c r="A185" t="s">
        <v>1806</v>
      </c>
      <c r="B185" s="1">
        <v>41502</v>
      </c>
      <c r="C185">
        <v>8813</v>
      </c>
      <c r="D185">
        <v>1</v>
      </c>
      <c r="E185" t="s">
        <v>4443</v>
      </c>
      <c r="F185" t="s">
        <v>1615</v>
      </c>
      <c r="G185" t="s">
        <v>4443</v>
      </c>
      <c r="H185" s="3">
        <f t="shared" si="13"/>
        <v>313.125</v>
      </c>
      <c r="I185" s="3">
        <v>50.1</v>
      </c>
    </row>
    <row r="186" spans="1:11">
      <c r="A186" t="s">
        <v>90</v>
      </c>
      <c r="B186" s="1">
        <v>41498</v>
      </c>
      <c r="C186" t="s">
        <v>4632</v>
      </c>
      <c r="D186">
        <v>1</v>
      </c>
      <c r="E186" t="s">
        <v>2157</v>
      </c>
      <c r="F186" s="9" t="s">
        <v>2305</v>
      </c>
      <c r="G186" s="9" t="s">
        <v>2157</v>
      </c>
      <c r="H186" s="3">
        <f t="shared" si="13"/>
        <v>1720</v>
      </c>
      <c r="I186" s="3">
        <v>275.2</v>
      </c>
    </row>
    <row r="187" spans="1:11">
      <c r="A187" t="s">
        <v>545</v>
      </c>
      <c r="B187" s="1">
        <v>41505</v>
      </c>
      <c r="C187">
        <v>8851</v>
      </c>
      <c r="D187">
        <v>1</v>
      </c>
      <c r="E187" t="s">
        <v>4566</v>
      </c>
      <c r="F187" s="9" t="s">
        <v>4742</v>
      </c>
      <c r="G187" s="9" t="s">
        <v>4743</v>
      </c>
      <c r="H187" s="56">
        <f t="shared" ref="H187:H188" si="15">I187/0.16</f>
        <v>417.75</v>
      </c>
      <c r="I187" s="56">
        <v>66.84</v>
      </c>
      <c r="J187" s="3"/>
      <c r="K187" s="3"/>
    </row>
    <row r="188" spans="1:11">
      <c r="A188" t="s">
        <v>545</v>
      </c>
      <c r="B188" s="1">
        <v>41505</v>
      </c>
      <c r="C188">
        <v>8851</v>
      </c>
      <c r="D188">
        <v>1</v>
      </c>
      <c r="E188" t="s">
        <v>4566</v>
      </c>
      <c r="F188" t="s">
        <v>946</v>
      </c>
      <c r="G188" s="33" t="s">
        <v>1581</v>
      </c>
      <c r="H188" s="56">
        <f t="shared" si="15"/>
        <v>395.8125</v>
      </c>
      <c r="I188" s="56">
        <v>63.33</v>
      </c>
      <c r="J188" s="14">
        <f>813.56-H187-H188</f>
        <v>-2.5000000000545697E-3</v>
      </c>
      <c r="K188" s="14">
        <f>130.17-I187-I188</f>
        <v>0</v>
      </c>
    </row>
    <row r="189" spans="1:11">
      <c r="A189" t="s">
        <v>150</v>
      </c>
      <c r="B189" s="1">
        <v>41505</v>
      </c>
      <c r="C189" t="s">
        <v>4641</v>
      </c>
      <c r="D189">
        <v>1</v>
      </c>
      <c r="E189" t="s">
        <v>229</v>
      </c>
      <c r="F189" s="9" t="s">
        <v>839</v>
      </c>
      <c r="G189" s="9" t="s">
        <v>229</v>
      </c>
      <c r="H189" s="3">
        <f t="shared" ref="H189:H200" si="16">+I189/0.16</f>
        <v>229</v>
      </c>
      <c r="I189" s="3">
        <v>36.64</v>
      </c>
    </row>
    <row r="190" spans="1:11">
      <c r="A190" t="s">
        <v>2209</v>
      </c>
      <c r="B190" s="1">
        <v>41517</v>
      </c>
      <c r="C190" t="s">
        <v>4673</v>
      </c>
      <c r="D190">
        <v>1</v>
      </c>
      <c r="E190" t="s">
        <v>229</v>
      </c>
      <c r="F190" s="9" t="s">
        <v>839</v>
      </c>
      <c r="G190" s="9" t="s">
        <v>229</v>
      </c>
      <c r="H190" s="3">
        <f t="shared" si="16"/>
        <v>3507</v>
      </c>
      <c r="I190" s="3">
        <v>561.12</v>
      </c>
    </row>
    <row r="191" spans="1:11">
      <c r="A191" t="s">
        <v>1257</v>
      </c>
      <c r="B191" s="1">
        <v>41517</v>
      </c>
      <c r="C191" t="s">
        <v>4677</v>
      </c>
      <c r="D191">
        <v>1</v>
      </c>
      <c r="E191" t="s">
        <v>311</v>
      </c>
      <c r="F191" s="9" t="s">
        <v>845</v>
      </c>
      <c r="G191" s="9" t="s">
        <v>311</v>
      </c>
      <c r="H191" s="3">
        <f t="shared" si="16"/>
        <v>2180</v>
      </c>
      <c r="I191" s="3">
        <v>348.8</v>
      </c>
    </row>
    <row r="192" spans="1:11">
      <c r="A192" t="s">
        <v>4448</v>
      </c>
      <c r="B192" s="1">
        <v>41502</v>
      </c>
      <c r="C192">
        <v>8818</v>
      </c>
      <c r="D192">
        <v>1</v>
      </c>
      <c r="E192" t="s">
        <v>541</v>
      </c>
      <c r="F192" s="9" t="s">
        <v>847</v>
      </c>
      <c r="G192" s="9" t="s">
        <v>541</v>
      </c>
      <c r="H192" s="3">
        <f t="shared" si="16"/>
        <v>130.75</v>
      </c>
      <c r="I192" s="3">
        <v>20.92</v>
      </c>
    </row>
    <row r="193" spans="1:11">
      <c r="A193" t="s">
        <v>588</v>
      </c>
      <c r="B193" s="1">
        <v>41513</v>
      </c>
      <c r="C193">
        <v>8888</v>
      </c>
      <c r="D193">
        <v>1</v>
      </c>
      <c r="E193" t="s">
        <v>4570</v>
      </c>
      <c r="F193" s="12" t="s">
        <v>847</v>
      </c>
      <c r="G193" s="9" t="s">
        <v>4570</v>
      </c>
      <c r="H193" s="3">
        <f t="shared" si="16"/>
        <v>25.75</v>
      </c>
      <c r="I193" s="3">
        <v>4.12</v>
      </c>
    </row>
    <row r="194" spans="1:11">
      <c r="A194" t="s">
        <v>4571</v>
      </c>
      <c r="B194" s="1">
        <v>41513</v>
      </c>
      <c r="C194">
        <v>8896</v>
      </c>
      <c r="D194">
        <v>1</v>
      </c>
      <c r="E194" t="s">
        <v>4570</v>
      </c>
      <c r="F194" s="12" t="s">
        <v>847</v>
      </c>
      <c r="G194" s="9" t="s">
        <v>4570</v>
      </c>
      <c r="H194" s="3">
        <f t="shared" si="16"/>
        <v>42.25</v>
      </c>
      <c r="I194" s="3">
        <v>6.76</v>
      </c>
    </row>
    <row r="195" spans="1:11">
      <c r="A195" t="s">
        <v>603</v>
      </c>
      <c r="B195" s="1">
        <v>41513</v>
      </c>
      <c r="C195">
        <v>8897</v>
      </c>
      <c r="D195">
        <v>1</v>
      </c>
      <c r="E195" t="s">
        <v>4570</v>
      </c>
      <c r="F195" s="12" t="s">
        <v>847</v>
      </c>
      <c r="G195" s="9" t="s">
        <v>4570</v>
      </c>
      <c r="H195" s="3">
        <f t="shared" si="16"/>
        <v>33.5625</v>
      </c>
      <c r="I195" s="3">
        <v>5.37</v>
      </c>
    </row>
    <row r="196" spans="1:11">
      <c r="A196" t="s">
        <v>113</v>
      </c>
      <c r="B196" s="1">
        <v>41505</v>
      </c>
      <c r="C196" t="s">
        <v>4636</v>
      </c>
      <c r="D196">
        <v>2</v>
      </c>
      <c r="E196" t="s">
        <v>127</v>
      </c>
      <c r="F196" s="33" t="s">
        <v>849</v>
      </c>
      <c r="G196" t="s">
        <v>127</v>
      </c>
      <c r="H196" s="3">
        <f t="shared" si="16"/>
        <v>4300</v>
      </c>
      <c r="I196" s="3">
        <v>688</v>
      </c>
    </row>
    <row r="197" spans="1:11">
      <c r="A197" t="s">
        <v>1131</v>
      </c>
      <c r="B197" s="1">
        <v>41507</v>
      </c>
      <c r="C197" t="s">
        <v>4649</v>
      </c>
      <c r="D197">
        <v>1</v>
      </c>
      <c r="E197" t="s">
        <v>86</v>
      </c>
      <c r="F197" s="12" t="s">
        <v>851</v>
      </c>
      <c r="G197" s="9" t="s">
        <v>86</v>
      </c>
      <c r="H197" s="3">
        <f t="shared" si="16"/>
        <v>2253.8125</v>
      </c>
      <c r="I197" s="3">
        <v>360.61</v>
      </c>
      <c r="J197" s="56"/>
      <c r="K197" s="56"/>
    </row>
    <row r="198" spans="1:11">
      <c r="A198" t="s">
        <v>2207</v>
      </c>
      <c r="B198" s="1">
        <v>41517</v>
      </c>
      <c r="C198" t="s">
        <v>4672</v>
      </c>
      <c r="D198">
        <v>1</v>
      </c>
      <c r="E198" t="s">
        <v>86</v>
      </c>
      <c r="F198" s="9" t="s">
        <v>851</v>
      </c>
      <c r="G198" s="9" t="s">
        <v>578</v>
      </c>
      <c r="H198" s="3">
        <f t="shared" si="16"/>
        <v>2100.875</v>
      </c>
      <c r="I198" s="3">
        <v>336.14</v>
      </c>
      <c r="J198" s="56"/>
      <c r="K198" s="56"/>
    </row>
    <row r="199" spans="1:11">
      <c r="A199" t="s">
        <v>4585</v>
      </c>
      <c r="B199" s="1">
        <v>41515</v>
      </c>
      <c r="C199">
        <v>8924</v>
      </c>
      <c r="D199">
        <v>1</v>
      </c>
      <c r="E199" t="s">
        <v>578</v>
      </c>
      <c r="F199" s="9" t="s">
        <v>851</v>
      </c>
      <c r="G199" s="9" t="s">
        <v>86</v>
      </c>
      <c r="H199" s="3">
        <f t="shared" si="16"/>
        <v>91.0625</v>
      </c>
      <c r="I199" s="3">
        <v>14.57</v>
      </c>
      <c r="J199" s="56"/>
      <c r="K199" s="56"/>
    </row>
    <row r="200" spans="1:11">
      <c r="A200" t="s">
        <v>4587</v>
      </c>
      <c r="B200" s="1">
        <v>41515</v>
      </c>
      <c r="C200">
        <v>8925</v>
      </c>
      <c r="D200">
        <v>1</v>
      </c>
      <c r="E200" t="s">
        <v>4588</v>
      </c>
      <c r="F200" s="9" t="s">
        <v>4744</v>
      </c>
      <c r="G200" s="9" t="s">
        <v>4588</v>
      </c>
      <c r="H200" s="3">
        <f t="shared" si="16"/>
        <v>85</v>
      </c>
      <c r="I200" s="3">
        <v>13.6</v>
      </c>
    </row>
    <row r="201" spans="1:11">
      <c r="A201" t="s">
        <v>4423</v>
      </c>
      <c r="B201" s="1">
        <v>41501</v>
      </c>
      <c r="C201" t="s">
        <v>4424</v>
      </c>
      <c r="D201">
        <v>1</v>
      </c>
      <c r="E201" t="s">
        <v>4425</v>
      </c>
      <c r="F201" t="s">
        <v>946</v>
      </c>
      <c r="G201" t="s">
        <v>947</v>
      </c>
      <c r="H201" s="56">
        <f t="shared" ref="H201:H211" si="17">I201/0.16</f>
        <v>599.3125</v>
      </c>
      <c r="I201" s="56">
        <v>95.89</v>
      </c>
      <c r="J201" s="3"/>
      <c r="K201" s="3"/>
    </row>
    <row r="202" spans="1:11">
      <c r="A202" t="s">
        <v>4423</v>
      </c>
      <c r="B202" s="1">
        <v>41501</v>
      </c>
      <c r="C202" t="s">
        <v>4424</v>
      </c>
      <c r="D202">
        <v>1</v>
      </c>
      <c r="E202" t="s">
        <v>4425</v>
      </c>
      <c r="F202" s="9" t="s">
        <v>2878</v>
      </c>
      <c r="G202" s="9" t="s">
        <v>2879</v>
      </c>
      <c r="H202" s="56">
        <f t="shared" si="17"/>
        <v>94.125</v>
      </c>
      <c r="I202" s="56">
        <v>15.06</v>
      </c>
    </row>
    <row r="203" spans="1:11">
      <c r="A203" t="s">
        <v>4423</v>
      </c>
      <c r="B203" s="1">
        <v>41501</v>
      </c>
      <c r="C203" t="s">
        <v>4424</v>
      </c>
      <c r="D203">
        <v>1</v>
      </c>
      <c r="E203" t="s">
        <v>4425</v>
      </c>
      <c r="F203" s="28" t="s">
        <v>2903</v>
      </c>
      <c r="G203" s="28" t="s">
        <v>2904</v>
      </c>
      <c r="H203" s="56">
        <f t="shared" si="17"/>
        <v>735.0625</v>
      </c>
      <c r="I203" s="56">
        <v>117.61</v>
      </c>
    </row>
    <row r="204" spans="1:11">
      <c r="A204" t="s">
        <v>4423</v>
      </c>
      <c r="B204" s="1">
        <v>41501</v>
      </c>
      <c r="C204" t="s">
        <v>4424</v>
      </c>
      <c r="D204">
        <v>1</v>
      </c>
      <c r="E204" t="s">
        <v>4425</v>
      </c>
      <c r="F204" s="28" t="s">
        <v>2882</v>
      </c>
      <c r="G204" s="28" t="s">
        <v>2883</v>
      </c>
      <c r="H204" s="56">
        <f t="shared" si="17"/>
        <v>334.125</v>
      </c>
      <c r="I204" s="56">
        <v>53.46</v>
      </c>
      <c r="J204" s="14">
        <f>1762.63-H201-H202-H203-H204</f>
        <v>5.0000000001091394E-3</v>
      </c>
      <c r="K204" s="14">
        <f>282.02-I201-I202-I203-I204</f>
        <v>0</v>
      </c>
    </row>
    <row r="205" spans="1:11">
      <c r="A205" t="s">
        <v>4550</v>
      </c>
      <c r="B205" s="1">
        <v>41502</v>
      </c>
      <c r="C205" t="s">
        <v>4551</v>
      </c>
      <c r="D205">
        <v>1</v>
      </c>
      <c r="E205" t="s">
        <v>4425</v>
      </c>
      <c r="F205" t="s">
        <v>946</v>
      </c>
      <c r="G205" t="s">
        <v>947</v>
      </c>
      <c r="H205" s="56">
        <f t="shared" si="17"/>
        <v>599.3125</v>
      </c>
      <c r="I205" s="56">
        <v>95.89</v>
      </c>
      <c r="J205" s="3"/>
      <c r="K205" s="3"/>
    </row>
    <row r="206" spans="1:11">
      <c r="A206" t="s">
        <v>4550</v>
      </c>
      <c r="B206" s="1">
        <v>41502</v>
      </c>
      <c r="C206" t="s">
        <v>4551</v>
      </c>
      <c r="D206">
        <v>1</v>
      </c>
      <c r="E206" t="s">
        <v>4425</v>
      </c>
      <c r="F206" s="9" t="s">
        <v>4746</v>
      </c>
      <c r="G206" s="9" t="s">
        <v>4747</v>
      </c>
      <c r="H206" s="56">
        <f t="shared" si="17"/>
        <v>114.99999999999999</v>
      </c>
      <c r="I206" s="56">
        <v>18.399999999999999</v>
      </c>
    </row>
    <row r="207" spans="1:11">
      <c r="A207" t="s">
        <v>4550</v>
      </c>
      <c r="B207" s="1">
        <v>41502</v>
      </c>
      <c r="C207" t="s">
        <v>4551</v>
      </c>
      <c r="D207">
        <v>1</v>
      </c>
      <c r="E207" t="s">
        <v>4425</v>
      </c>
      <c r="F207" s="28" t="s">
        <v>2903</v>
      </c>
      <c r="G207" s="28" t="s">
        <v>2904</v>
      </c>
      <c r="H207" s="56">
        <f t="shared" si="17"/>
        <v>508</v>
      </c>
      <c r="I207" s="56">
        <v>81.28</v>
      </c>
    </row>
    <row r="208" spans="1:11">
      <c r="A208" t="s">
        <v>4550</v>
      </c>
      <c r="B208" s="1">
        <v>41502</v>
      </c>
      <c r="C208" t="s">
        <v>4551</v>
      </c>
      <c r="D208">
        <v>1</v>
      </c>
      <c r="E208" t="s">
        <v>4425</v>
      </c>
      <c r="F208" s="28" t="s">
        <v>2882</v>
      </c>
      <c r="G208" s="28" t="s">
        <v>2883</v>
      </c>
      <c r="H208" s="56">
        <f t="shared" si="17"/>
        <v>292.4375</v>
      </c>
      <c r="I208" s="56">
        <v>46.79</v>
      </c>
      <c r="J208" s="14">
        <f>1514.75-H205-H206-H207-H208</f>
        <v>0</v>
      </c>
      <c r="K208" s="14">
        <f>242.36-I205-I206-I207-I208</f>
        <v>0</v>
      </c>
    </row>
    <row r="209" spans="1:11">
      <c r="A209" t="s">
        <v>4426</v>
      </c>
      <c r="B209" s="1">
        <v>41501</v>
      </c>
      <c r="C209" t="s">
        <v>4427</v>
      </c>
      <c r="D209">
        <v>1</v>
      </c>
      <c r="E209" t="s">
        <v>4058</v>
      </c>
      <c r="F209" t="s">
        <v>946</v>
      </c>
      <c r="G209" t="s">
        <v>947</v>
      </c>
      <c r="H209" s="56">
        <f t="shared" si="17"/>
        <v>112.9375</v>
      </c>
      <c r="I209" s="56">
        <v>18.07</v>
      </c>
      <c r="J209" s="3"/>
      <c r="K209" s="3"/>
    </row>
    <row r="210" spans="1:11">
      <c r="A210" t="s">
        <v>4426</v>
      </c>
      <c r="B210" s="1">
        <v>41501</v>
      </c>
      <c r="C210" t="s">
        <v>4427</v>
      </c>
      <c r="D210">
        <v>1</v>
      </c>
      <c r="E210" t="s">
        <v>4058</v>
      </c>
      <c r="F210" s="9" t="s">
        <v>941</v>
      </c>
      <c r="G210" s="9" t="s">
        <v>942</v>
      </c>
      <c r="H210" s="56">
        <f t="shared" si="17"/>
        <v>68.9375</v>
      </c>
      <c r="I210" s="56">
        <v>11.03</v>
      </c>
    </row>
    <row r="211" spans="1:11">
      <c r="A211" t="s">
        <v>4426</v>
      </c>
      <c r="B211" s="1">
        <v>41501</v>
      </c>
      <c r="C211" t="s">
        <v>4427</v>
      </c>
      <c r="D211">
        <v>1</v>
      </c>
      <c r="E211" t="s">
        <v>4058</v>
      </c>
      <c r="F211" s="28" t="s">
        <v>925</v>
      </c>
      <c r="G211" s="28" t="s">
        <v>926</v>
      </c>
      <c r="H211" s="56">
        <f t="shared" si="17"/>
        <v>375.875</v>
      </c>
      <c r="I211" s="56">
        <v>60.14</v>
      </c>
      <c r="J211" s="14">
        <f>557.75-H209-H210-H211</f>
        <v>0</v>
      </c>
      <c r="K211" s="14">
        <f>89.24-I209-I210-I211</f>
        <v>0</v>
      </c>
    </row>
    <row r="212" spans="1:11">
      <c r="A212" t="s">
        <v>4486</v>
      </c>
      <c r="B212" s="1">
        <v>41510</v>
      </c>
      <c r="C212" t="s">
        <v>4487</v>
      </c>
      <c r="D212">
        <v>1</v>
      </c>
      <c r="E212" t="s">
        <v>3912</v>
      </c>
      <c r="F212" s="13" t="s">
        <v>856</v>
      </c>
      <c r="G212" s="9" t="s">
        <v>857</v>
      </c>
      <c r="H212" s="3">
        <f t="shared" ref="H212:H226" si="18">+I212/0.16</f>
        <v>161302.0625</v>
      </c>
      <c r="I212" s="3">
        <v>25808.33</v>
      </c>
    </row>
    <row r="213" spans="1:11">
      <c r="A213" t="s">
        <v>4484</v>
      </c>
      <c r="B213" s="1">
        <v>41509</v>
      </c>
      <c r="C213" t="s">
        <v>4485</v>
      </c>
      <c r="D213">
        <v>1</v>
      </c>
      <c r="E213" t="s">
        <v>2947</v>
      </c>
      <c r="F213" s="12" t="s">
        <v>856</v>
      </c>
      <c r="G213" s="9" t="s">
        <v>857</v>
      </c>
      <c r="H213" s="3">
        <f t="shared" si="18"/>
        <v>288927.5</v>
      </c>
      <c r="I213" s="3">
        <v>46228.4</v>
      </c>
    </row>
    <row r="214" spans="1:11">
      <c r="A214" t="s">
        <v>4602</v>
      </c>
      <c r="B214" s="1">
        <v>41488</v>
      </c>
      <c r="C214" t="s">
        <v>4603</v>
      </c>
      <c r="D214">
        <v>1</v>
      </c>
      <c r="E214" t="s">
        <v>3600</v>
      </c>
      <c r="F214" s="9" t="s">
        <v>858</v>
      </c>
      <c r="G214" s="9" t="s">
        <v>3600</v>
      </c>
      <c r="H214" s="3">
        <f t="shared" si="18"/>
        <v>350</v>
      </c>
      <c r="I214" s="3">
        <v>56</v>
      </c>
    </row>
    <row r="215" spans="1:11">
      <c r="A215" t="s">
        <v>3420</v>
      </c>
      <c r="B215" s="1">
        <v>41493</v>
      </c>
      <c r="C215" t="s">
        <v>4399</v>
      </c>
      <c r="D215">
        <v>1</v>
      </c>
      <c r="E215" t="s">
        <v>4400</v>
      </c>
      <c r="F215" s="13" t="s">
        <v>862</v>
      </c>
      <c r="G215" s="9" t="s">
        <v>2394</v>
      </c>
      <c r="H215" s="3">
        <f t="shared" si="18"/>
        <v>184455</v>
      </c>
      <c r="I215" s="3">
        <v>29512.799999999999</v>
      </c>
    </row>
    <row r="216" spans="1:11">
      <c r="A216" t="s">
        <v>606</v>
      </c>
      <c r="B216" s="1">
        <v>41515</v>
      </c>
      <c r="C216">
        <v>8899</v>
      </c>
      <c r="D216">
        <v>1</v>
      </c>
      <c r="E216" t="s">
        <v>538</v>
      </c>
      <c r="F216" s="9" t="s">
        <v>863</v>
      </c>
      <c r="G216" s="9" t="s">
        <v>538</v>
      </c>
      <c r="H216" s="3">
        <f t="shared" si="18"/>
        <v>145.6875</v>
      </c>
      <c r="I216" s="3">
        <v>23.31</v>
      </c>
    </row>
    <row r="217" spans="1:11">
      <c r="A217" t="s">
        <v>1232</v>
      </c>
      <c r="B217" s="1">
        <v>41515</v>
      </c>
      <c r="C217" t="s">
        <v>4665</v>
      </c>
      <c r="D217">
        <v>1</v>
      </c>
      <c r="E217" t="s">
        <v>158</v>
      </c>
      <c r="F217" s="64" t="s">
        <v>865</v>
      </c>
      <c r="G217" s="9" t="s">
        <v>158</v>
      </c>
      <c r="H217" s="3">
        <f t="shared" si="18"/>
        <v>2823.9375</v>
      </c>
      <c r="I217" s="3">
        <v>451.83</v>
      </c>
    </row>
    <row r="218" spans="1:11">
      <c r="A218" t="s">
        <v>573</v>
      </c>
      <c r="B218" s="1">
        <v>41513</v>
      </c>
      <c r="C218">
        <v>8879</v>
      </c>
      <c r="D218">
        <v>1</v>
      </c>
      <c r="E218" t="s">
        <v>1455</v>
      </c>
      <c r="F218" s="12" t="s">
        <v>869</v>
      </c>
      <c r="G218" s="9" t="s">
        <v>1455</v>
      </c>
      <c r="H218" s="3">
        <f t="shared" si="18"/>
        <v>108.62499999999999</v>
      </c>
      <c r="I218" s="3">
        <v>17.38</v>
      </c>
    </row>
    <row r="219" spans="1:11">
      <c r="A219" t="s">
        <v>4605</v>
      </c>
      <c r="B219" s="1">
        <v>41516</v>
      </c>
      <c r="C219" t="s">
        <v>4606</v>
      </c>
      <c r="D219">
        <v>1</v>
      </c>
      <c r="E219" t="s">
        <v>4607</v>
      </c>
      <c r="F219" s="9" t="s">
        <v>1601</v>
      </c>
      <c r="G219" s="9" t="s">
        <v>4748</v>
      </c>
      <c r="H219" s="3">
        <f t="shared" si="18"/>
        <v>1120.6875</v>
      </c>
      <c r="I219" s="3">
        <v>179.31</v>
      </c>
    </row>
    <row r="220" spans="1:11">
      <c r="A220" t="s">
        <v>2694</v>
      </c>
      <c r="B220" s="1">
        <v>41513</v>
      </c>
      <c r="C220">
        <v>8885</v>
      </c>
      <c r="D220">
        <v>1</v>
      </c>
      <c r="E220" t="s">
        <v>581</v>
      </c>
      <c r="F220" s="12" t="s">
        <v>866</v>
      </c>
      <c r="G220" s="9" t="s">
        <v>581</v>
      </c>
      <c r="H220" s="3">
        <f t="shared" si="18"/>
        <v>852.5625</v>
      </c>
      <c r="I220" s="3">
        <v>136.41</v>
      </c>
    </row>
    <row r="221" spans="1:11">
      <c r="A221" t="s">
        <v>2742</v>
      </c>
      <c r="B221" s="1">
        <v>41505</v>
      </c>
      <c r="C221" t="s">
        <v>4647</v>
      </c>
      <c r="D221">
        <v>2</v>
      </c>
      <c r="E221" t="s">
        <v>94</v>
      </c>
      <c r="F221" s="9" t="s">
        <v>868</v>
      </c>
      <c r="G221" s="9" t="s">
        <v>94</v>
      </c>
      <c r="H221" s="3">
        <f t="shared" si="18"/>
        <v>4200</v>
      </c>
      <c r="I221" s="3">
        <v>672</v>
      </c>
    </row>
    <row r="222" spans="1:11">
      <c r="A222" t="s">
        <v>294</v>
      </c>
      <c r="B222" s="1">
        <v>41517</v>
      </c>
      <c r="C222" t="s">
        <v>4671</v>
      </c>
      <c r="D222">
        <v>2</v>
      </c>
      <c r="E222" t="s">
        <v>94</v>
      </c>
      <c r="F222" s="9" t="s">
        <v>868</v>
      </c>
      <c r="G222" s="9" t="s">
        <v>94</v>
      </c>
      <c r="H222" s="3">
        <f t="shared" si="18"/>
        <v>3850</v>
      </c>
      <c r="I222" s="3">
        <v>616</v>
      </c>
    </row>
    <row r="223" spans="1:11">
      <c r="A223" t="s">
        <v>324</v>
      </c>
      <c r="B223" s="1">
        <v>41517</v>
      </c>
      <c r="C223" t="s">
        <v>4686</v>
      </c>
      <c r="D223">
        <v>2</v>
      </c>
      <c r="E223" t="s">
        <v>94</v>
      </c>
      <c r="F223" s="9" t="s">
        <v>868</v>
      </c>
      <c r="G223" s="9" t="s">
        <v>94</v>
      </c>
      <c r="H223" s="3">
        <f t="shared" si="18"/>
        <v>7300</v>
      </c>
      <c r="I223" s="3">
        <v>1168</v>
      </c>
    </row>
    <row r="224" spans="1:11">
      <c r="A224" t="s">
        <v>4478</v>
      </c>
      <c r="B224" s="1">
        <v>41509</v>
      </c>
      <c r="C224" t="s">
        <v>4479</v>
      </c>
      <c r="D224">
        <v>1</v>
      </c>
      <c r="E224" t="s">
        <v>4480</v>
      </c>
      <c r="F224" s="9" t="s">
        <v>873</v>
      </c>
      <c r="G224" s="9" t="s">
        <v>4480</v>
      </c>
      <c r="H224" s="3">
        <f t="shared" si="18"/>
        <v>314362.5625</v>
      </c>
      <c r="I224" s="3">
        <v>50298.01</v>
      </c>
    </row>
    <row r="225" spans="1:12">
      <c r="A225" t="s">
        <v>4444</v>
      </c>
      <c r="B225" s="1">
        <v>41502</v>
      </c>
      <c r="C225">
        <v>8814</v>
      </c>
      <c r="D225">
        <v>1</v>
      </c>
      <c r="E225" t="s">
        <v>4445</v>
      </c>
      <c r="F225" s="33" t="s">
        <v>4749</v>
      </c>
      <c r="G225" t="s">
        <v>4445</v>
      </c>
      <c r="H225" s="3">
        <f t="shared" si="18"/>
        <v>32.25</v>
      </c>
      <c r="I225" s="3">
        <v>5.16</v>
      </c>
    </row>
    <row r="226" spans="1:12">
      <c r="A226" t="s">
        <v>2219</v>
      </c>
      <c r="B226" s="1">
        <v>41517</v>
      </c>
      <c r="C226" t="s">
        <v>4680</v>
      </c>
      <c r="D226">
        <v>1</v>
      </c>
      <c r="E226" t="s">
        <v>71</v>
      </c>
      <c r="F226" s="28" t="s">
        <v>943</v>
      </c>
      <c r="G226" s="28" t="s">
        <v>71</v>
      </c>
      <c r="H226" s="3">
        <f t="shared" si="18"/>
        <v>1634.4999999999998</v>
      </c>
      <c r="I226" s="3">
        <v>261.52</v>
      </c>
      <c r="J226" s="14" t="e">
        <f>+H226-#REF!</f>
        <v>#REF!</v>
      </c>
      <c r="K226" s="14" t="e">
        <f>+I226-#REF!</f>
        <v>#REF!</v>
      </c>
      <c r="L226" t="s">
        <v>900</v>
      </c>
    </row>
    <row r="227" spans="1:12">
      <c r="A227" t="s">
        <v>527</v>
      </c>
      <c r="B227" s="1">
        <v>41505</v>
      </c>
      <c r="C227" t="s">
        <v>4561</v>
      </c>
      <c r="D227">
        <v>1</v>
      </c>
      <c r="E227" t="s">
        <v>4050</v>
      </c>
      <c r="F227" s="28" t="s">
        <v>1684</v>
      </c>
      <c r="G227" s="28" t="s">
        <v>1685</v>
      </c>
      <c r="H227" s="56">
        <f t="shared" ref="H227:H246" si="19">I227/0.16</f>
        <v>375.875</v>
      </c>
      <c r="I227" s="56">
        <v>60.14</v>
      </c>
      <c r="J227" s="3"/>
      <c r="K227" s="3"/>
    </row>
    <row r="228" spans="1:12">
      <c r="A228" t="s">
        <v>527</v>
      </c>
      <c r="B228" s="1">
        <v>41505</v>
      </c>
      <c r="C228" t="s">
        <v>4561</v>
      </c>
      <c r="D228">
        <v>1</v>
      </c>
      <c r="E228" t="s">
        <v>4050</v>
      </c>
      <c r="F228" t="s">
        <v>946</v>
      </c>
      <c r="G228" t="s">
        <v>947</v>
      </c>
      <c r="H228" s="56">
        <f t="shared" si="19"/>
        <v>394.0625</v>
      </c>
      <c r="I228" s="56">
        <v>63.05</v>
      </c>
      <c r="J228" s="3"/>
      <c r="K228" s="3"/>
    </row>
    <row r="229" spans="1:12">
      <c r="A229" t="s">
        <v>527</v>
      </c>
      <c r="B229" s="1">
        <v>41505</v>
      </c>
      <c r="C229" t="s">
        <v>4561</v>
      </c>
      <c r="D229">
        <v>1</v>
      </c>
      <c r="E229" t="s">
        <v>4050</v>
      </c>
      <c r="F229" s="9" t="s">
        <v>2901</v>
      </c>
      <c r="G229" s="9" t="s">
        <v>2902</v>
      </c>
      <c r="H229" s="56">
        <f t="shared" si="19"/>
        <v>77.5625</v>
      </c>
      <c r="I229" s="56">
        <v>12.41</v>
      </c>
      <c r="J229" s="14">
        <f>847.5-H227-H228-H229</f>
        <v>0</v>
      </c>
      <c r="K229" s="14">
        <f>135.6-I227-I228-I229</f>
        <v>0</v>
      </c>
    </row>
    <row r="230" spans="1:12">
      <c r="A230" t="s">
        <v>1801</v>
      </c>
      <c r="B230" s="1">
        <v>41501</v>
      </c>
      <c r="C230" t="s">
        <v>4431</v>
      </c>
      <c r="D230">
        <v>1</v>
      </c>
      <c r="E230" t="s">
        <v>1584</v>
      </c>
      <c r="F230" s="9" t="s">
        <v>1582</v>
      </c>
      <c r="G230" s="9" t="s">
        <v>1583</v>
      </c>
      <c r="H230" s="56">
        <f t="shared" si="19"/>
        <v>90.5</v>
      </c>
      <c r="I230" s="56">
        <v>14.48</v>
      </c>
      <c r="J230" s="3"/>
      <c r="K230" s="3"/>
    </row>
    <row r="231" spans="1:12">
      <c r="A231" t="s">
        <v>1801</v>
      </c>
      <c r="B231" s="1">
        <v>41501</v>
      </c>
      <c r="C231" t="s">
        <v>4431</v>
      </c>
      <c r="D231">
        <v>1</v>
      </c>
      <c r="E231" t="s">
        <v>1584</v>
      </c>
      <c r="F231" t="s">
        <v>913</v>
      </c>
      <c r="G231" t="s">
        <v>914</v>
      </c>
      <c r="H231" s="56">
        <f t="shared" si="19"/>
        <v>742.3125</v>
      </c>
      <c r="I231" s="56">
        <v>118.77</v>
      </c>
    </row>
    <row r="232" spans="1:12">
      <c r="A232" t="s">
        <v>1801</v>
      </c>
      <c r="B232" s="1">
        <v>41501</v>
      </c>
      <c r="C232" t="s">
        <v>4431</v>
      </c>
      <c r="D232">
        <v>1</v>
      </c>
      <c r="E232" t="s">
        <v>1584</v>
      </c>
      <c r="F232" t="s">
        <v>946</v>
      </c>
      <c r="G232" t="s">
        <v>947</v>
      </c>
      <c r="H232" s="56">
        <f t="shared" si="19"/>
        <v>680.125</v>
      </c>
      <c r="I232" s="56">
        <v>108.82</v>
      </c>
    </row>
    <row r="233" spans="1:12">
      <c r="A233" t="s">
        <v>1801</v>
      </c>
      <c r="B233" s="1">
        <v>41501</v>
      </c>
      <c r="C233" t="s">
        <v>4431</v>
      </c>
      <c r="D233">
        <v>1</v>
      </c>
      <c r="E233" t="s">
        <v>1584</v>
      </c>
      <c r="F233" s="28" t="s">
        <v>939</v>
      </c>
      <c r="G233" s="28" t="s">
        <v>940</v>
      </c>
      <c r="H233" s="56">
        <f t="shared" si="19"/>
        <v>334.1875</v>
      </c>
      <c r="I233" s="56">
        <v>53.47</v>
      </c>
      <c r="J233" s="14">
        <f>1847.13-H230-H231-H232-H233</f>
        <v>5.0000000001091394E-3</v>
      </c>
      <c r="K233" s="14">
        <f>295.54-I230-I231-I232-I233</f>
        <v>0</v>
      </c>
    </row>
    <row r="234" spans="1:12">
      <c r="A234" t="s">
        <v>533</v>
      </c>
      <c r="B234" s="1">
        <v>41505</v>
      </c>
      <c r="C234" t="s">
        <v>4562</v>
      </c>
      <c r="D234">
        <v>1</v>
      </c>
      <c r="E234" t="s">
        <v>4563</v>
      </c>
      <c r="F234" s="28" t="s">
        <v>2277</v>
      </c>
      <c r="G234" s="28" t="s">
        <v>2278</v>
      </c>
      <c r="H234" s="56">
        <f t="shared" si="19"/>
        <v>62.0625</v>
      </c>
      <c r="I234" s="56">
        <v>9.93</v>
      </c>
      <c r="J234" s="3"/>
      <c r="K234" s="3"/>
    </row>
    <row r="235" spans="1:12">
      <c r="A235" t="s">
        <v>533</v>
      </c>
      <c r="B235" s="1">
        <v>41505</v>
      </c>
      <c r="C235" t="s">
        <v>4562</v>
      </c>
      <c r="D235">
        <v>1</v>
      </c>
      <c r="E235" t="s">
        <v>4563</v>
      </c>
      <c r="F235" s="28" t="s">
        <v>1664</v>
      </c>
      <c r="G235" s="28" t="s">
        <v>4750</v>
      </c>
      <c r="H235" s="56">
        <f t="shared" si="19"/>
        <v>459.5625</v>
      </c>
      <c r="I235" s="56">
        <v>73.53</v>
      </c>
      <c r="J235" s="14"/>
    </row>
    <row r="236" spans="1:12">
      <c r="A236" t="s">
        <v>533</v>
      </c>
      <c r="B236" s="1">
        <v>41505</v>
      </c>
      <c r="C236" t="s">
        <v>4562</v>
      </c>
      <c r="D236">
        <v>1</v>
      </c>
      <c r="E236" t="s">
        <v>4563</v>
      </c>
      <c r="F236" t="s">
        <v>946</v>
      </c>
      <c r="G236" t="s">
        <v>1581</v>
      </c>
      <c r="H236" s="56">
        <f t="shared" si="19"/>
        <v>176.8125</v>
      </c>
      <c r="I236" s="56">
        <v>28.29</v>
      </c>
      <c r="J236" s="14">
        <f>698.44-H234-H235-H236</f>
        <v>2.5000000000545697E-3</v>
      </c>
      <c r="K236" s="14">
        <f>111.75-I234-I235-I236</f>
        <v>0</v>
      </c>
    </row>
    <row r="237" spans="1:12">
      <c r="A237" t="s">
        <v>2646</v>
      </c>
      <c r="B237" s="1">
        <v>41502</v>
      </c>
      <c r="C237" t="s">
        <v>4554</v>
      </c>
      <c r="D237">
        <v>1</v>
      </c>
      <c r="E237" t="s">
        <v>4555</v>
      </c>
      <c r="F237" t="s">
        <v>946</v>
      </c>
      <c r="G237" t="s">
        <v>947</v>
      </c>
      <c r="H237" s="56">
        <f t="shared" si="19"/>
        <v>176.8125</v>
      </c>
      <c r="I237" s="56">
        <v>28.29</v>
      </c>
      <c r="J237" s="3"/>
      <c r="K237" s="3"/>
    </row>
    <row r="238" spans="1:12">
      <c r="A238" t="s">
        <v>2646</v>
      </c>
      <c r="B238" s="1">
        <v>41502</v>
      </c>
      <c r="C238" t="s">
        <v>4554</v>
      </c>
      <c r="D238">
        <v>1</v>
      </c>
      <c r="E238" t="s">
        <v>4555</v>
      </c>
      <c r="F238" s="9" t="s">
        <v>1649</v>
      </c>
      <c r="G238" s="9" t="s">
        <v>1650</v>
      </c>
      <c r="H238" s="56">
        <f t="shared" si="19"/>
        <v>81</v>
      </c>
      <c r="I238" s="56">
        <v>12.96</v>
      </c>
    </row>
    <row r="239" spans="1:12">
      <c r="A239" t="s">
        <v>2646</v>
      </c>
      <c r="B239" s="1">
        <v>41502</v>
      </c>
      <c r="C239" t="s">
        <v>4554</v>
      </c>
      <c r="D239">
        <v>1</v>
      </c>
      <c r="E239" t="s">
        <v>4555</v>
      </c>
      <c r="F239" s="9" t="s">
        <v>2343</v>
      </c>
      <c r="G239" s="9" t="s">
        <v>2344</v>
      </c>
      <c r="H239" s="56">
        <f t="shared" si="19"/>
        <v>293</v>
      </c>
      <c r="I239" s="56">
        <v>46.88</v>
      </c>
      <c r="J239" s="14">
        <f>550.81-H237-H238-H239</f>
        <v>-2.5000000000545697E-3</v>
      </c>
      <c r="K239" s="14">
        <f>88.13-I237-I238-I239</f>
        <v>0</v>
      </c>
    </row>
    <row r="240" spans="1:12">
      <c r="A240" t="s">
        <v>4598</v>
      </c>
      <c r="B240" s="1">
        <v>41516</v>
      </c>
      <c r="C240" t="s">
        <v>4599</v>
      </c>
      <c r="D240">
        <v>1</v>
      </c>
      <c r="E240" t="s">
        <v>4555</v>
      </c>
      <c r="F240" t="s">
        <v>946</v>
      </c>
      <c r="G240" t="s">
        <v>947</v>
      </c>
      <c r="H240" s="56">
        <f t="shared" si="19"/>
        <v>176.8125</v>
      </c>
      <c r="I240" s="56">
        <v>28.29</v>
      </c>
      <c r="J240" s="3"/>
      <c r="K240" s="3"/>
    </row>
    <row r="241" spans="1:11">
      <c r="A241" t="s">
        <v>4598</v>
      </c>
      <c r="B241" s="1">
        <v>41516</v>
      </c>
      <c r="C241" t="s">
        <v>4599</v>
      </c>
      <c r="D241">
        <v>1</v>
      </c>
      <c r="E241" t="s">
        <v>4555</v>
      </c>
      <c r="F241" s="9" t="s">
        <v>941</v>
      </c>
      <c r="G241" s="9" t="s">
        <v>942</v>
      </c>
      <c r="H241" s="56">
        <f t="shared" si="19"/>
        <v>80.1875</v>
      </c>
      <c r="I241" s="56">
        <v>12.83</v>
      </c>
    </row>
    <row r="242" spans="1:11">
      <c r="A242" t="s">
        <v>4598</v>
      </c>
      <c r="B242" s="1">
        <v>41516</v>
      </c>
      <c r="C242" t="s">
        <v>4599</v>
      </c>
      <c r="D242">
        <v>1</v>
      </c>
      <c r="E242" t="s">
        <v>4555</v>
      </c>
      <c r="F242" s="9" t="s">
        <v>2343</v>
      </c>
      <c r="G242" s="9" t="s">
        <v>2344</v>
      </c>
      <c r="H242" s="56">
        <f t="shared" si="19"/>
        <v>375.9375</v>
      </c>
      <c r="I242" s="56">
        <v>60.15</v>
      </c>
      <c r="J242" s="14">
        <f>632.94-H240-H241-H242</f>
        <v>2.5000000000545697E-3</v>
      </c>
      <c r="K242" s="14">
        <f>101.27-I240-I241-I242</f>
        <v>0</v>
      </c>
    </row>
    <row r="243" spans="1:11">
      <c r="A243" t="s">
        <v>542</v>
      </c>
      <c r="B243" s="1">
        <v>41505</v>
      </c>
      <c r="C243">
        <v>8849</v>
      </c>
      <c r="D243">
        <v>1</v>
      </c>
      <c r="E243" t="s">
        <v>4565</v>
      </c>
      <c r="F243" t="s">
        <v>946</v>
      </c>
      <c r="G243" t="s">
        <v>947</v>
      </c>
      <c r="H243" s="56">
        <f t="shared" si="19"/>
        <v>770.74999999999989</v>
      </c>
      <c r="I243" s="56">
        <v>123.32</v>
      </c>
      <c r="J243" s="3"/>
      <c r="K243" s="3"/>
    </row>
    <row r="244" spans="1:11">
      <c r="A244" t="s">
        <v>542</v>
      </c>
      <c r="B244" s="1">
        <v>41505</v>
      </c>
      <c r="C244">
        <v>8849</v>
      </c>
      <c r="D244">
        <v>1</v>
      </c>
      <c r="E244" t="s">
        <v>4565</v>
      </c>
      <c r="F244" t="s">
        <v>946</v>
      </c>
      <c r="G244" t="s">
        <v>1581</v>
      </c>
      <c r="H244" s="56">
        <f t="shared" si="19"/>
        <v>200</v>
      </c>
      <c r="I244" s="56">
        <v>32</v>
      </c>
    </row>
    <row r="245" spans="1:11">
      <c r="A245" t="s">
        <v>542</v>
      </c>
      <c r="B245" s="1">
        <v>41505</v>
      </c>
      <c r="C245">
        <v>8849</v>
      </c>
      <c r="D245">
        <v>1</v>
      </c>
      <c r="E245" t="s">
        <v>4565</v>
      </c>
      <c r="F245" s="9" t="s">
        <v>4751</v>
      </c>
      <c r="G245" s="9" t="s">
        <v>4752</v>
      </c>
      <c r="H245" s="56">
        <f t="shared" si="19"/>
        <v>65</v>
      </c>
      <c r="I245" s="56">
        <v>10.4</v>
      </c>
    </row>
    <row r="246" spans="1:11">
      <c r="A246" t="s">
        <v>542</v>
      </c>
      <c r="B246" s="1">
        <v>41505</v>
      </c>
      <c r="C246">
        <v>8849</v>
      </c>
      <c r="D246">
        <v>1</v>
      </c>
      <c r="E246" t="s">
        <v>4565</v>
      </c>
      <c r="F246" s="9" t="s">
        <v>4753</v>
      </c>
      <c r="G246" s="9" t="s">
        <v>4754</v>
      </c>
      <c r="H246" s="56">
        <f t="shared" si="19"/>
        <v>626.4375</v>
      </c>
      <c r="I246" s="56">
        <v>100.23</v>
      </c>
      <c r="J246" s="14">
        <f>1662.19-H243-H244-H245-H246</f>
        <v>2.5000000001682565E-3</v>
      </c>
      <c r="K246" s="14">
        <f>265.95-I243-I244-I245-I246</f>
        <v>0</v>
      </c>
    </row>
    <row r="247" spans="1:11">
      <c r="A247" t="s">
        <v>4449</v>
      </c>
      <c r="B247" s="1">
        <v>41502</v>
      </c>
      <c r="C247">
        <v>8820</v>
      </c>
      <c r="D247">
        <v>1</v>
      </c>
      <c r="E247" t="s">
        <v>4450</v>
      </c>
      <c r="F247" s="9" t="s">
        <v>884</v>
      </c>
      <c r="G247" s="9" t="s">
        <v>4450</v>
      </c>
      <c r="H247" s="3">
        <f>+I247/0.16</f>
        <v>344.8125</v>
      </c>
      <c r="I247" s="3">
        <v>55.17</v>
      </c>
    </row>
    <row r="248" spans="1:11">
      <c r="A248" t="s">
        <v>2397</v>
      </c>
      <c r="B248" s="1">
        <v>41501</v>
      </c>
      <c r="C248" t="s">
        <v>4419</v>
      </c>
      <c r="D248">
        <v>1</v>
      </c>
      <c r="E248" t="s">
        <v>4420</v>
      </c>
      <c r="F248" s="28" t="s">
        <v>901</v>
      </c>
      <c r="G248" s="28" t="s">
        <v>4420</v>
      </c>
      <c r="H248" s="56">
        <f t="shared" ref="H248:H249" si="20">I248/0.16</f>
        <v>375.875</v>
      </c>
      <c r="I248" s="56">
        <v>60.14</v>
      </c>
      <c r="J248" s="3"/>
      <c r="K248" s="3"/>
    </row>
    <row r="249" spans="1:11">
      <c r="A249" t="s">
        <v>2397</v>
      </c>
      <c r="B249" s="1">
        <v>41501</v>
      </c>
      <c r="C249" t="s">
        <v>4419</v>
      </c>
      <c r="D249">
        <v>1</v>
      </c>
      <c r="E249" t="s">
        <v>4420</v>
      </c>
      <c r="F249" s="9" t="s">
        <v>1706</v>
      </c>
      <c r="G249" s="9" t="s">
        <v>1707</v>
      </c>
      <c r="H249" s="56">
        <f t="shared" si="20"/>
        <v>64.6875</v>
      </c>
      <c r="I249" s="56">
        <v>10.35</v>
      </c>
      <c r="J249" s="14">
        <f>440.56-H248-H249</f>
        <v>-2.4999999999977263E-3</v>
      </c>
      <c r="K249" s="14">
        <f>70.49-I248-I249</f>
        <v>0</v>
      </c>
    </row>
    <row r="250" spans="1:11">
      <c r="A250" t="s">
        <v>971</v>
      </c>
      <c r="B250" s="1">
        <v>41491</v>
      </c>
      <c r="C250" t="s">
        <v>4620</v>
      </c>
      <c r="D250">
        <v>1</v>
      </c>
      <c r="E250" t="s">
        <v>968</v>
      </c>
      <c r="F250" s="9" t="s">
        <v>1632</v>
      </c>
      <c r="G250" s="9" t="s">
        <v>968</v>
      </c>
      <c r="H250" s="3">
        <f t="shared" ref="H250:H284" si="21">+I250/0.16</f>
        <v>6445</v>
      </c>
      <c r="I250" s="3">
        <v>1031.2</v>
      </c>
    </row>
    <row r="251" spans="1:11">
      <c r="A251" t="s">
        <v>230</v>
      </c>
      <c r="B251" s="1">
        <v>41513</v>
      </c>
      <c r="C251" t="s">
        <v>4657</v>
      </c>
      <c r="D251">
        <v>1</v>
      </c>
      <c r="E251" t="s">
        <v>968</v>
      </c>
      <c r="F251" s="36" t="s">
        <v>1632</v>
      </c>
      <c r="G251" s="9" t="s">
        <v>968</v>
      </c>
      <c r="H251" s="3">
        <f t="shared" si="21"/>
        <v>6445</v>
      </c>
      <c r="I251" s="3">
        <v>1031.2</v>
      </c>
    </row>
    <row r="252" spans="1:11">
      <c r="A252" t="s">
        <v>1190</v>
      </c>
      <c r="B252" s="1">
        <v>41513</v>
      </c>
      <c r="C252" t="s">
        <v>4658</v>
      </c>
      <c r="D252">
        <v>1</v>
      </c>
      <c r="E252" t="s">
        <v>968</v>
      </c>
      <c r="F252" s="36" t="s">
        <v>1632</v>
      </c>
      <c r="G252" s="9" t="s">
        <v>968</v>
      </c>
      <c r="H252" s="3">
        <f t="shared" si="21"/>
        <v>13917.75</v>
      </c>
      <c r="I252" s="3">
        <v>2226.84</v>
      </c>
    </row>
    <row r="253" spans="1:11">
      <c r="A253" t="s">
        <v>662</v>
      </c>
      <c r="B253" s="1">
        <v>41515</v>
      </c>
      <c r="C253">
        <v>8933</v>
      </c>
      <c r="D253">
        <v>1</v>
      </c>
      <c r="E253" t="s">
        <v>590</v>
      </c>
      <c r="F253" s="9" t="s">
        <v>882</v>
      </c>
      <c r="G253" s="9" t="s">
        <v>590</v>
      </c>
      <c r="H253" s="3">
        <f t="shared" si="21"/>
        <v>28.499999999999996</v>
      </c>
      <c r="I253" s="3">
        <v>4.5599999999999996</v>
      </c>
    </row>
    <row r="254" spans="1:11">
      <c r="A254" t="s">
        <v>668</v>
      </c>
      <c r="B254" s="1">
        <v>41515</v>
      </c>
      <c r="C254">
        <v>8936</v>
      </c>
      <c r="D254">
        <v>1</v>
      </c>
      <c r="E254" t="s">
        <v>590</v>
      </c>
      <c r="F254" s="9" t="s">
        <v>882</v>
      </c>
      <c r="G254" s="9" t="s">
        <v>590</v>
      </c>
      <c r="H254" s="3">
        <f t="shared" si="21"/>
        <v>26.75</v>
      </c>
      <c r="I254" s="3">
        <v>4.28</v>
      </c>
    </row>
    <row r="255" spans="1:11">
      <c r="A255" t="s">
        <v>4581</v>
      </c>
      <c r="B255" s="1">
        <v>41515</v>
      </c>
      <c r="C255">
        <v>8913</v>
      </c>
      <c r="D255">
        <v>1</v>
      </c>
      <c r="E255" t="s">
        <v>535</v>
      </c>
      <c r="F255" s="9" t="s">
        <v>884</v>
      </c>
      <c r="G255" s="9" t="s">
        <v>535</v>
      </c>
      <c r="H255" s="3">
        <f t="shared" si="21"/>
        <v>344.8125</v>
      </c>
      <c r="I255" s="3">
        <v>55.17</v>
      </c>
    </row>
    <row r="256" spans="1:11">
      <c r="A256" t="s">
        <v>626</v>
      </c>
      <c r="B256" s="1">
        <v>41515</v>
      </c>
      <c r="C256">
        <v>8922</v>
      </c>
      <c r="D256">
        <v>1</v>
      </c>
      <c r="E256" t="s">
        <v>535</v>
      </c>
      <c r="F256" s="9" t="s">
        <v>884</v>
      </c>
      <c r="G256" s="9" t="s">
        <v>535</v>
      </c>
      <c r="H256" s="3">
        <f t="shared" si="21"/>
        <v>344.8125</v>
      </c>
      <c r="I256" s="3">
        <v>55.17</v>
      </c>
    </row>
    <row r="257" spans="1:11">
      <c r="A257" t="s">
        <v>3516</v>
      </c>
      <c r="B257" s="1">
        <v>41516</v>
      </c>
      <c r="C257" t="s">
        <v>4521</v>
      </c>
      <c r="D257">
        <v>1</v>
      </c>
      <c r="E257" t="s">
        <v>4522</v>
      </c>
      <c r="F257" s="64" t="s">
        <v>1635</v>
      </c>
      <c r="G257" s="9" t="s">
        <v>4522</v>
      </c>
      <c r="H257" s="3">
        <f t="shared" si="21"/>
        <v>288927.5</v>
      </c>
      <c r="I257" s="3">
        <v>46228.4</v>
      </c>
    </row>
    <row r="258" spans="1:11">
      <c r="A258" t="s">
        <v>4401</v>
      </c>
      <c r="B258" s="1">
        <v>41496</v>
      </c>
      <c r="C258" t="s">
        <v>4402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21"/>
        <v>161302.0625</v>
      </c>
      <c r="I258" s="3">
        <v>25808.33</v>
      </c>
      <c r="J258" s="56"/>
      <c r="K258" s="56"/>
    </row>
    <row r="259" spans="1:11">
      <c r="A259" t="s">
        <v>4407</v>
      </c>
      <c r="B259" s="1">
        <v>41498</v>
      </c>
      <c r="C259" t="s">
        <v>4408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21"/>
        <v>300276.5625</v>
      </c>
      <c r="I259" s="3">
        <v>48044.25</v>
      </c>
      <c r="J259" s="56"/>
      <c r="K259" s="56"/>
    </row>
    <row r="260" spans="1:11">
      <c r="A260" t="s">
        <v>2392</v>
      </c>
      <c r="B260" s="1">
        <v>41498</v>
      </c>
      <c r="C260" t="s">
        <v>4409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21"/>
        <v>277621.375</v>
      </c>
      <c r="I260" s="3">
        <v>44419.42</v>
      </c>
      <c r="J260" s="56"/>
      <c r="K260" s="56"/>
    </row>
    <row r="261" spans="1:11">
      <c r="A261" t="s">
        <v>4410</v>
      </c>
      <c r="B261" s="1">
        <v>41499</v>
      </c>
      <c r="C261" t="s">
        <v>4411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21"/>
        <v>277621.375</v>
      </c>
      <c r="I261" s="3">
        <v>44419.42</v>
      </c>
      <c r="J261" s="56"/>
      <c r="K261" s="56"/>
    </row>
    <row r="262" spans="1:11">
      <c r="A262" t="s">
        <v>4412</v>
      </c>
      <c r="B262" s="1">
        <v>41499</v>
      </c>
      <c r="C262" t="s">
        <v>4413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21"/>
        <v>277621.375</v>
      </c>
      <c r="I262" s="3">
        <v>44419.42</v>
      </c>
      <c r="J262" s="56"/>
      <c r="K262" s="56"/>
    </row>
    <row r="263" spans="1:11">
      <c r="A263" t="s">
        <v>4414</v>
      </c>
      <c r="B263" s="1">
        <v>41499</v>
      </c>
      <c r="C263" t="s">
        <v>2994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21"/>
        <v>-277751.8125</v>
      </c>
      <c r="I263" s="3">
        <v>-44440.29</v>
      </c>
      <c r="J263" s="56"/>
      <c r="K263" s="56"/>
    </row>
    <row r="264" spans="1:11">
      <c r="A264" t="s">
        <v>4468</v>
      </c>
      <c r="B264" s="1">
        <v>41506</v>
      </c>
      <c r="C264" t="s">
        <v>4469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21"/>
        <v>314431.625</v>
      </c>
      <c r="I264" s="3">
        <v>50309.06</v>
      </c>
    </row>
    <row r="265" spans="1:11">
      <c r="A265" t="s">
        <v>1833</v>
      </c>
      <c r="B265" s="1">
        <v>41507</v>
      </c>
      <c r="C265" t="s">
        <v>4473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21"/>
        <v>288927.5</v>
      </c>
      <c r="I265" s="3">
        <v>46228.4</v>
      </c>
    </row>
    <row r="266" spans="1:11">
      <c r="A266" t="s">
        <v>4474</v>
      </c>
      <c r="B266" s="1">
        <v>41507</v>
      </c>
      <c r="C266" t="s">
        <v>4475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21"/>
        <v>180602.62499999997</v>
      </c>
      <c r="I266" s="3">
        <v>28896.42</v>
      </c>
    </row>
    <row r="267" spans="1:11">
      <c r="A267" t="s">
        <v>4476</v>
      </c>
      <c r="B267" s="1">
        <v>41509</v>
      </c>
      <c r="C267" t="s">
        <v>4477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21"/>
        <v>168750.3125</v>
      </c>
      <c r="I267" s="3">
        <v>27000.05</v>
      </c>
    </row>
    <row r="268" spans="1:11">
      <c r="A268" t="s">
        <v>4488</v>
      </c>
      <c r="B268" s="1">
        <v>41512</v>
      </c>
      <c r="C268" t="s">
        <v>4489</v>
      </c>
      <c r="D268">
        <v>1</v>
      </c>
      <c r="E268" t="s">
        <v>6</v>
      </c>
      <c r="F268" s="30" t="s">
        <v>886</v>
      </c>
      <c r="G268" s="31" t="s">
        <v>887</v>
      </c>
      <c r="H268" s="3">
        <f t="shared" si="21"/>
        <v>349316.9375</v>
      </c>
      <c r="I268" s="3">
        <v>55890.71</v>
      </c>
    </row>
    <row r="269" spans="1:11">
      <c r="A269" t="s">
        <v>4490</v>
      </c>
      <c r="B269" s="1">
        <v>41512</v>
      </c>
      <c r="C269" t="s">
        <v>4491</v>
      </c>
      <c r="D269">
        <v>1</v>
      </c>
      <c r="E269" t="s">
        <v>6</v>
      </c>
      <c r="F269" s="30" t="s">
        <v>886</v>
      </c>
      <c r="G269" s="31" t="s">
        <v>887</v>
      </c>
      <c r="H269" s="3">
        <f t="shared" si="21"/>
        <v>314431.625</v>
      </c>
      <c r="I269" s="3">
        <v>50309.06</v>
      </c>
    </row>
    <row r="270" spans="1:11">
      <c r="A270" t="s">
        <v>4492</v>
      </c>
      <c r="B270" s="1">
        <v>41512</v>
      </c>
      <c r="C270" t="s">
        <v>4493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21"/>
        <v>168750.3125</v>
      </c>
      <c r="I270" s="3">
        <v>27000.05</v>
      </c>
    </row>
    <row r="271" spans="1:11">
      <c r="A271" t="s">
        <v>4494</v>
      </c>
      <c r="B271" s="1">
        <v>41512</v>
      </c>
      <c r="C271" t="s">
        <v>4495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21"/>
        <v>259056.9375</v>
      </c>
      <c r="I271" s="3">
        <v>41449.11</v>
      </c>
    </row>
    <row r="272" spans="1:11">
      <c r="A272" t="s">
        <v>4496</v>
      </c>
      <c r="B272" s="1">
        <v>41512</v>
      </c>
      <c r="C272" t="s">
        <v>4497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21"/>
        <v>277621.375</v>
      </c>
      <c r="I272" s="3">
        <v>44419.42</v>
      </c>
      <c r="J272" s="56"/>
      <c r="K272" s="56"/>
    </row>
    <row r="273" spans="1:11">
      <c r="A273" t="s">
        <v>3947</v>
      </c>
      <c r="B273" s="1">
        <v>41512</v>
      </c>
      <c r="C273" t="s">
        <v>4498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21"/>
        <v>277621.375</v>
      </c>
      <c r="I273" s="3">
        <v>44419.42</v>
      </c>
      <c r="J273" s="56"/>
      <c r="K273" s="56"/>
    </row>
    <row r="274" spans="1:11">
      <c r="A274" t="s">
        <v>4501</v>
      </c>
      <c r="B274" s="1">
        <v>41513</v>
      </c>
      <c r="C274" t="s">
        <v>4502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21"/>
        <v>277621.375</v>
      </c>
      <c r="I274" s="3">
        <v>44419.42</v>
      </c>
      <c r="J274" s="56"/>
      <c r="K274" s="56"/>
    </row>
    <row r="275" spans="1:11">
      <c r="A275" t="s">
        <v>1424</v>
      </c>
      <c r="B275" s="1">
        <v>41517</v>
      </c>
      <c r="C275" t="s">
        <v>4529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21"/>
        <v>161302.0625</v>
      </c>
      <c r="I275" s="3">
        <v>25808.33</v>
      </c>
    </row>
    <row r="276" spans="1:11">
      <c r="A276" t="s">
        <v>3106</v>
      </c>
      <c r="B276" s="1">
        <v>41517</v>
      </c>
      <c r="C276" t="s">
        <v>4530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21"/>
        <v>161302.0625</v>
      </c>
      <c r="I276" s="3">
        <v>25808.33</v>
      </c>
    </row>
    <row r="277" spans="1:11">
      <c r="A277" t="s">
        <v>416</v>
      </c>
      <c r="B277" s="1">
        <v>41517</v>
      </c>
      <c r="C277" t="s">
        <v>4531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21"/>
        <v>176668.5625</v>
      </c>
      <c r="I277" s="3">
        <v>28266.97</v>
      </c>
    </row>
    <row r="278" spans="1:11">
      <c r="A278" t="s">
        <v>1452</v>
      </c>
      <c r="B278" s="1">
        <v>41517</v>
      </c>
      <c r="C278" t="s">
        <v>4532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21"/>
        <v>212747.3125</v>
      </c>
      <c r="I278" s="3">
        <v>34039.57</v>
      </c>
    </row>
    <row r="279" spans="1:11">
      <c r="A279" t="s">
        <v>1483</v>
      </c>
      <c r="B279" s="1">
        <v>41517</v>
      </c>
      <c r="C279" t="s">
        <v>4534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21"/>
        <v>182560.6875</v>
      </c>
      <c r="I279" s="3">
        <v>29209.71</v>
      </c>
    </row>
    <row r="280" spans="1:11">
      <c r="A280" t="s">
        <v>0</v>
      </c>
      <c r="B280" s="1">
        <v>41517</v>
      </c>
      <c r="C280" t="s">
        <v>4535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21"/>
        <v>212747.3125</v>
      </c>
      <c r="I280" s="3">
        <v>34039.57</v>
      </c>
    </row>
    <row r="281" spans="1:11">
      <c r="A281" t="s">
        <v>3185</v>
      </c>
      <c r="B281" s="1">
        <v>41517</v>
      </c>
      <c r="C281" t="s">
        <v>4536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21"/>
        <v>212747.3125</v>
      </c>
      <c r="I281" s="3">
        <v>34039.57</v>
      </c>
    </row>
    <row r="282" spans="1:11">
      <c r="A282" t="s">
        <v>1491</v>
      </c>
      <c r="B282" s="1">
        <v>41517</v>
      </c>
      <c r="C282" t="s">
        <v>4537</v>
      </c>
      <c r="D282">
        <v>1</v>
      </c>
      <c r="E282" t="s">
        <v>6</v>
      </c>
      <c r="F282" s="30" t="s">
        <v>886</v>
      </c>
      <c r="G282" s="31" t="s">
        <v>887</v>
      </c>
      <c r="H282" s="3">
        <f t="shared" si="21"/>
        <v>212747.3125</v>
      </c>
      <c r="I282" s="3">
        <v>34039.57</v>
      </c>
    </row>
    <row r="283" spans="1:11">
      <c r="A283" t="s">
        <v>4623</v>
      </c>
      <c r="B283" s="1">
        <v>41495</v>
      </c>
      <c r="C283" t="s">
        <v>4624</v>
      </c>
      <c r="D283">
        <v>1</v>
      </c>
      <c r="E283" t="s">
        <v>6</v>
      </c>
      <c r="F283" s="67" t="s">
        <v>829</v>
      </c>
      <c r="G283" s="68" t="s">
        <v>6</v>
      </c>
      <c r="H283" s="3">
        <f t="shared" si="21"/>
        <v>384163.75</v>
      </c>
      <c r="I283" s="3">
        <v>61466.2</v>
      </c>
    </row>
    <row r="284" spans="1:11">
      <c r="A284" t="s">
        <v>2567</v>
      </c>
      <c r="B284" s="1">
        <v>41517</v>
      </c>
      <c r="C284" t="s">
        <v>3731</v>
      </c>
      <c r="D284">
        <v>1</v>
      </c>
      <c r="E284" t="s">
        <v>4541</v>
      </c>
      <c r="F284" s="67" t="s">
        <v>829</v>
      </c>
      <c r="G284" s="68" t="s">
        <v>6</v>
      </c>
      <c r="H284" s="3">
        <f t="shared" si="21"/>
        <v>638439.375</v>
      </c>
      <c r="I284" s="3">
        <v>102150.3</v>
      </c>
    </row>
    <row r="285" spans="1:11">
      <c r="A285" t="s">
        <v>515</v>
      </c>
      <c r="B285" s="1">
        <v>41505</v>
      </c>
      <c r="C285" t="s">
        <v>4559</v>
      </c>
      <c r="D285">
        <v>1</v>
      </c>
      <c r="E285" t="s">
        <v>4560</v>
      </c>
      <c r="F285" s="9" t="s">
        <v>4772</v>
      </c>
      <c r="G285" s="9" t="s">
        <v>4773</v>
      </c>
      <c r="H285" s="56">
        <f t="shared" ref="H285:H294" si="22">I285/0.16</f>
        <v>86.187499999999986</v>
      </c>
      <c r="I285" s="56">
        <v>13.79</v>
      </c>
      <c r="J285" s="3"/>
      <c r="K285" s="3"/>
    </row>
    <row r="286" spans="1:11">
      <c r="A286" t="s">
        <v>515</v>
      </c>
      <c r="B286" s="1">
        <v>41505</v>
      </c>
      <c r="C286" t="s">
        <v>4559</v>
      </c>
      <c r="D286">
        <v>1</v>
      </c>
      <c r="E286" t="s">
        <v>4560</v>
      </c>
      <c r="F286" s="28" t="s">
        <v>4774</v>
      </c>
      <c r="G286" s="28" t="s">
        <v>4775</v>
      </c>
      <c r="H286" s="56">
        <f t="shared" si="22"/>
        <v>317.8125</v>
      </c>
      <c r="I286" s="56">
        <v>50.85</v>
      </c>
    </row>
    <row r="287" spans="1:11">
      <c r="A287" t="s">
        <v>515</v>
      </c>
      <c r="B287" s="1">
        <v>41505</v>
      </c>
      <c r="C287" t="s">
        <v>4559</v>
      </c>
      <c r="D287">
        <v>1</v>
      </c>
      <c r="E287" t="s">
        <v>4560</v>
      </c>
      <c r="F287" s="28" t="s">
        <v>4774</v>
      </c>
      <c r="G287" s="28" t="s">
        <v>4775</v>
      </c>
      <c r="H287" s="56">
        <f t="shared" si="22"/>
        <v>122</v>
      </c>
      <c r="I287" s="56">
        <v>19.52</v>
      </c>
    </row>
    <row r="288" spans="1:11">
      <c r="A288" t="s">
        <v>515</v>
      </c>
      <c r="B288" s="1">
        <v>41505</v>
      </c>
      <c r="C288" t="s">
        <v>4559</v>
      </c>
      <c r="D288">
        <v>1</v>
      </c>
      <c r="E288" t="s">
        <v>4560</v>
      </c>
      <c r="F288" s="28" t="s">
        <v>4776</v>
      </c>
      <c r="G288" s="28" t="s">
        <v>4777</v>
      </c>
      <c r="H288" s="56">
        <f t="shared" si="22"/>
        <v>400.9375</v>
      </c>
      <c r="I288" s="56">
        <v>64.150000000000006</v>
      </c>
    </row>
    <row r="289" spans="1:11">
      <c r="A289" t="s">
        <v>515</v>
      </c>
      <c r="B289" s="1">
        <v>41505</v>
      </c>
      <c r="C289" t="s">
        <v>4559</v>
      </c>
      <c r="D289">
        <v>1</v>
      </c>
      <c r="E289" t="s">
        <v>4560</v>
      </c>
      <c r="F289" s="28" t="s">
        <v>4778</v>
      </c>
      <c r="G289" s="28" t="s">
        <v>4779</v>
      </c>
      <c r="H289" s="56">
        <f t="shared" si="22"/>
        <v>417.6875</v>
      </c>
      <c r="I289" s="56">
        <v>66.83</v>
      </c>
    </row>
    <row r="290" spans="1:11">
      <c r="A290" t="s">
        <v>515</v>
      </c>
      <c r="B290" s="1">
        <v>41505</v>
      </c>
      <c r="C290" t="s">
        <v>4559</v>
      </c>
      <c r="D290">
        <v>1</v>
      </c>
      <c r="E290" t="s">
        <v>4560</v>
      </c>
      <c r="F290" s="28" t="s">
        <v>903</v>
      </c>
      <c r="G290" s="28" t="s">
        <v>904</v>
      </c>
      <c r="H290" s="56">
        <f t="shared" si="22"/>
        <v>250.56250000000003</v>
      </c>
      <c r="I290" s="56">
        <v>40.090000000000003</v>
      </c>
    </row>
    <row r="291" spans="1:11">
      <c r="A291" t="s">
        <v>515</v>
      </c>
      <c r="B291" s="1">
        <v>41505</v>
      </c>
      <c r="C291" t="s">
        <v>4559</v>
      </c>
      <c r="D291">
        <v>1</v>
      </c>
      <c r="E291" t="s">
        <v>4560</v>
      </c>
      <c r="F291" t="s">
        <v>946</v>
      </c>
      <c r="G291" t="s">
        <v>947</v>
      </c>
      <c r="H291" s="56">
        <f t="shared" si="22"/>
        <v>608.625</v>
      </c>
      <c r="I291" s="56">
        <v>97.38</v>
      </c>
    </row>
    <row r="292" spans="1:11">
      <c r="A292" t="s">
        <v>515</v>
      </c>
      <c r="B292" s="1">
        <v>41505</v>
      </c>
      <c r="C292" t="s">
        <v>4559</v>
      </c>
      <c r="D292">
        <v>1</v>
      </c>
      <c r="E292" t="s">
        <v>4560</v>
      </c>
      <c r="F292" t="s">
        <v>946</v>
      </c>
      <c r="G292" s="33" t="s">
        <v>947</v>
      </c>
      <c r="H292" s="56">
        <f t="shared" si="22"/>
        <v>362.125</v>
      </c>
      <c r="I292" s="56">
        <v>57.94</v>
      </c>
      <c r="J292" s="14">
        <f>2565.94-H285-H286-H287-H288-H289-H290-H291-H292</f>
        <v>2.5000000000545697E-3</v>
      </c>
      <c r="K292" s="14">
        <f>410.55-I285-I286-I287-I288-I289-I290-I291-I292</f>
        <v>0</v>
      </c>
    </row>
    <row r="293" spans="1:11">
      <c r="A293" t="s">
        <v>4594</v>
      </c>
      <c r="B293" s="1">
        <v>41515</v>
      </c>
      <c r="C293" t="s">
        <v>4595</v>
      </c>
      <c r="D293">
        <v>1</v>
      </c>
      <c r="E293" t="s">
        <v>4596</v>
      </c>
      <c r="F293" t="s">
        <v>946</v>
      </c>
      <c r="G293" t="s">
        <v>947</v>
      </c>
      <c r="H293" s="56">
        <f t="shared" si="22"/>
        <v>395.8125</v>
      </c>
      <c r="I293" s="56">
        <v>63.33</v>
      </c>
      <c r="J293" s="3"/>
      <c r="K293" s="3"/>
    </row>
    <row r="294" spans="1:11">
      <c r="A294" t="s">
        <v>4594</v>
      </c>
      <c r="B294" s="1">
        <v>41515</v>
      </c>
      <c r="C294" t="s">
        <v>4595</v>
      </c>
      <c r="D294">
        <v>1</v>
      </c>
      <c r="E294" t="s">
        <v>4596</v>
      </c>
      <c r="F294" s="9" t="s">
        <v>4366</v>
      </c>
      <c r="G294" s="9" t="s">
        <v>4367</v>
      </c>
      <c r="H294" s="56">
        <f t="shared" si="22"/>
        <v>100.875</v>
      </c>
      <c r="I294" s="56">
        <v>16.14</v>
      </c>
      <c r="J294" s="14">
        <f>496.69-H293-H294</f>
        <v>2.4999999999977263E-3</v>
      </c>
      <c r="K294" s="14">
        <f>79.47-I293-I294</f>
        <v>0</v>
      </c>
    </row>
    <row r="295" spans="1:11">
      <c r="A295" t="s">
        <v>322</v>
      </c>
      <c r="B295" s="1">
        <v>41517</v>
      </c>
      <c r="C295" t="s">
        <v>4685</v>
      </c>
      <c r="D295">
        <v>1</v>
      </c>
      <c r="E295" t="s">
        <v>4287</v>
      </c>
      <c r="F295" s="9" t="s">
        <v>4381</v>
      </c>
      <c r="G295" s="9" t="s">
        <v>4287</v>
      </c>
      <c r="H295" s="3">
        <f t="shared" ref="H295:H301" si="23">+I295/0.16</f>
        <v>7600</v>
      </c>
      <c r="I295" s="3">
        <v>1216</v>
      </c>
    </row>
    <row r="296" spans="1:11">
      <c r="A296" t="s">
        <v>4470</v>
      </c>
      <c r="B296" s="1">
        <v>41507</v>
      </c>
      <c r="C296" t="s">
        <v>4471</v>
      </c>
      <c r="D296">
        <v>1</v>
      </c>
      <c r="E296" t="s">
        <v>4472</v>
      </c>
      <c r="F296" s="9" t="s">
        <v>892</v>
      </c>
      <c r="G296" s="9" t="s">
        <v>4472</v>
      </c>
      <c r="H296" s="3">
        <f t="shared" si="23"/>
        <v>161302.0625</v>
      </c>
      <c r="I296" s="3">
        <v>25808.33</v>
      </c>
    </row>
    <row r="297" spans="1:11">
      <c r="A297" t="s">
        <v>3557</v>
      </c>
      <c r="B297" s="1">
        <v>41516</v>
      </c>
      <c r="C297" t="s">
        <v>4526</v>
      </c>
      <c r="D297">
        <v>1</v>
      </c>
      <c r="E297" t="s">
        <v>4006</v>
      </c>
      <c r="F297" s="12" t="s">
        <v>4377</v>
      </c>
      <c r="G297" s="9" t="s">
        <v>4006</v>
      </c>
      <c r="H297" s="3">
        <f t="shared" si="23"/>
        <v>288927.5</v>
      </c>
      <c r="I297" s="3">
        <v>46228.4</v>
      </c>
    </row>
    <row r="298" spans="1:11">
      <c r="A298" t="s">
        <v>576</v>
      </c>
      <c r="B298" s="1">
        <v>41513</v>
      </c>
      <c r="C298">
        <v>8880</v>
      </c>
      <c r="D298">
        <v>1</v>
      </c>
      <c r="E298" t="s">
        <v>4040</v>
      </c>
      <c r="F298" s="12" t="s">
        <v>4376</v>
      </c>
      <c r="G298" s="9" t="s">
        <v>4040</v>
      </c>
      <c r="H298" s="3">
        <f t="shared" si="23"/>
        <v>33.875</v>
      </c>
      <c r="I298" s="3">
        <v>5.42</v>
      </c>
    </row>
    <row r="299" spans="1:11">
      <c r="A299" t="s">
        <v>594</v>
      </c>
      <c r="B299" s="1">
        <v>41513</v>
      </c>
      <c r="C299">
        <v>8891</v>
      </c>
      <c r="D299">
        <v>1</v>
      </c>
      <c r="E299" t="s">
        <v>4040</v>
      </c>
      <c r="F299" s="12" t="s">
        <v>4376</v>
      </c>
      <c r="G299" s="9" t="s">
        <v>4040</v>
      </c>
      <c r="H299" s="3">
        <f t="shared" si="23"/>
        <v>219.6875</v>
      </c>
      <c r="I299" s="3">
        <v>35.15</v>
      </c>
    </row>
    <row r="300" spans="1:11">
      <c r="A300" t="s">
        <v>4572</v>
      </c>
      <c r="B300" s="1">
        <v>41515</v>
      </c>
      <c r="C300">
        <v>8903</v>
      </c>
      <c r="D300">
        <v>1</v>
      </c>
      <c r="E300" t="s">
        <v>4040</v>
      </c>
      <c r="F300" s="9" t="s">
        <v>4376</v>
      </c>
      <c r="G300" s="9" t="s">
        <v>4040</v>
      </c>
      <c r="H300" s="3">
        <f t="shared" si="23"/>
        <v>247.43750000000003</v>
      </c>
      <c r="I300" s="3">
        <v>39.590000000000003</v>
      </c>
    </row>
    <row r="301" spans="1:11">
      <c r="A301" t="s">
        <v>4010</v>
      </c>
      <c r="B301" s="1">
        <v>41515</v>
      </c>
      <c r="C301">
        <v>8915</v>
      </c>
      <c r="D301">
        <v>1</v>
      </c>
      <c r="E301" t="s">
        <v>4040</v>
      </c>
      <c r="F301" s="9" t="s">
        <v>4376</v>
      </c>
      <c r="G301" s="9" t="s">
        <v>4040</v>
      </c>
      <c r="H301" s="3">
        <f t="shared" si="23"/>
        <v>192.0625</v>
      </c>
      <c r="I301" s="3">
        <v>30.73</v>
      </c>
    </row>
    <row r="302" spans="1:11">
      <c r="A302" t="s">
        <v>4613</v>
      </c>
      <c r="B302" s="1">
        <v>41517</v>
      </c>
      <c r="C302" t="s">
        <v>436</v>
      </c>
      <c r="D302">
        <v>1</v>
      </c>
      <c r="E302" t="s">
        <v>4614</v>
      </c>
      <c r="F302" s="9" t="s">
        <v>2912</v>
      </c>
      <c r="G302" s="9" t="s">
        <v>2913</v>
      </c>
      <c r="H302" s="56">
        <f t="shared" ref="H302:H308" si="24">I302/0.16</f>
        <v>327.5625</v>
      </c>
      <c r="I302" s="56">
        <v>52.41</v>
      </c>
      <c r="J302" s="3"/>
      <c r="K302" s="3"/>
    </row>
    <row r="303" spans="1:11">
      <c r="A303" t="s">
        <v>4613</v>
      </c>
      <c r="B303" s="1">
        <v>41517</v>
      </c>
      <c r="C303" t="s">
        <v>436</v>
      </c>
      <c r="D303">
        <v>1</v>
      </c>
      <c r="E303" t="s">
        <v>4614</v>
      </c>
      <c r="F303" t="s">
        <v>4765</v>
      </c>
      <c r="G303" t="s">
        <v>4766</v>
      </c>
      <c r="H303" s="56">
        <f t="shared" si="24"/>
        <v>94.8125</v>
      </c>
      <c r="I303" s="56">
        <v>15.17</v>
      </c>
    </row>
    <row r="304" spans="1:11">
      <c r="A304" t="s">
        <v>4613</v>
      </c>
      <c r="B304" s="1">
        <v>41517</v>
      </c>
      <c r="C304" t="s">
        <v>436</v>
      </c>
      <c r="D304">
        <v>1</v>
      </c>
      <c r="E304" t="s">
        <v>4614</v>
      </c>
      <c r="F304" t="s">
        <v>4364</v>
      </c>
      <c r="G304" t="s">
        <v>4767</v>
      </c>
      <c r="H304" s="56">
        <f t="shared" si="24"/>
        <v>179.75</v>
      </c>
      <c r="I304" s="56">
        <v>28.76</v>
      </c>
    </row>
    <row r="305" spans="1:12">
      <c r="A305" t="s">
        <v>4613</v>
      </c>
      <c r="B305" s="1">
        <v>41517</v>
      </c>
      <c r="C305" t="s">
        <v>436</v>
      </c>
      <c r="D305">
        <v>1</v>
      </c>
      <c r="E305" t="s">
        <v>4614</v>
      </c>
      <c r="F305" t="s">
        <v>946</v>
      </c>
      <c r="G305" t="s">
        <v>947</v>
      </c>
      <c r="H305" s="56">
        <f t="shared" si="24"/>
        <v>402.625</v>
      </c>
      <c r="I305" s="56">
        <f>62.78+1.64</f>
        <v>64.42</v>
      </c>
    </row>
    <row r="306" spans="1:12">
      <c r="A306" t="s">
        <v>4613</v>
      </c>
      <c r="B306" s="1">
        <v>41517</v>
      </c>
      <c r="C306" t="s">
        <v>436</v>
      </c>
      <c r="D306">
        <v>1</v>
      </c>
      <c r="E306" t="s">
        <v>4614</v>
      </c>
      <c r="F306" s="9" t="s">
        <v>4768</v>
      </c>
      <c r="G306" s="9" t="s">
        <v>4769</v>
      </c>
      <c r="H306" s="56">
        <f t="shared" si="24"/>
        <v>156.875</v>
      </c>
      <c r="I306" s="56">
        <v>25.1</v>
      </c>
    </row>
    <row r="307" spans="1:12">
      <c r="A307" t="s">
        <v>4613</v>
      </c>
      <c r="B307" s="1">
        <v>41517</v>
      </c>
      <c r="C307" t="s">
        <v>436</v>
      </c>
      <c r="D307">
        <v>1</v>
      </c>
      <c r="E307" t="s">
        <v>4614</v>
      </c>
      <c r="F307" s="9" t="s">
        <v>4770</v>
      </c>
      <c r="G307" s="9" t="s">
        <v>4771</v>
      </c>
      <c r="H307" s="56">
        <f t="shared" si="24"/>
        <v>1998</v>
      </c>
      <c r="I307" s="56">
        <v>319.68</v>
      </c>
    </row>
    <row r="308" spans="1:12">
      <c r="A308" t="s">
        <v>4613</v>
      </c>
      <c r="B308" s="1">
        <v>41517</v>
      </c>
      <c r="C308" t="s">
        <v>436</v>
      </c>
      <c r="D308">
        <v>1</v>
      </c>
      <c r="E308" t="s">
        <v>4614</v>
      </c>
      <c r="F308" s="9" t="s">
        <v>4770</v>
      </c>
      <c r="G308" s="9" t="s">
        <v>4771</v>
      </c>
      <c r="H308" s="56">
        <f t="shared" si="24"/>
        <v>192.25</v>
      </c>
      <c r="I308" s="56">
        <v>30.76</v>
      </c>
      <c r="J308" s="14">
        <f>3351.88-H302-H303-H304-H305-H306-H307-H308</f>
        <v>5.0000000001091394E-3</v>
      </c>
      <c r="K308" s="14">
        <f>536.3-I302-I303-I304-I305-I306-I307-I308</f>
        <v>-6.7501559897209518E-14</v>
      </c>
      <c r="L308" t="s">
        <v>900</v>
      </c>
    </row>
    <row r="309" spans="1:12">
      <c r="A309" t="s">
        <v>4463</v>
      </c>
      <c r="B309" s="1">
        <v>41505</v>
      </c>
      <c r="C309" t="s">
        <v>436</v>
      </c>
      <c r="D309">
        <v>1</v>
      </c>
      <c r="E309" t="s">
        <v>4464</v>
      </c>
      <c r="F309" s="28" t="s">
        <v>4755</v>
      </c>
      <c r="G309" s="28" t="s">
        <v>4756</v>
      </c>
      <c r="H309" s="3">
        <f t="shared" ref="H309:H315" si="25">+I309/0.16</f>
        <v>334.0625</v>
      </c>
      <c r="I309" s="3">
        <v>53.45</v>
      </c>
    </row>
    <row r="310" spans="1:12">
      <c r="A310" t="s">
        <v>4463</v>
      </c>
      <c r="B310" s="1">
        <v>41505</v>
      </c>
      <c r="C310" t="s">
        <v>436</v>
      </c>
      <c r="D310">
        <v>1</v>
      </c>
      <c r="E310" t="s">
        <v>4464</v>
      </c>
      <c r="F310" s="9" t="s">
        <v>4761</v>
      </c>
      <c r="G310" s="9" t="s">
        <v>4762</v>
      </c>
      <c r="H310" s="3">
        <f t="shared" si="25"/>
        <v>342.5625</v>
      </c>
      <c r="I310" s="3">
        <v>54.81</v>
      </c>
    </row>
    <row r="311" spans="1:12">
      <c r="A311" t="s">
        <v>4463</v>
      </c>
      <c r="B311" s="1">
        <v>41505</v>
      </c>
      <c r="C311" t="s">
        <v>436</v>
      </c>
      <c r="D311">
        <v>1</v>
      </c>
      <c r="E311" t="s">
        <v>4464</v>
      </c>
      <c r="F311" s="9" t="s">
        <v>1623</v>
      </c>
      <c r="G311" s="9" t="s">
        <v>1624</v>
      </c>
      <c r="H311" s="3">
        <f t="shared" si="25"/>
        <v>592.25</v>
      </c>
      <c r="I311" s="3">
        <v>94.76</v>
      </c>
    </row>
    <row r="312" spans="1:12">
      <c r="A312" t="s">
        <v>4463</v>
      </c>
      <c r="B312" s="1">
        <v>41505</v>
      </c>
      <c r="C312" t="s">
        <v>436</v>
      </c>
      <c r="D312">
        <v>1</v>
      </c>
      <c r="E312" t="s">
        <v>4464</v>
      </c>
      <c r="F312" s="9" t="s">
        <v>4757</v>
      </c>
      <c r="G312" s="9" t="s">
        <v>4758</v>
      </c>
      <c r="H312" s="3">
        <f t="shared" si="25"/>
        <v>725</v>
      </c>
      <c r="I312" s="3">
        <v>116</v>
      </c>
    </row>
    <row r="313" spans="1:12">
      <c r="A313" t="s">
        <v>4463</v>
      </c>
      <c r="B313" s="1">
        <v>41505</v>
      </c>
      <c r="C313" t="s">
        <v>436</v>
      </c>
      <c r="D313">
        <v>1</v>
      </c>
      <c r="E313" t="s">
        <v>4464</v>
      </c>
      <c r="F313" s="9" t="s">
        <v>4759</v>
      </c>
      <c r="G313" s="9" t="s">
        <v>4760</v>
      </c>
      <c r="H313" s="3">
        <f t="shared" si="25"/>
        <v>936.18749999999989</v>
      </c>
      <c r="I313" s="3">
        <v>149.79</v>
      </c>
    </row>
    <row r="314" spans="1:12">
      <c r="A314" t="s">
        <v>4463</v>
      </c>
      <c r="B314" s="1">
        <v>41505</v>
      </c>
      <c r="C314" t="s">
        <v>436</v>
      </c>
      <c r="D314">
        <v>1</v>
      </c>
      <c r="E314" t="s">
        <v>4464</v>
      </c>
      <c r="F314" t="s">
        <v>946</v>
      </c>
      <c r="G314" s="41" t="s">
        <v>947</v>
      </c>
      <c r="H314" s="3">
        <f t="shared" si="25"/>
        <v>1632.3125</v>
      </c>
      <c r="I314" s="3">
        <v>261.17</v>
      </c>
    </row>
    <row r="315" spans="1:12">
      <c r="A315" t="s">
        <v>4463</v>
      </c>
      <c r="B315" s="1">
        <v>41505</v>
      </c>
      <c r="C315" t="s">
        <v>436</v>
      </c>
      <c r="D315">
        <v>1</v>
      </c>
      <c r="E315" t="s">
        <v>4464</v>
      </c>
      <c r="F315" s="9" t="s">
        <v>1621</v>
      </c>
      <c r="G315" s="9" t="s">
        <v>1622</v>
      </c>
      <c r="H315" s="3">
        <f t="shared" si="25"/>
        <v>3782.8125</v>
      </c>
      <c r="I315" s="3">
        <v>605.25</v>
      </c>
    </row>
    <row r="316" spans="1:12">
      <c r="A316" t="s">
        <v>2603</v>
      </c>
      <c r="B316" s="1">
        <v>41517</v>
      </c>
      <c r="C316" t="s">
        <v>436</v>
      </c>
      <c r="D316">
        <v>1</v>
      </c>
      <c r="E316" t="s">
        <v>4548</v>
      </c>
      <c r="F316" t="s">
        <v>946</v>
      </c>
      <c r="G316" s="43" t="s">
        <v>947</v>
      </c>
      <c r="H316" s="56">
        <f t="shared" ref="H316" si="26">I316/0.16</f>
        <v>560.5</v>
      </c>
      <c r="I316" s="56">
        <v>89.68</v>
      </c>
      <c r="J316" s="3"/>
      <c r="K316" s="3"/>
    </row>
    <row r="317" spans="1:12">
      <c r="A317" t="s">
        <v>2603</v>
      </c>
      <c r="B317" s="1">
        <v>41517</v>
      </c>
      <c r="C317" t="s">
        <v>436</v>
      </c>
      <c r="D317">
        <v>1</v>
      </c>
      <c r="E317" t="s">
        <v>4548</v>
      </c>
      <c r="F317" s="28" t="s">
        <v>2277</v>
      </c>
      <c r="G317" s="108" t="s">
        <v>2278</v>
      </c>
      <c r="H317" s="56">
        <f t="shared" ref="H317:H322" si="27">+I317/0.16</f>
        <v>250.6875</v>
      </c>
      <c r="I317" s="56">
        <v>40.11</v>
      </c>
    </row>
    <row r="318" spans="1:12">
      <c r="A318" t="s">
        <v>2603</v>
      </c>
      <c r="B318" s="1">
        <v>41517</v>
      </c>
      <c r="C318" t="s">
        <v>436</v>
      </c>
      <c r="D318">
        <v>1</v>
      </c>
      <c r="E318" t="s">
        <v>4548</v>
      </c>
      <c r="F318" s="28" t="s">
        <v>4763</v>
      </c>
      <c r="G318" s="108" t="s">
        <v>4764</v>
      </c>
      <c r="H318" s="56">
        <f t="shared" si="27"/>
        <v>737.93749999999989</v>
      </c>
      <c r="I318" s="56">
        <v>118.07</v>
      </c>
      <c r="J318" s="14">
        <f>1549.13-H316-H317-H318</f>
        <v>5.0000000002228262E-3</v>
      </c>
      <c r="K318" s="14">
        <f>247.86-I316-I317-I318</f>
        <v>0</v>
      </c>
    </row>
    <row r="319" spans="1:12">
      <c r="A319" t="s">
        <v>92</v>
      </c>
      <c r="B319" s="1">
        <v>41498</v>
      </c>
      <c r="C319" t="s">
        <v>4633</v>
      </c>
      <c r="D319">
        <v>1</v>
      </c>
      <c r="E319" t="s">
        <v>1287</v>
      </c>
      <c r="F319" s="9" t="s">
        <v>1728</v>
      </c>
      <c r="G319" s="9" t="s">
        <v>1287</v>
      </c>
      <c r="H319" s="3">
        <f t="shared" si="27"/>
        <v>2234.25</v>
      </c>
      <c r="I319" s="3">
        <v>357.48</v>
      </c>
    </row>
    <row r="320" spans="1:12">
      <c r="A320" t="s">
        <v>2217</v>
      </c>
      <c r="B320" s="1">
        <v>41517</v>
      </c>
      <c r="C320" t="s">
        <v>4679</v>
      </c>
      <c r="D320">
        <v>1</v>
      </c>
      <c r="E320" t="s">
        <v>1287</v>
      </c>
      <c r="F320" s="9" t="s">
        <v>1728</v>
      </c>
      <c r="G320" s="9" t="s">
        <v>1287</v>
      </c>
      <c r="H320" s="3">
        <f t="shared" si="27"/>
        <v>1262.75</v>
      </c>
      <c r="I320" s="3">
        <v>202.04</v>
      </c>
    </row>
    <row r="321" spans="1:10">
      <c r="A321" t="s">
        <v>3984</v>
      </c>
      <c r="B321" s="1">
        <v>41514</v>
      </c>
      <c r="C321" t="s">
        <v>4506</v>
      </c>
      <c r="D321">
        <v>1</v>
      </c>
      <c r="E321" t="s">
        <v>4508</v>
      </c>
      <c r="F321" s="8" t="s">
        <v>921</v>
      </c>
      <c r="G321" s="9" t="s">
        <v>922</v>
      </c>
      <c r="H321" s="3">
        <f t="shared" si="27"/>
        <v>-350000</v>
      </c>
      <c r="I321" s="3">
        <v>-56000</v>
      </c>
      <c r="J321" s="2"/>
    </row>
    <row r="322" spans="1:10">
      <c r="A322" t="s">
        <v>3984</v>
      </c>
      <c r="B322" s="1">
        <v>41514</v>
      </c>
      <c r="C322" t="s">
        <v>4506</v>
      </c>
      <c r="D322">
        <v>1</v>
      </c>
      <c r="E322" t="s">
        <v>4509</v>
      </c>
      <c r="F322" s="8" t="s">
        <v>921</v>
      </c>
      <c r="G322" s="9" t="s">
        <v>922</v>
      </c>
      <c r="H322" s="3">
        <f t="shared" si="27"/>
        <v>-350000</v>
      </c>
      <c r="I322" s="3">
        <v>-56000</v>
      </c>
      <c r="J322" s="2"/>
    </row>
    <row r="323" spans="1:10">
      <c r="B323" s="1"/>
    </row>
    <row r="324" spans="1:10">
      <c r="B324" s="1"/>
    </row>
    <row r="325" spans="1:10">
      <c r="H325" s="3">
        <f>SUM(H9:H322)</f>
        <v>13167791.625</v>
      </c>
      <c r="I325" s="3">
        <f>SUM(I9:I322)</f>
        <v>2106846.6599999992</v>
      </c>
    </row>
    <row r="326" spans="1:10">
      <c r="H326" s="3">
        <f>2417938.21-311091.55</f>
        <v>2106846.66</v>
      </c>
      <c r="I326" s="3">
        <f>+I325-H326</f>
        <v>0</v>
      </c>
    </row>
    <row r="328" spans="1:10">
      <c r="A328" s="151"/>
      <c r="B328" s="151"/>
      <c r="C328" s="151"/>
      <c r="D328" s="151"/>
      <c r="E328" s="151"/>
      <c r="F328" s="151" t="s">
        <v>724</v>
      </c>
      <c r="G328" s="151" t="s">
        <v>725</v>
      </c>
      <c r="H328" s="152" t="s">
        <v>732</v>
      </c>
      <c r="I328" s="151" t="s">
        <v>726</v>
      </c>
      <c r="J328" s="151" t="s">
        <v>7073</v>
      </c>
    </row>
    <row r="329" spans="1:10">
      <c r="A329" s="174" t="s">
        <v>7099</v>
      </c>
      <c r="B329">
        <v>85</v>
      </c>
      <c r="F329" s="9" t="s">
        <v>747</v>
      </c>
      <c r="G329" s="9" t="s">
        <v>3096</v>
      </c>
      <c r="H329" s="3">
        <f>+I329/0.16</f>
        <v>1396.3125</v>
      </c>
      <c r="I329" s="3">
        <f>+SUMIF($F$9:$F$322,F329,$I$9:$I$322)</f>
        <v>223.41</v>
      </c>
    </row>
    <row r="330" spans="1:10">
      <c r="A330" s="174" t="s">
        <v>7099</v>
      </c>
      <c r="B330">
        <v>85</v>
      </c>
      <c r="F330" s="8" t="s">
        <v>1571</v>
      </c>
      <c r="G330" s="9" t="s">
        <v>1285</v>
      </c>
      <c r="H330" s="3">
        <f t="shared" ref="H330:H393" si="28">+I330/0.16</f>
        <v>2327.5625</v>
      </c>
      <c r="I330" s="3">
        <f t="shared" ref="I330:I393" si="29">+SUMIF($F$9:$F$322,F330,$I$9:$I$322)</f>
        <v>372.41</v>
      </c>
    </row>
    <row r="331" spans="1:10">
      <c r="A331" s="174" t="s">
        <v>7099</v>
      </c>
      <c r="B331">
        <v>85</v>
      </c>
      <c r="F331" s="9" t="s">
        <v>1574</v>
      </c>
      <c r="G331" s="9" t="s">
        <v>991</v>
      </c>
      <c r="H331" s="3">
        <f t="shared" si="28"/>
        <v>182560.6875</v>
      </c>
      <c r="I331" s="3">
        <f t="shared" si="29"/>
        <v>29209.71</v>
      </c>
    </row>
    <row r="332" spans="1:10">
      <c r="A332" s="174" t="s">
        <v>7099</v>
      </c>
      <c r="B332">
        <v>85</v>
      </c>
      <c r="F332" s="13" t="s">
        <v>1578</v>
      </c>
      <c r="G332" s="75" t="s">
        <v>1579</v>
      </c>
      <c r="H332" s="3">
        <f t="shared" si="28"/>
        <v>1212.5</v>
      </c>
      <c r="I332" s="3">
        <f t="shared" si="29"/>
        <v>194</v>
      </c>
    </row>
    <row r="333" spans="1:10">
      <c r="A333" s="174" t="s">
        <v>7099</v>
      </c>
      <c r="B333">
        <v>85</v>
      </c>
      <c r="F333" s="28" t="s">
        <v>939</v>
      </c>
      <c r="G333" s="28" t="s">
        <v>940</v>
      </c>
      <c r="H333" s="3">
        <f t="shared" si="28"/>
        <v>668.3125</v>
      </c>
      <c r="I333" s="3">
        <f t="shared" si="29"/>
        <v>106.93</v>
      </c>
    </row>
    <row r="334" spans="1:10">
      <c r="A334" s="174" t="s">
        <v>7099</v>
      </c>
      <c r="B334">
        <v>85</v>
      </c>
      <c r="F334" s="9" t="s">
        <v>1649</v>
      </c>
      <c r="G334" s="9" t="s">
        <v>1650</v>
      </c>
      <c r="H334" s="3">
        <f t="shared" si="28"/>
        <v>167.1875</v>
      </c>
      <c r="I334" s="3">
        <f t="shared" si="29"/>
        <v>26.75</v>
      </c>
    </row>
    <row r="335" spans="1:10">
      <c r="A335" s="174" t="s">
        <v>7099</v>
      </c>
      <c r="B335">
        <v>85</v>
      </c>
      <c r="F335" s="9" t="s">
        <v>2269</v>
      </c>
      <c r="G335" s="9" t="s">
        <v>2080</v>
      </c>
      <c r="H335" s="3">
        <f t="shared" si="28"/>
        <v>440</v>
      </c>
      <c r="I335" s="3">
        <f t="shared" si="29"/>
        <v>70.400000000000006</v>
      </c>
    </row>
    <row r="336" spans="1:10">
      <c r="A336" s="174" t="s">
        <v>7099</v>
      </c>
      <c r="B336">
        <v>85</v>
      </c>
      <c r="F336" s="12" t="s">
        <v>748</v>
      </c>
      <c r="G336" s="9" t="s">
        <v>481</v>
      </c>
      <c r="H336" s="3">
        <f t="shared" si="28"/>
        <v>86.125</v>
      </c>
      <c r="I336" s="3">
        <f t="shared" si="29"/>
        <v>13.78</v>
      </c>
    </row>
    <row r="337" spans="1:9">
      <c r="A337" s="174" t="s">
        <v>7099</v>
      </c>
      <c r="B337">
        <v>85</v>
      </c>
      <c r="F337" s="9" t="s">
        <v>941</v>
      </c>
      <c r="G337" s="9" t="s">
        <v>942</v>
      </c>
      <c r="H337" s="3">
        <f t="shared" si="28"/>
        <v>149.125</v>
      </c>
      <c r="I337" s="3">
        <f t="shared" si="29"/>
        <v>23.86</v>
      </c>
    </row>
    <row r="338" spans="1:9">
      <c r="A338" s="174" t="s">
        <v>7099</v>
      </c>
      <c r="B338">
        <v>85</v>
      </c>
      <c r="F338" s="41" t="s">
        <v>745</v>
      </c>
      <c r="G338" t="s">
        <v>4462</v>
      </c>
      <c r="H338" s="3">
        <f t="shared" si="28"/>
        <v>221635</v>
      </c>
      <c r="I338" s="3">
        <f t="shared" si="29"/>
        <v>35461.599999999999</v>
      </c>
    </row>
    <row r="339" spans="1:9">
      <c r="A339" s="174" t="s">
        <v>7099</v>
      </c>
      <c r="B339">
        <v>85</v>
      </c>
      <c r="F339" s="8" t="s">
        <v>734</v>
      </c>
      <c r="G339" s="9" t="s">
        <v>735</v>
      </c>
      <c r="H339" s="3">
        <f t="shared" si="28"/>
        <v>636675.62499999988</v>
      </c>
      <c r="I339" s="3">
        <f t="shared" si="29"/>
        <v>101868.09999999999</v>
      </c>
    </row>
    <row r="340" spans="1:9">
      <c r="A340" s="174" t="s">
        <v>7099</v>
      </c>
      <c r="B340">
        <v>85</v>
      </c>
      <c r="F340" s="9" t="s">
        <v>2267</v>
      </c>
      <c r="G340" s="9" t="s">
        <v>4396</v>
      </c>
      <c r="H340" s="3">
        <f t="shared" si="28"/>
        <v>768792.50000000012</v>
      </c>
      <c r="I340" s="3">
        <f t="shared" si="29"/>
        <v>123006.80000000002</v>
      </c>
    </row>
    <row r="341" spans="1:9">
      <c r="A341" s="174" t="s">
        <v>7099</v>
      </c>
      <c r="B341">
        <v>85</v>
      </c>
      <c r="F341" s="28" t="s">
        <v>4730</v>
      </c>
      <c r="G341" s="28" t="s">
        <v>4731</v>
      </c>
      <c r="H341" s="3">
        <f t="shared" si="28"/>
        <v>435.25</v>
      </c>
      <c r="I341" s="3">
        <f t="shared" si="29"/>
        <v>69.64</v>
      </c>
    </row>
    <row r="342" spans="1:9">
      <c r="A342" s="174" t="s">
        <v>7099</v>
      </c>
      <c r="B342">
        <v>85</v>
      </c>
      <c r="F342" s="28" t="s">
        <v>4700</v>
      </c>
      <c r="G342" s="28" t="s">
        <v>4701</v>
      </c>
      <c r="H342" s="3">
        <f t="shared" si="28"/>
        <v>742.3125</v>
      </c>
      <c r="I342" s="3">
        <f t="shared" si="29"/>
        <v>118.77</v>
      </c>
    </row>
    <row r="343" spans="1:9">
      <c r="A343" s="174" t="s">
        <v>7099</v>
      </c>
      <c r="B343">
        <v>85</v>
      </c>
      <c r="F343" s="9" t="s">
        <v>4697</v>
      </c>
      <c r="G343" s="9" t="s">
        <v>4639</v>
      </c>
      <c r="H343" s="3">
        <f t="shared" si="28"/>
        <v>2398.5</v>
      </c>
      <c r="I343" s="3">
        <f t="shared" si="29"/>
        <v>383.76</v>
      </c>
    </row>
    <row r="344" spans="1:9">
      <c r="A344" s="174" t="s">
        <v>7099</v>
      </c>
      <c r="B344">
        <v>85</v>
      </c>
      <c r="F344" s="64" t="s">
        <v>4702</v>
      </c>
      <c r="G344" s="9" t="s">
        <v>4524</v>
      </c>
      <c r="H344" s="3">
        <f t="shared" si="28"/>
        <v>288927.5</v>
      </c>
      <c r="I344" s="3">
        <f t="shared" si="29"/>
        <v>46228.4</v>
      </c>
    </row>
    <row r="345" spans="1:9">
      <c r="A345" s="174" t="s">
        <v>7099</v>
      </c>
      <c r="B345">
        <v>85</v>
      </c>
      <c r="F345" s="12" t="s">
        <v>4377</v>
      </c>
      <c r="G345" s="9" t="s">
        <v>4006</v>
      </c>
      <c r="H345" s="3">
        <f t="shared" si="28"/>
        <v>288927.5</v>
      </c>
      <c r="I345" s="3">
        <f t="shared" si="29"/>
        <v>46228.4</v>
      </c>
    </row>
    <row r="346" spans="1:9">
      <c r="A346" s="174" t="s">
        <v>7099</v>
      </c>
      <c r="B346">
        <v>85</v>
      </c>
      <c r="F346" s="12" t="s">
        <v>4703</v>
      </c>
      <c r="G346" s="9" t="s">
        <v>4520</v>
      </c>
      <c r="H346" s="3">
        <f t="shared" si="28"/>
        <v>288927.5</v>
      </c>
      <c r="I346" s="3">
        <f t="shared" si="29"/>
        <v>46228.4</v>
      </c>
    </row>
    <row r="347" spans="1:9">
      <c r="A347" s="174" t="s">
        <v>7099</v>
      </c>
      <c r="B347">
        <v>85</v>
      </c>
      <c r="F347" s="9" t="s">
        <v>4705</v>
      </c>
      <c r="G347" s="9" t="s">
        <v>4514</v>
      </c>
      <c r="H347" s="3">
        <f t="shared" si="28"/>
        <v>180602.62499999997</v>
      </c>
      <c r="I347" s="3">
        <f t="shared" si="29"/>
        <v>28896.42</v>
      </c>
    </row>
    <row r="348" spans="1:9">
      <c r="A348" s="174" t="s">
        <v>7099</v>
      </c>
      <c r="B348">
        <v>85</v>
      </c>
      <c r="F348" s="12" t="s">
        <v>4715</v>
      </c>
      <c r="G348" s="9" t="s">
        <v>828</v>
      </c>
      <c r="H348" s="3">
        <f t="shared" si="28"/>
        <v>16324.75</v>
      </c>
      <c r="I348" s="3">
        <f t="shared" si="29"/>
        <v>2611.96</v>
      </c>
    </row>
    <row r="349" spans="1:9">
      <c r="A349" s="174" t="s">
        <v>7099</v>
      </c>
      <c r="B349">
        <v>85</v>
      </c>
      <c r="F349" s="12" t="s">
        <v>821</v>
      </c>
      <c r="G349" s="12" t="s">
        <v>2272</v>
      </c>
      <c r="H349" s="3">
        <f t="shared" si="28"/>
        <v>265</v>
      </c>
      <c r="I349" s="3">
        <f t="shared" si="29"/>
        <v>42.4</v>
      </c>
    </row>
    <row r="350" spans="1:9">
      <c r="A350" s="174" t="s">
        <v>7099</v>
      </c>
      <c r="B350">
        <v>85</v>
      </c>
      <c r="F350" s="28" t="s">
        <v>4706</v>
      </c>
      <c r="G350" s="28" t="s">
        <v>4707</v>
      </c>
      <c r="H350" s="3">
        <f t="shared" si="28"/>
        <v>668.4375</v>
      </c>
      <c r="I350" s="3">
        <f t="shared" si="29"/>
        <v>106.95</v>
      </c>
    </row>
    <row r="351" spans="1:9">
      <c r="A351" s="174" t="s">
        <v>7099</v>
      </c>
      <c r="B351">
        <v>85</v>
      </c>
      <c r="F351" s="9" t="s">
        <v>2855</v>
      </c>
      <c r="G351" s="9" t="s">
        <v>2724</v>
      </c>
      <c r="H351" s="3">
        <f t="shared" si="28"/>
        <v>3500</v>
      </c>
      <c r="I351" s="3">
        <f t="shared" si="29"/>
        <v>560</v>
      </c>
    </row>
    <row r="352" spans="1:9">
      <c r="A352" s="174" t="s">
        <v>7099</v>
      </c>
      <c r="B352">
        <v>85</v>
      </c>
      <c r="F352" s="12" t="s">
        <v>823</v>
      </c>
      <c r="G352" s="20" t="s">
        <v>824</v>
      </c>
      <c r="H352" s="3">
        <f t="shared" si="28"/>
        <v>348</v>
      </c>
      <c r="I352" s="3">
        <f t="shared" si="29"/>
        <v>55.68</v>
      </c>
    </row>
    <row r="353" spans="1:9">
      <c r="A353" s="174" t="s">
        <v>7099</v>
      </c>
      <c r="B353">
        <v>85</v>
      </c>
      <c r="F353" s="12" t="s">
        <v>950</v>
      </c>
      <c r="G353" s="20" t="s">
        <v>951</v>
      </c>
      <c r="H353" s="3">
        <f t="shared" si="28"/>
        <v>7103.7499999999991</v>
      </c>
      <c r="I353" s="3">
        <f t="shared" si="29"/>
        <v>1136.5999999999999</v>
      </c>
    </row>
    <row r="354" spans="1:9">
      <c r="A354" s="174" t="s">
        <v>7099</v>
      </c>
      <c r="B354">
        <v>85</v>
      </c>
      <c r="F354" s="12" t="s">
        <v>825</v>
      </c>
      <c r="G354" s="20" t="s">
        <v>826</v>
      </c>
      <c r="H354" s="3">
        <f t="shared" si="28"/>
        <v>26</v>
      </c>
      <c r="I354" s="3">
        <f t="shared" si="29"/>
        <v>4.16</v>
      </c>
    </row>
    <row r="355" spans="1:9">
      <c r="A355" s="174" t="s">
        <v>7099</v>
      </c>
      <c r="B355">
        <v>85</v>
      </c>
      <c r="F355" s="64" t="s">
        <v>772</v>
      </c>
      <c r="G355" s="9" t="s">
        <v>29</v>
      </c>
      <c r="H355" s="3">
        <f t="shared" si="28"/>
        <v>1240086</v>
      </c>
      <c r="I355" s="3">
        <f t="shared" si="29"/>
        <v>198413.76</v>
      </c>
    </row>
    <row r="356" spans="1:9">
      <c r="A356" s="174" t="s">
        <v>7099</v>
      </c>
      <c r="B356">
        <v>85</v>
      </c>
      <c r="F356" s="12" t="s">
        <v>755</v>
      </c>
      <c r="G356" s="9" t="s">
        <v>756</v>
      </c>
      <c r="H356" s="3">
        <f t="shared" si="28"/>
        <v>784558.125</v>
      </c>
      <c r="I356" s="3">
        <f t="shared" si="29"/>
        <v>125529.3</v>
      </c>
    </row>
    <row r="357" spans="1:9">
      <c r="A357" s="174" t="s">
        <v>7099</v>
      </c>
      <c r="B357">
        <v>85</v>
      </c>
      <c r="F357" s="9" t="s">
        <v>2878</v>
      </c>
      <c r="G357" s="9" t="s">
        <v>2879</v>
      </c>
      <c r="H357" s="3">
        <f t="shared" si="28"/>
        <v>94.125</v>
      </c>
      <c r="I357" s="3">
        <f t="shared" si="29"/>
        <v>15.06</v>
      </c>
    </row>
    <row r="358" spans="1:9">
      <c r="A358" s="174" t="s">
        <v>7099</v>
      </c>
      <c r="B358">
        <v>85</v>
      </c>
      <c r="F358" s="12" t="s">
        <v>1575</v>
      </c>
      <c r="G358" s="9" t="s">
        <v>1421</v>
      </c>
      <c r="H358" s="3">
        <f t="shared" si="28"/>
        <v>175.875</v>
      </c>
      <c r="I358" s="3">
        <f t="shared" si="29"/>
        <v>28.14</v>
      </c>
    </row>
    <row r="359" spans="1:9">
      <c r="A359" s="174" t="s">
        <v>7099</v>
      </c>
      <c r="B359">
        <v>85</v>
      </c>
      <c r="F359" s="9" t="s">
        <v>1577</v>
      </c>
      <c r="G359" s="9" t="s">
        <v>1062</v>
      </c>
      <c r="H359" s="3">
        <f t="shared" si="28"/>
        <v>3372.4375</v>
      </c>
      <c r="I359" s="3">
        <f t="shared" si="29"/>
        <v>539.59</v>
      </c>
    </row>
    <row r="360" spans="1:9">
      <c r="A360" s="174" t="s">
        <v>7099</v>
      </c>
      <c r="B360">
        <v>85</v>
      </c>
      <c r="F360" s="9" t="s">
        <v>2920</v>
      </c>
      <c r="G360" s="9" t="s">
        <v>4553</v>
      </c>
      <c r="H360" s="3">
        <f t="shared" si="28"/>
        <v>167.0625</v>
      </c>
      <c r="I360" s="3">
        <f t="shared" si="29"/>
        <v>26.73</v>
      </c>
    </row>
    <row r="361" spans="1:9">
      <c r="A361" s="174" t="s">
        <v>7099</v>
      </c>
      <c r="B361">
        <v>85</v>
      </c>
      <c r="F361" s="9" t="s">
        <v>764</v>
      </c>
      <c r="G361" s="9" t="s">
        <v>100</v>
      </c>
      <c r="H361" s="3">
        <f t="shared" si="28"/>
        <v>21994.8125</v>
      </c>
      <c r="I361" s="3">
        <f t="shared" si="29"/>
        <v>3519.17</v>
      </c>
    </row>
    <row r="362" spans="1:9">
      <c r="A362" s="174" t="s">
        <v>7099</v>
      </c>
      <c r="B362">
        <v>85</v>
      </c>
      <c r="F362" s="9" t="s">
        <v>4338</v>
      </c>
      <c r="G362" s="9" t="s">
        <v>4289</v>
      </c>
      <c r="H362" s="3">
        <f t="shared" si="28"/>
        <v>11400</v>
      </c>
      <c r="I362" s="3">
        <f t="shared" si="29"/>
        <v>1824</v>
      </c>
    </row>
    <row r="363" spans="1:9">
      <c r="A363" s="174" t="s">
        <v>7099</v>
      </c>
      <c r="B363">
        <v>85</v>
      </c>
      <c r="F363" s="28" t="s">
        <v>3794</v>
      </c>
      <c r="G363" s="28" t="s">
        <v>3795</v>
      </c>
      <c r="H363" s="3">
        <f t="shared" si="28"/>
        <v>1043.25</v>
      </c>
      <c r="I363" s="3">
        <f t="shared" si="29"/>
        <v>166.92000000000002</v>
      </c>
    </row>
    <row r="364" spans="1:9">
      <c r="A364" s="174" t="s">
        <v>7099</v>
      </c>
      <c r="B364">
        <v>85</v>
      </c>
      <c r="F364" s="28" t="s">
        <v>3770</v>
      </c>
      <c r="G364" s="28" t="s">
        <v>3771</v>
      </c>
      <c r="H364" s="3">
        <f t="shared" si="28"/>
        <v>390.6875</v>
      </c>
      <c r="I364" s="3">
        <f t="shared" si="29"/>
        <v>62.51</v>
      </c>
    </row>
    <row r="365" spans="1:9">
      <c r="A365" s="174" t="s">
        <v>7099</v>
      </c>
      <c r="B365">
        <v>85</v>
      </c>
      <c r="F365" s="9" t="s">
        <v>1585</v>
      </c>
      <c r="G365" s="9" t="s">
        <v>999</v>
      </c>
      <c r="H365" s="3">
        <f t="shared" si="28"/>
        <v>10753.1875</v>
      </c>
      <c r="I365" s="3">
        <f t="shared" si="29"/>
        <v>1720.51</v>
      </c>
    </row>
    <row r="366" spans="1:9">
      <c r="A366" s="174" t="s">
        <v>7099</v>
      </c>
      <c r="B366">
        <v>85</v>
      </c>
      <c r="F366" s="9" t="s">
        <v>773</v>
      </c>
      <c r="G366" s="9" t="s">
        <v>514</v>
      </c>
      <c r="H366" s="3">
        <f t="shared" si="28"/>
        <v>280.0625</v>
      </c>
      <c r="I366" s="3">
        <f t="shared" si="29"/>
        <v>44.81</v>
      </c>
    </row>
    <row r="367" spans="1:9">
      <c r="A367" s="174" t="s">
        <v>7099</v>
      </c>
      <c r="B367">
        <v>85</v>
      </c>
      <c r="F367" s="9" t="s">
        <v>767</v>
      </c>
      <c r="G367" s="9" t="s">
        <v>549</v>
      </c>
      <c r="H367" s="3">
        <f t="shared" si="28"/>
        <v>994.81249999999989</v>
      </c>
      <c r="I367" s="3">
        <f t="shared" si="29"/>
        <v>159.16999999999999</v>
      </c>
    </row>
    <row r="368" spans="1:9">
      <c r="A368" s="174" t="s">
        <v>7099</v>
      </c>
      <c r="B368">
        <v>85</v>
      </c>
      <c r="F368" s="9" t="s">
        <v>4732</v>
      </c>
      <c r="G368" s="9" t="s">
        <v>4733</v>
      </c>
      <c r="H368" s="3">
        <f t="shared" si="28"/>
        <v>90</v>
      </c>
      <c r="I368" s="3">
        <f t="shared" si="29"/>
        <v>14.4</v>
      </c>
    </row>
    <row r="369" spans="1:9">
      <c r="A369" s="174" t="s">
        <v>7099</v>
      </c>
      <c r="B369">
        <v>85</v>
      </c>
      <c r="F369" s="9" t="s">
        <v>1601</v>
      </c>
      <c r="G369" s="9" t="s">
        <v>4748</v>
      </c>
      <c r="H369" s="3">
        <f t="shared" si="28"/>
        <v>1120.6875</v>
      </c>
      <c r="I369" s="3">
        <f t="shared" si="29"/>
        <v>179.31</v>
      </c>
    </row>
    <row r="370" spans="1:9">
      <c r="A370" s="174" t="s">
        <v>7099</v>
      </c>
      <c r="B370">
        <v>85</v>
      </c>
      <c r="F370" s="9" t="s">
        <v>4712</v>
      </c>
      <c r="G370" s="9" t="s">
        <v>4576</v>
      </c>
      <c r="H370" s="3">
        <f t="shared" si="28"/>
        <v>92.125</v>
      </c>
      <c r="I370" s="3">
        <f t="shared" si="29"/>
        <v>14.74</v>
      </c>
    </row>
    <row r="371" spans="1:9">
      <c r="A371" s="174" t="s">
        <v>7099</v>
      </c>
      <c r="B371">
        <v>85</v>
      </c>
      <c r="F371" s="9" t="s">
        <v>1587</v>
      </c>
      <c r="G371" s="9" t="s">
        <v>1239</v>
      </c>
      <c r="H371" s="3">
        <f t="shared" si="28"/>
        <v>348</v>
      </c>
      <c r="I371" s="3">
        <f t="shared" si="29"/>
        <v>55.68</v>
      </c>
    </row>
    <row r="372" spans="1:9">
      <c r="A372" s="174" t="s">
        <v>7099</v>
      </c>
      <c r="B372">
        <v>85</v>
      </c>
      <c r="F372" s="9" t="s">
        <v>761</v>
      </c>
      <c r="G372" s="9" t="s">
        <v>4398</v>
      </c>
      <c r="H372" s="3">
        <f t="shared" si="28"/>
        <v>175267.5625</v>
      </c>
      <c r="I372" s="3">
        <f t="shared" si="29"/>
        <v>28042.81</v>
      </c>
    </row>
    <row r="373" spans="1:9">
      <c r="A373" s="174" t="s">
        <v>7099</v>
      </c>
      <c r="B373">
        <v>85</v>
      </c>
      <c r="F373" s="12" t="s">
        <v>2290</v>
      </c>
      <c r="G373" s="9" t="s">
        <v>4568</v>
      </c>
      <c r="H373" s="3">
        <f t="shared" si="28"/>
        <v>425</v>
      </c>
      <c r="I373" s="3">
        <f t="shared" si="29"/>
        <v>68</v>
      </c>
    </row>
    <row r="374" spans="1:9">
      <c r="A374" s="174" t="s">
        <v>7099</v>
      </c>
      <c r="B374">
        <v>85</v>
      </c>
      <c r="F374" s="28" t="s">
        <v>4755</v>
      </c>
      <c r="G374" s="28" t="s">
        <v>4756</v>
      </c>
      <c r="H374" s="3">
        <f t="shared" si="28"/>
        <v>334.0625</v>
      </c>
      <c r="I374" s="3">
        <f t="shared" si="29"/>
        <v>53.45</v>
      </c>
    </row>
    <row r="375" spans="1:9">
      <c r="A375" s="174" t="s">
        <v>7099</v>
      </c>
      <c r="B375">
        <v>85</v>
      </c>
      <c r="F375" s="12" t="s">
        <v>775</v>
      </c>
      <c r="G375" s="9" t="s">
        <v>776</v>
      </c>
      <c r="H375" s="3">
        <f t="shared" si="28"/>
        <v>180602.62499999997</v>
      </c>
      <c r="I375" s="3">
        <f t="shared" si="29"/>
        <v>28896.42</v>
      </c>
    </row>
    <row r="376" spans="1:9">
      <c r="A376" s="174" t="s">
        <v>7099</v>
      </c>
      <c r="B376">
        <v>85</v>
      </c>
      <c r="F376" s="9" t="s">
        <v>1595</v>
      </c>
      <c r="G376" s="9" t="s">
        <v>4483</v>
      </c>
      <c r="H376" s="3">
        <f t="shared" si="28"/>
        <v>221634.8125</v>
      </c>
      <c r="I376" s="3">
        <f t="shared" si="29"/>
        <v>35461.57</v>
      </c>
    </row>
    <row r="377" spans="1:9">
      <c r="A377" s="174" t="s">
        <v>7099</v>
      </c>
      <c r="B377">
        <v>85</v>
      </c>
      <c r="F377" s="9" t="s">
        <v>2849</v>
      </c>
      <c r="G377" s="9" t="s">
        <v>983</v>
      </c>
      <c r="H377" s="3">
        <f t="shared" si="28"/>
        <v>50000</v>
      </c>
      <c r="I377" s="3">
        <f t="shared" si="29"/>
        <v>8000</v>
      </c>
    </row>
    <row r="378" spans="1:9">
      <c r="A378" s="174" t="s">
        <v>7099</v>
      </c>
      <c r="B378">
        <v>85</v>
      </c>
      <c r="F378" s="9" t="s">
        <v>1594</v>
      </c>
      <c r="G378" s="9" t="s">
        <v>973</v>
      </c>
      <c r="H378" s="3">
        <f t="shared" si="28"/>
        <v>43024.4375</v>
      </c>
      <c r="I378" s="3">
        <f t="shared" si="29"/>
        <v>6883.91</v>
      </c>
    </row>
    <row r="379" spans="1:9">
      <c r="A379" s="174" t="s">
        <v>7099</v>
      </c>
      <c r="B379">
        <v>85</v>
      </c>
      <c r="F379" s="9" t="s">
        <v>781</v>
      </c>
      <c r="G379" s="9" t="s">
        <v>80</v>
      </c>
      <c r="H379" s="3">
        <f t="shared" si="28"/>
        <v>5373</v>
      </c>
      <c r="I379" s="3">
        <f t="shared" si="29"/>
        <v>859.68000000000006</v>
      </c>
    </row>
    <row r="380" spans="1:9">
      <c r="A380" s="174" t="s">
        <v>7099</v>
      </c>
      <c r="B380">
        <v>85</v>
      </c>
      <c r="F380" s="12" t="s">
        <v>1593</v>
      </c>
      <c r="G380" s="9" t="s">
        <v>1446</v>
      </c>
      <c r="H380" s="3">
        <f t="shared" si="28"/>
        <v>723.125</v>
      </c>
      <c r="I380" s="3">
        <f t="shared" si="29"/>
        <v>115.7</v>
      </c>
    </row>
    <row r="381" spans="1:9">
      <c r="A381" s="174" t="s">
        <v>7099</v>
      </c>
      <c r="B381">
        <v>85</v>
      </c>
      <c r="F381" s="9" t="s">
        <v>780</v>
      </c>
      <c r="G381" s="9" t="s">
        <v>373</v>
      </c>
      <c r="H381" s="3">
        <f t="shared" si="28"/>
        <v>31019</v>
      </c>
      <c r="I381" s="3">
        <f t="shared" si="29"/>
        <v>4963.04</v>
      </c>
    </row>
    <row r="382" spans="1:9">
      <c r="A382" s="174" t="s">
        <v>7099</v>
      </c>
      <c r="B382">
        <v>85</v>
      </c>
      <c r="F382" s="9" t="s">
        <v>4716</v>
      </c>
      <c r="G382" s="9" t="s">
        <v>4580</v>
      </c>
      <c r="H382" s="3">
        <f t="shared" si="28"/>
        <v>706.9375</v>
      </c>
      <c r="I382" s="3">
        <f t="shared" si="29"/>
        <v>113.11</v>
      </c>
    </row>
    <row r="383" spans="1:9">
      <c r="A383" s="174" t="s">
        <v>7099</v>
      </c>
      <c r="B383">
        <v>85</v>
      </c>
      <c r="F383" s="28" t="s">
        <v>935</v>
      </c>
      <c r="G383" s="28" t="s">
        <v>936</v>
      </c>
      <c r="H383" s="3">
        <f t="shared" si="28"/>
        <v>83.5625</v>
      </c>
      <c r="I383" s="3">
        <f t="shared" si="29"/>
        <v>13.37</v>
      </c>
    </row>
    <row r="384" spans="1:9">
      <c r="A384" s="174" t="s">
        <v>7099</v>
      </c>
      <c r="B384">
        <v>85</v>
      </c>
      <c r="F384" s="9" t="s">
        <v>4768</v>
      </c>
      <c r="G384" s="9" t="s">
        <v>4769</v>
      </c>
      <c r="H384" s="3">
        <f t="shared" si="28"/>
        <v>156.875</v>
      </c>
      <c r="I384" s="3">
        <f t="shared" si="29"/>
        <v>25.1</v>
      </c>
    </row>
    <row r="385" spans="1:9">
      <c r="A385" s="174" t="s">
        <v>7099</v>
      </c>
      <c r="B385">
        <v>85</v>
      </c>
      <c r="F385" s="9" t="s">
        <v>784</v>
      </c>
      <c r="G385" s="9" t="s">
        <v>618</v>
      </c>
      <c r="H385" s="3">
        <f t="shared" si="28"/>
        <v>599.1875</v>
      </c>
      <c r="I385" s="3">
        <f t="shared" si="29"/>
        <v>95.87</v>
      </c>
    </row>
    <row r="386" spans="1:9">
      <c r="A386" s="174" t="s">
        <v>7099</v>
      </c>
      <c r="B386">
        <v>85</v>
      </c>
      <c r="F386" s="9" t="s">
        <v>739</v>
      </c>
      <c r="G386" s="9" t="s">
        <v>469</v>
      </c>
      <c r="H386" s="3">
        <f t="shared" si="28"/>
        <v>431.0625</v>
      </c>
      <c r="I386" s="3">
        <f t="shared" si="29"/>
        <v>68.97</v>
      </c>
    </row>
    <row r="387" spans="1:9">
      <c r="A387" s="174" t="s">
        <v>7099</v>
      </c>
      <c r="B387">
        <v>85</v>
      </c>
      <c r="F387" s="12" t="s">
        <v>789</v>
      </c>
      <c r="G387" s="9" t="s">
        <v>1444</v>
      </c>
      <c r="H387" s="3">
        <f t="shared" si="28"/>
        <v>136.25</v>
      </c>
      <c r="I387" s="3">
        <f t="shared" si="29"/>
        <v>21.8</v>
      </c>
    </row>
    <row r="388" spans="1:9">
      <c r="A388" s="174" t="s">
        <v>7099</v>
      </c>
      <c r="B388">
        <v>85</v>
      </c>
      <c r="F388" s="28" t="s">
        <v>4349</v>
      </c>
      <c r="G388" s="28" t="s">
        <v>4720</v>
      </c>
      <c r="H388" s="3">
        <f t="shared" si="28"/>
        <v>375.875</v>
      </c>
      <c r="I388" s="3">
        <f t="shared" si="29"/>
        <v>60.14</v>
      </c>
    </row>
    <row r="389" spans="1:9">
      <c r="A389" s="174" t="s">
        <v>7099</v>
      </c>
      <c r="B389">
        <v>85</v>
      </c>
      <c r="F389" s="28" t="s">
        <v>954</v>
      </c>
      <c r="G389" s="28" t="s">
        <v>4721</v>
      </c>
      <c r="H389" s="3">
        <f t="shared" si="28"/>
        <v>86.5</v>
      </c>
      <c r="I389" s="3">
        <f t="shared" si="29"/>
        <v>13.84</v>
      </c>
    </row>
    <row r="390" spans="1:9">
      <c r="A390" s="174" t="s">
        <v>7099</v>
      </c>
      <c r="B390">
        <v>85</v>
      </c>
      <c r="F390" s="28" t="s">
        <v>1655</v>
      </c>
      <c r="G390" s="28" t="s">
        <v>1656</v>
      </c>
      <c r="H390" s="3">
        <f t="shared" si="28"/>
        <v>742.3125</v>
      </c>
      <c r="I390" s="3">
        <f t="shared" si="29"/>
        <v>118.77</v>
      </c>
    </row>
    <row r="391" spans="1:9">
      <c r="A391" s="174" t="s">
        <v>7099</v>
      </c>
      <c r="B391">
        <v>85</v>
      </c>
      <c r="F391" s="9" t="s">
        <v>4770</v>
      </c>
      <c r="G391" s="9" t="s">
        <v>4771</v>
      </c>
      <c r="H391" s="3">
        <f t="shared" si="28"/>
        <v>2190.25</v>
      </c>
      <c r="I391" s="3">
        <f t="shared" si="29"/>
        <v>350.44</v>
      </c>
    </row>
    <row r="392" spans="1:9">
      <c r="A392" s="174" t="s">
        <v>7099</v>
      </c>
      <c r="B392">
        <v>85</v>
      </c>
      <c r="F392" s="9" t="s">
        <v>794</v>
      </c>
      <c r="G392" s="9" t="s">
        <v>612</v>
      </c>
      <c r="H392" s="3">
        <f t="shared" si="28"/>
        <v>1298.6250000000002</v>
      </c>
      <c r="I392" s="3">
        <f t="shared" si="29"/>
        <v>207.78000000000003</v>
      </c>
    </row>
    <row r="393" spans="1:9">
      <c r="A393" s="174" t="s">
        <v>7099</v>
      </c>
      <c r="B393">
        <v>85</v>
      </c>
      <c r="F393" s="9" t="s">
        <v>4713</v>
      </c>
      <c r="G393" s="9" t="s">
        <v>4714</v>
      </c>
      <c r="H393" s="3">
        <f t="shared" si="28"/>
        <v>75</v>
      </c>
      <c r="I393" s="3">
        <f t="shared" si="29"/>
        <v>12</v>
      </c>
    </row>
    <row r="394" spans="1:9">
      <c r="A394" s="174" t="s">
        <v>7099</v>
      </c>
      <c r="B394">
        <v>85</v>
      </c>
      <c r="F394" s="9" t="s">
        <v>4727</v>
      </c>
      <c r="G394" s="9" t="s">
        <v>4589</v>
      </c>
      <c r="H394" s="3">
        <f t="shared" ref="H394:H457" si="30">+I394/0.16</f>
        <v>850</v>
      </c>
      <c r="I394" s="3">
        <f t="shared" ref="I394:I457" si="31">+SUMIF($F$9:$F$322,F394,$I$9:$I$322)</f>
        <v>136</v>
      </c>
    </row>
    <row r="395" spans="1:9">
      <c r="A395" s="174" t="s">
        <v>7099</v>
      </c>
      <c r="B395">
        <v>85</v>
      </c>
      <c r="F395" s="9" t="s">
        <v>778</v>
      </c>
      <c r="G395" s="9" t="s">
        <v>779</v>
      </c>
      <c r="H395" s="3">
        <f t="shared" si="30"/>
        <v>1150</v>
      </c>
      <c r="I395" s="3">
        <f t="shared" si="31"/>
        <v>184</v>
      </c>
    </row>
    <row r="396" spans="1:9">
      <c r="A396" s="174" t="s">
        <v>7099</v>
      </c>
      <c r="B396">
        <v>85</v>
      </c>
      <c r="F396" s="12" t="s">
        <v>3347</v>
      </c>
      <c r="G396" s="9" t="s">
        <v>3606</v>
      </c>
      <c r="H396" s="3">
        <f t="shared" si="30"/>
        <v>155.1875</v>
      </c>
      <c r="I396" s="3">
        <f t="shared" si="31"/>
        <v>24.83</v>
      </c>
    </row>
    <row r="397" spans="1:9">
      <c r="A397" s="174" t="s">
        <v>7099</v>
      </c>
      <c r="B397">
        <v>85</v>
      </c>
      <c r="F397" s="9" t="s">
        <v>2912</v>
      </c>
      <c r="G397" s="9" t="s">
        <v>2913</v>
      </c>
      <c r="H397" s="3">
        <f t="shared" si="30"/>
        <v>327.5625</v>
      </c>
      <c r="I397" s="3">
        <f t="shared" si="31"/>
        <v>52.41</v>
      </c>
    </row>
    <row r="398" spans="1:9">
      <c r="A398" s="174" t="s">
        <v>7099</v>
      </c>
      <c r="B398">
        <v>85</v>
      </c>
      <c r="F398" s="9" t="s">
        <v>798</v>
      </c>
      <c r="G398" s="9" t="s">
        <v>77</v>
      </c>
      <c r="H398" s="3">
        <f t="shared" si="30"/>
        <v>3396.8125</v>
      </c>
      <c r="I398" s="3">
        <f t="shared" si="31"/>
        <v>543.49</v>
      </c>
    </row>
    <row r="399" spans="1:9">
      <c r="A399" s="174" t="s">
        <v>7099</v>
      </c>
      <c r="B399">
        <v>85</v>
      </c>
      <c r="F399" s="9" t="s">
        <v>2901</v>
      </c>
      <c r="G399" s="9" t="s">
        <v>2902</v>
      </c>
      <c r="H399" s="3">
        <f t="shared" si="30"/>
        <v>77.5625</v>
      </c>
      <c r="I399" s="3">
        <f t="shared" si="31"/>
        <v>12.41</v>
      </c>
    </row>
    <row r="400" spans="1:9">
      <c r="A400" s="174" t="s">
        <v>7099</v>
      </c>
      <c r="B400">
        <v>85</v>
      </c>
      <c r="F400" s="33" t="s">
        <v>946</v>
      </c>
      <c r="G400" s="43" t="s">
        <v>947</v>
      </c>
      <c r="H400" s="3">
        <f t="shared" si="30"/>
        <v>15417.374999999998</v>
      </c>
      <c r="I400" s="3">
        <f t="shared" si="31"/>
        <v>2466.7799999999997</v>
      </c>
    </row>
    <row r="401" spans="1:10">
      <c r="A401" s="174" t="s">
        <v>7099</v>
      </c>
      <c r="B401">
        <v>85</v>
      </c>
      <c r="F401" s="9" t="s">
        <v>4726</v>
      </c>
      <c r="G401" s="9" t="s">
        <v>4573</v>
      </c>
      <c r="H401" s="3">
        <f t="shared" si="30"/>
        <v>46.5</v>
      </c>
      <c r="I401" s="3">
        <f t="shared" si="31"/>
        <v>7.44</v>
      </c>
    </row>
    <row r="402" spans="1:10">
      <c r="A402" s="174" t="s">
        <v>7099</v>
      </c>
      <c r="B402">
        <v>85</v>
      </c>
      <c r="F402" s="28" t="s">
        <v>2277</v>
      </c>
      <c r="G402" s="108" t="s">
        <v>2278</v>
      </c>
      <c r="H402" s="3">
        <f t="shared" si="30"/>
        <v>312.75</v>
      </c>
      <c r="I402" s="3">
        <f t="shared" si="31"/>
        <v>50.04</v>
      </c>
    </row>
    <row r="403" spans="1:10">
      <c r="A403" s="174" t="s">
        <v>7099</v>
      </c>
      <c r="B403">
        <v>85</v>
      </c>
      <c r="F403" s="9" t="s">
        <v>4725</v>
      </c>
      <c r="G403" s="9" t="s">
        <v>4579</v>
      </c>
      <c r="H403" s="3">
        <f t="shared" si="30"/>
        <v>334.375</v>
      </c>
      <c r="I403" s="3">
        <f t="shared" si="31"/>
        <v>53.5</v>
      </c>
    </row>
    <row r="404" spans="1:10">
      <c r="A404" s="174" t="s">
        <v>7099</v>
      </c>
      <c r="B404">
        <v>85</v>
      </c>
      <c r="F404" s="12" t="s">
        <v>1600</v>
      </c>
      <c r="G404" s="9" t="s">
        <v>1011</v>
      </c>
      <c r="H404" s="3">
        <f t="shared" si="30"/>
        <v>10379.375</v>
      </c>
      <c r="I404" s="3">
        <f t="shared" si="31"/>
        <v>1660.7</v>
      </c>
    </row>
    <row r="405" spans="1:10">
      <c r="A405" s="174" t="s">
        <v>7099</v>
      </c>
      <c r="B405">
        <v>85</v>
      </c>
      <c r="F405" s="9" t="s">
        <v>2853</v>
      </c>
      <c r="G405" s="9" t="s">
        <v>2571</v>
      </c>
      <c r="H405" s="3">
        <f t="shared" si="30"/>
        <v>590.5</v>
      </c>
      <c r="I405" s="3">
        <f t="shared" si="31"/>
        <v>94.48</v>
      </c>
    </row>
    <row r="406" spans="1:10">
      <c r="A406" s="174" t="s">
        <v>7099</v>
      </c>
      <c r="B406">
        <v>85</v>
      </c>
      <c r="F406" s="28" t="s">
        <v>4734</v>
      </c>
      <c r="G406" s="28" t="s">
        <v>4735</v>
      </c>
      <c r="H406" s="3">
        <f t="shared" si="30"/>
        <v>406.25</v>
      </c>
      <c r="I406" s="3">
        <f t="shared" si="31"/>
        <v>65</v>
      </c>
    </row>
    <row r="407" spans="1:10">
      <c r="A407" s="174" t="s">
        <v>7099</v>
      </c>
      <c r="B407">
        <v>85</v>
      </c>
      <c r="F407" s="12" t="s">
        <v>830</v>
      </c>
      <c r="G407" s="20" t="s">
        <v>831</v>
      </c>
      <c r="H407" s="3">
        <f t="shared" si="30"/>
        <v>454.5</v>
      </c>
      <c r="I407" s="3">
        <f t="shared" si="31"/>
        <v>72.72</v>
      </c>
    </row>
    <row r="408" spans="1:10">
      <c r="A408" s="174" t="s">
        <v>7099</v>
      </c>
      <c r="B408">
        <v>85</v>
      </c>
      <c r="F408" s="9" t="s">
        <v>1621</v>
      </c>
      <c r="G408" s="9" t="s">
        <v>1622</v>
      </c>
      <c r="H408" s="3">
        <f t="shared" si="30"/>
        <v>3782.8125</v>
      </c>
      <c r="I408" s="3">
        <f t="shared" si="31"/>
        <v>605.25</v>
      </c>
    </row>
    <row r="409" spans="1:10">
      <c r="A409" s="174" t="s">
        <v>7099</v>
      </c>
      <c r="B409">
        <v>85</v>
      </c>
      <c r="F409" s="9" t="s">
        <v>803</v>
      </c>
      <c r="G409" s="9" t="s">
        <v>74</v>
      </c>
      <c r="H409" s="3">
        <f t="shared" si="30"/>
        <v>14949</v>
      </c>
      <c r="I409" s="3">
        <f t="shared" si="31"/>
        <v>2391.84</v>
      </c>
    </row>
    <row r="410" spans="1:10">
      <c r="A410" s="174" t="s">
        <v>7099</v>
      </c>
      <c r="B410">
        <v>85</v>
      </c>
      <c r="F410" s="9" t="s">
        <v>4757</v>
      </c>
      <c r="G410" s="9" t="s">
        <v>4758</v>
      </c>
      <c r="H410" s="3">
        <f t="shared" si="30"/>
        <v>725</v>
      </c>
      <c r="I410" s="3">
        <f t="shared" si="31"/>
        <v>116</v>
      </c>
    </row>
    <row r="411" spans="1:10">
      <c r="A411" s="174" t="s">
        <v>7099</v>
      </c>
      <c r="B411">
        <v>85</v>
      </c>
      <c r="F411" s="9" t="s">
        <v>805</v>
      </c>
      <c r="G411" s="9" t="s">
        <v>112</v>
      </c>
      <c r="H411" s="3">
        <f t="shared" si="30"/>
        <v>35000</v>
      </c>
      <c r="I411" s="3">
        <f t="shared" si="31"/>
        <v>5600</v>
      </c>
    </row>
    <row r="412" spans="1:10">
      <c r="A412" s="174" t="s">
        <v>7099</v>
      </c>
      <c r="B412">
        <v>85</v>
      </c>
      <c r="F412" s="9" t="s">
        <v>802</v>
      </c>
      <c r="G412" s="9" t="s">
        <v>226</v>
      </c>
      <c r="H412" s="3">
        <f t="shared" si="30"/>
        <v>304</v>
      </c>
      <c r="I412" s="3">
        <f t="shared" si="31"/>
        <v>48.64</v>
      </c>
    </row>
    <row r="413" spans="1:10">
      <c r="A413" s="174" t="s">
        <v>7099</v>
      </c>
      <c r="B413">
        <v>85</v>
      </c>
      <c r="F413" s="9" t="s">
        <v>806</v>
      </c>
      <c r="G413" s="9" t="s">
        <v>207</v>
      </c>
      <c r="H413" s="3">
        <f t="shared" si="30"/>
        <v>1102.5</v>
      </c>
      <c r="I413" s="3">
        <f t="shared" si="31"/>
        <v>176.4</v>
      </c>
    </row>
    <row r="414" spans="1:10">
      <c r="A414" s="174" t="s">
        <v>7099</v>
      </c>
      <c r="B414">
        <v>85</v>
      </c>
      <c r="F414" s="9" t="s">
        <v>811</v>
      </c>
      <c r="G414" s="9" t="s">
        <v>4438</v>
      </c>
      <c r="H414" s="3">
        <f t="shared" si="30"/>
        <v>51</v>
      </c>
      <c r="I414" s="3">
        <f t="shared" si="31"/>
        <v>8.16</v>
      </c>
    </row>
    <row r="415" spans="1:10">
      <c r="A415" s="174" t="s">
        <v>7099</v>
      </c>
      <c r="B415">
        <v>85</v>
      </c>
      <c r="F415" s="9" t="s">
        <v>1618</v>
      </c>
      <c r="G415" s="9" t="s">
        <v>1487</v>
      </c>
      <c r="H415" s="3">
        <f t="shared" si="30"/>
        <v>200</v>
      </c>
      <c r="I415" s="3">
        <f t="shared" si="31"/>
        <v>32</v>
      </c>
    </row>
    <row r="416" spans="1:10">
      <c r="A416" s="174" t="s">
        <v>7099</v>
      </c>
      <c r="B416">
        <v>6</v>
      </c>
      <c r="F416" s="18" t="s">
        <v>816</v>
      </c>
      <c r="G416" s="19" t="s">
        <v>5</v>
      </c>
      <c r="H416" s="3">
        <f t="shared" si="30"/>
        <v>107142.68750000001</v>
      </c>
      <c r="I416" s="3">
        <f t="shared" si="31"/>
        <v>17142.830000000002</v>
      </c>
      <c r="J416">
        <v>11428.57</v>
      </c>
    </row>
    <row r="417" spans="1:9">
      <c r="A417" s="174" t="s">
        <v>7099</v>
      </c>
      <c r="B417">
        <v>85</v>
      </c>
      <c r="F417" s="9" t="s">
        <v>4746</v>
      </c>
      <c r="G417" s="9" t="s">
        <v>4747</v>
      </c>
      <c r="H417" s="3">
        <f t="shared" si="30"/>
        <v>114.99999999999999</v>
      </c>
      <c r="I417" s="3">
        <f t="shared" si="31"/>
        <v>18.399999999999999</v>
      </c>
    </row>
    <row r="418" spans="1:9">
      <c r="A418" s="174" t="s">
        <v>7099</v>
      </c>
      <c r="B418">
        <v>85</v>
      </c>
      <c r="F418" s="9" t="s">
        <v>1582</v>
      </c>
      <c r="G418" s="9" t="s">
        <v>1583</v>
      </c>
      <c r="H418" s="3">
        <f t="shared" si="30"/>
        <v>90.5</v>
      </c>
      <c r="I418" s="3">
        <f t="shared" si="31"/>
        <v>14.48</v>
      </c>
    </row>
    <row r="419" spans="1:9">
      <c r="A419" s="174" t="s">
        <v>7099</v>
      </c>
      <c r="B419">
        <v>85</v>
      </c>
      <c r="F419" s="9" t="s">
        <v>4723</v>
      </c>
      <c r="G419" s="9" t="s">
        <v>4724</v>
      </c>
      <c r="H419" s="3">
        <f t="shared" si="30"/>
        <v>301.75</v>
      </c>
      <c r="I419" s="3">
        <f t="shared" si="31"/>
        <v>48.28</v>
      </c>
    </row>
    <row r="420" spans="1:9">
      <c r="A420" s="174" t="s">
        <v>7099</v>
      </c>
      <c r="B420">
        <v>85</v>
      </c>
      <c r="F420" s="9" t="s">
        <v>738</v>
      </c>
      <c r="G420" s="9" t="s">
        <v>4442</v>
      </c>
      <c r="H420" s="3">
        <f t="shared" si="30"/>
        <v>67.8125</v>
      </c>
      <c r="I420" s="3">
        <f t="shared" si="31"/>
        <v>10.85</v>
      </c>
    </row>
    <row r="421" spans="1:9">
      <c r="A421" s="174" t="s">
        <v>7099</v>
      </c>
      <c r="B421">
        <v>85</v>
      </c>
      <c r="F421" s="9" t="s">
        <v>2305</v>
      </c>
      <c r="G421" s="9" t="s">
        <v>2157</v>
      </c>
      <c r="H421" s="3">
        <f t="shared" si="30"/>
        <v>1720</v>
      </c>
      <c r="I421" s="3">
        <f t="shared" si="31"/>
        <v>275.2</v>
      </c>
    </row>
    <row r="422" spans="1:9">
      <c r="A422" s="174" t="s">
        <v>7099</v>
      </c>
      <c r="B422">
        <v>85</v>
      </c>
      <c r="F422" s="9" t="s">
        <v>4772</v>
      </c>
      <c r="G422" s="9" t="s">
        <v>4773</v>
      </c>
      <c r="H422" s="3">
        <f t="shared" si="30"/>
        <v>86.187499999999986</v>
      </c>
      <c r="I422" s="3">
        <f t="shared" si="31"/>
        <v>13.79</v>
      </c>
    </row>
    <row r="423" spans="1:9">
      <c r="A423" s="174" t="s">
        <v>7099</v>
      </c>
      <c r="B423">
        <v>85</v>
      </c>
      <c r="F423" s="12" t="s">
        <v>4738</v>
      </c>
      <c r="G423" s="9" t="s">
        <v>4567</v>
      </c>
      <c r="H423" s="3">
        <f t="shared" si="30"/>
        <v>48</v>
      </c>
      <c r="I423" s="3">
        <f t="shared" si="31"/>
        <v>7.68</v>
      </c>
    </row>
    <row r="424" spans="1:9">
      <c r="A424" s="174" t="s">
        <v>7099</v>
      </c>
      <c r="B424">
        <v>85</v>
      </c>
      <c r="F424" s="9" t="s">
        <v>820</v>
      </c>
      <c r="G424" s="9" t="s">
        <v>97</v>
      </c>
      <c r="H424" s="3">
        <f t="shared" si="30"/>
        <v>3150</v>
      </c>
      <c r="I424" s="3">
        <f t="shared" si="31"/>
        <v>504</v>
      </c>
    </row>
    <row r="425" spans="1:9">
      <c r="A425" s="174" t="s">
        <v>7099</v>
      </c>
      <c r="B425">
        <v>85</v>
      </c>
      <c r="F425" s="28" t="s">
        <v>4736</v>
      </c>
      <c r="G425" s="28" t="s">
        <v>4737</v>
      </c>
      <c r="H425" s="3">
        <f t="shared" si="30"/>
        <v>415.9375</v>
      </c>
      <c r="I425" s="3">
        <f t="shared" si="31"/>
        <v>66.55</v>
      </c>
    </row>
    <row r="426" spans="1:9">
      <c r="A426" s="174" t="s">
        <v>7099</v>
      </c>
      <c r="B426">
        <v>85</v>
      </c>
      <c r="F426" s="9" t="s">
        <v>1706</v>
      </c>
      <c r="G426" s="9" t="s">
        <v>1707</v>
      </c>
      <c r="H426" s="3">
        <f t="shared" si="30"/>
        <v>64.6875</v>
      </c>
      <c r="I426" s="3">
        <f t="shared" si="31"/>
        <v>10.35</v>
      </c>
    </row>
    <row r="427" spans="1:9">
      <c r="A427" s="174" t="s">
        <v>7099</v>
      </c>
      <c r="B427">
        <v>85</v>
      </c>
      <c r="F427" s="9" t="s">
        <v>1615</v>
      </c>
      <c r="G427" s="9" t="s">
        <v>1449</v>
      </c>
      <c r="H427" s="3">
        <f t="shared" si="30"/>
        <v>380.625</v>
      </c>
      <c r="I427" s="3">
        <f t="shared" si="31"/>
        <v>60.900000000000006</v>
      </c>
    </row>
    <row r="428" spans="1:9">
      <c r="A428" s="174" t="s">
        <v>7099</v>
      </c>
      <c r="B428">
        <v>85</v>
      </c>
      <c r="F428" s="9" t="s">
        <v>818</v>
      </c>
      <c r="G428" s="9" t="s">
        <v>584</v>
      </c>
      <c r="H428" s="3">
        <f t="shared" si="30"/>
        <v>825.25000000000011</v>
      </c>
      <c r="I428" s="3">
        <f t="shared" si="31"/>
        <v>132.04000000000002</v>
      </c>
    </row>
    <row r="429" spans="1:9">
      <c r="A429" s="174" t="s">
        <v>7099</v>
      </c>
      <c r="B429">
        <v>85</v>
      </c>
      <c r="F429" s="9" t="s">
        <v>4741</v>
      </c>
      <c r="G429" s="9" t="s">
        <v>4393</v>
      </c>
      <c r="H429" s="3">
        <f t="shared" si="30"/>
        <v>205379.4375</v>
      </c>
      <c r="I429" s="3">
        <f t="shared" si="31"/>
        <v>32860.71</v>
      </c>
    </row>
    <row r="430" spans="1:9">
      <c r="A430" s="174" t="s">
        <v>7099</v>
      </c>
      <c r="B430">
        <v>85</v>
      </c>
      <c r="F430" s="9" t="s">
        <v>733</v>
      </c>
      <c r="G430" s="9" t="s">
        <v>124</v>
      </c>
      <c r="H430" s="3">
        <f t="shared" si="30"/>
        <v>-38400</v>
      </c>
      <c r="I430" s="3">
        <f t="shared" si="31"/>
        <v>-6144</v>
      </c>
    </row>
    <row r="431" spans="1:9">
      <c r="A431" s="174" t="s">
        <v>7099</v>
      </c>
      <c r="B431">
        <v>85</v>
      </c>
      <c r="F431" s="9" t="s">
        <v>839</v>
      </c>
      <c r="G431" s="9" t="s">
        <v>229</v>
      </c>
      <c r="H431" s="3">
        <f t="shared" si="30"/>
        <v>3736</v>
      </c>
      <c r="I431" s="3">
        <f t="shared" si="31"/>
        <v>597.76</v>
      </c>
    </row>
    <row r="432" spans="1:9">
      <c r="A432" s="174" t="s">
        <v>7099</v>
      </c>
      <c r="B432">
        <v>85</v>
      </c>
      <c r="F432" s="9" t="s">
        <v>2888</v>
      </c>
      <c r="G432" s="9" t="s">
        <v>2889</v>
      </c>
      <c r="H432" s="3">
        <f t="shared" si="30"/>
        <v>86.25</v>
      </c>
      <c r="I432" s="3">
        <f t="shared" si="31"/>
        <v>13.8</v>
      </c>
    </row>
    <row r="433" spans="1:10">
      <c r="A433" s="174" t="s">
        <v>7099</v>
      </c>
      <c r="B433">
        <v>85</v>
      </c>
      <c r="F433" s="9" t="s">
        <v>838</v>
      </c>
      <c r="G433" s="9" t="s">
        <v>49</v>
      </c>
      <c r="H433" s="3">
        <f t="shared" si="30"/>
        <v>912.93749999999989</v>
      </c>
      <c r="I433" s="3">
        <f t="shared" si="31"/>
        <v>146.07</v>
      </c>
    </row>
    <row r="434" spans="1:10">
      <c r="A434" s="174" t="s">
        <v>7099</v>
      </c>
      <c r="B434">
        <v>6</v>
      </c>
      <c r="F434" s="18" t="s">
        <v>843</v>
      </c>
      <c r="G434" s="19" t="s">
        <v>844</v>
      </c>
      <c r="H434" s="3">
        <f t="shared" si="30"/>
        <v>107142.68750000001</v>
      </c>
      <c r="I434" s="3">
        <f t="shared" si="31"/>
        <v>17142.830000000002</v>
      </c>
      <c r="J434">
        <f>10000+11428.57</f>
        <v>21428.57</v>
      </c>
    </row>
    <row r="435" spans="1:10">
      <c r="A435" s="174" t="s">
        <v>7099</v>
      </c>
      <c r="B435">
        <v>85</v>
      </c>
      <c r="F435" s="9" t="s">
        <v>4366</v>
      </c>
      <c r="G435" s="9" t="s">
        <v>4367</v>
      </c>
      <c r="H435" s="3">
        <f t="shared" si="30"/>
        <v>100.875</v>
      </c>
      <c r="I435" s="3">
        <f t="shared" si="31"/>
        <v>16.14</v>
      </c>
    </row>
    <row r="436" spans="1:10">
      <c r="A436" s="174" t="s">
        <v>7099</v>
      </c>
      <c r="B436">
        <v>85</v>
      </c>
      <c r="F436" s="9" t="s">
        <v>845</v>
      </c>
      <c r="G436" s="9" t="s">
        <v>311</v>
      </c>
      <c r="H436" s="3">
        <f t="shared" si="30"/>
        <v>2180</v>
      </c>
      <c r="I436" s="3">
        <f t="shared" si="31"/>
        <v>348.8</v>
      </c>
    </row>
    <row r="437" spans="1:10">
      <c r="A437" s="174" t="s">
        <v>7099</v>
      </c>
      <c r="B437">
        <v>85</v>
      </c>
      <c r="F437" s="12" t="s">
        <v>847</v>
      </c>
      <c r="G437" s="9" t="s">
        <v>4570</v>
      </c>
      <c r="H437" s="3">
        <f t="shared" si="30"/>
        <v>232.3125</v>
      </c>
      <c r="I437" s="3">
        <f t="shared" si="31"/>
        <v>37.17</v>
      </c>
    </row>
    <row r="438" spans="1:10">
      <c r="A438" s="174" t="s">
        <v>7099</v>
      </c>
      <c r="B438">
        <v>85</v>
      </c>
      <c r="F438" s="12" t="s">
        <v>931</v>
      </c>
      <c r="G438" s="9" t="s">
        <v>4740</v>
      </c>
      <c r="H438" s="3">
        <f t="shared" si="30"/>
        <v>394.8125</v>
      </c>
      <c r="I438" s="3">
        <f t="shared" si="31"/>
        <v>63.17</v>
      </c>
    </row>
    <row r="439" spans="1:10">
      <c r="A439" s="174" t="s">
        <v>7099</v>
      </c>
      <c r="B439">
        <v>85</v>
      </c>
      <c r="F439" s="12" t="s">
        <v>856</v>
      </c>
      <c r="G439" s="9" t="s">
        <v>857</v>
      </c>
      <c r="H439" s="3">
        <f t="shared" si="30"/>
        <v>450229.56250000006</v>
      </c>
      <c r="I439" s="3">
        <f t="shared" si="31"/>
        <v>72036.73000000001</v>
      </c>
    </row>
    <row r="440" spans="1:10">
      <c r="A440" s="174" t="s">
        <v>7099</v>
      </c>
      <c r="B440">
        <v>85</v>
      </c>
      <c r="F440" s="9" t="s">
        <v>851</v>
      </c>
      <c r="G440" s="9" t="s">
        <v>86</v>
      </c>
      <c r="H440" s="3">
        <f t="shared" si="30"/>
        <v>4445.75</v>
      </c>
      <c r="I440" s="3">
        <f t="shared" si="31"/>
        <v>711.32</v>
      </c>
    </row>
    <row r="441" spans="1:10">
      <c r="A441" s="174" t="s">
        <v>7099</v>
      </c>
      <c r="B441">
        <v>85</v>
      </c>
      <c r="F441" t="s">
        <v>4765</v>
      </c>
      <c r="G441" t="s">
        <v>4766</v>
      </c>
      <c r="H441" s="3">
        <f t="shared" si="30"/>
        <v>94.8125</v>
      </c>
      <c r="I441" s="3">
        <f t="shared" si="31"/>
        <v>15.17</v>
      </c>
    </row>
    <row r="442" spans="1:10">
      <c r="A442" s="174" t="s">
        <v>7099</v>
      </c>
      <c r="B442">
        <v>85</v>
      </c>
      <c r="F442" s="28" t="s">
        <v>4728</v>
      </c>
      <c r="G442" s="28" t="s">
        <v>4729</v>
      </c>
      <c r="H442" s="3">
        <f t="shared" si="30"/>
        <v>409.375</v>
      </c>
      <c r="I442" s="3">
        <f t="shared" si="31"/>
        <v>65.5</v>
      </c>
    </row>
    <row r="443" spans="1:10">
      <c r="A443" s="174" t="s">
        <v>7099</v>
      </c>
      <c r="B443">
        <v>85</v>
      </c>
      <c r="F443" s="28" t="s">
        <v>2903</v>
      </c>
      <c r="G443" s="28" t="s">
        <v>2904</v>
      </c>
      <c r="H443" s="3">
        <f t="shared" si="30"/>
        <v>1926.7499999999998</v>
      </c>
      <c r="I443" s="3">
        <f t="shared" si="31"/>
        <v>308.27999999999997</v>
      </c>
    </row>
    <row r="444" spans="1:10">
      <c r="A444" s="174" t="s">
        <v>7099</v>
      </c>
      <c r="B444">
        <v>85</v>
      </c>
      <c r="F444" s="28" t="s">
        <v>925</v>
      </c>
      <c r="G444" s="28" t="s">
        <v>926</v>
      </c>
      <c r="H444" s="3">
        <f t="shared" si="30"/>
        <v>375.875</v>
      </c>
      <c r="I444" s="3">
        <f t="shared" si="31"/>
        <v>60.14</v>
      </c>
    </row>
    <row r="445" spans="1:10">
      <c r="A445" s="174" t="s">
        <v>7099</v>
      </c>
      <c r="B445">
        <v>85</v>
      </c>
      <c r="F445" s="33" t="s">
        <v>849</v>
      </c>
      <c r="G445" t="s">
        <v>127</v>
      </c>
      <c r="H445" s="3">
        <f t="shared" si="30"/>
        <v>4300</v>
      </c>
      <c r="I445" s="3">
        <f t="shared" si="31"/>
        <v>688</v>
      </c>
    </row>
    <row r="446" spans="1:10">
      <c r="A446" s="174" t="s">
        <v>7099</v>
      </c>
      <c r="B446">
        <v>85</v>
      </c>
      <c r="F446" s="33" t="s">
        <v>2287</v>
      </c>
      <c r="G446" s="33" t="s">
        <v>4708</v>
      </c>
      <c r="H446" s="3">
        <f t="shared" si="30"/>
        <v>417.75</v>
      </c>
      <c r="I446" s="3">
        <f t="shared" si="31"/>
        <v>66.84</v>
      </c>
    </row>
    <row r="447" spans="1:10">
      <c r="A447" s="174" t="s">
        <v>7099</v>
      </c>
      <c r="B447">
        <v>85</v>
      </c>
      <c r="F447" s="28" t="s">
        <v>4763</v>
      </c>
      <c r="G447" s="108" t="s">
        <v>4764</v>
      </c>
      <c r="H447" s="3">
        <f t="shared" si="30"/>
        <v>737.93749999999989</v>
      </c>
      <c r="I447" s="3">
        <f t="shared" si="31"/>
        <v>118.07</v>
      </c>
    </row>
    <row r="448" spans="1:10">
      <c r="A448" s="174" t="s">
        <v>7099</v>
      </c>
      <c r="B448">
        <v>85</v>
      </c>
      <c r="F448" s="28" t="s">
        <v>2882</v>
      </c>
      <c r="G448" s="28" t="s">
        <v>2883</v>
      </c>
      <c r="H448" s="3">
        <f t="shared" si="30"/>
        <v>626.5625</v>
      </c>
      <c r="I448" s="3">
        <f t="shared" si="31"/>
        <v>100.25</v>
      </c>
    </row>
    <row r="449" spans="1:9">
      <c r="A449" s="174" t="s">
        <v>7099</v>
      </c>
      <c r="B449">
        <v>85</v>
      </c>
      <c r="F449" s="9" t="s">
        <v>858</v>
      </c>
      <c r="G449" s="9" t="s">
        <v>3600</v>
      </c>
      <c r="H449" s="3">
        <f t="shared" si="30"/>
        <v>350</v>
      </c>
      <c r="I449" s="3">
        <f t="shared" si="31"/>
        <v>56</v>
      </c>
    </row>
    <row r="450" spans="1:9">
      <c r="A450" s="174" t="s">
        <v>7099</v>
      </c>
      <c r="B450">
        <v>85</v>
      </c>
      <c r="F450" s="13" t="s">
        <v>862</v>
      </c>
      <c r="G450" s="9" t="s">
        <v>2394</v>
      </c>
      <c r="H450" s="3">
        <f t="shared" si="30"/>
        <v>184455</v>
      </c>
      <c r="I450" s="3">
        <f t="shared" si="31"/>
        <v>29512.799999999999</v>
      </c>
    </row>
    <row r="451" spans="1:9">
      <c r="A451" s="174" t="s">
        <v>7099</v>
      </c>
      <c r="B451">
        <v>85</v>
      </c>
      <c r="F451" s="28" t="s">
        <v>923</v>
      </c>
      <c r="G451" s="28" t="s">
        <v>924</v>
      </c>
      <c r="H451" s="3">
        <f t="shared" si="30"/>
        <v>1037.1875</v>
      </c>
      <c r="I451" s="3">
        <f t="shared" si="31"/>
        <v>165.95</v>
      </c>
    </row>
    <row r="452" spans="1:9">
      <c r="A452" s="174" t="s">
        <v>7099</v>
      </c>
      <c r="B452">
        <v>85</v>
      </c>
      <c r="F452" s="28" t="s">
        <v>4774</v>
      </c>
      <c r="G452" s="28" t="s">
        <v>4775</v>
      </c>
      <c r="H452" s="3">
        <f t="shared" si="30"/>
        <v>439.8125</v>
      </c>
      <c r="I452" s="3">
        <f t="shared" si="31"/>
        <v>70.37</v>
      </c>
    </row>
    <row r="453" spans="1:9">
      <c r="A453" s="174" t="s">
        <v>7099</v>
      </c>
      <c r="B453">
        <v>85</v>
      </c>
      <c r="F453" s="8" t="s">
        <v>921</v>
      </c>
      <c r="G453" s="9" t="s">
        <v>922</v>
      </c>
      <c r="H453" s="3">
        <f t="shared" si="30"/>
        <v>-989268.1875</v>
      </c>
      <c r="I453" s="3">
        <f t="shared" si="31"/>
        <v>-158282.91</v>
      </c>
    </row>
    <row r="454" spans="1:9">
      <c r="A454" s="174" t="s">
        <v>7099</v>
      </c>
      <c r="B454">
        <v>85</v>
      </c>
      <c r="F454" s="12" t="s">
        <v>866</v>
      </c>
      <c r="G454" s="9" t="s">
        <v>581</v>
      </c>
      <c r="H454" s="3">
        <f t="shared" si="30"/>
        <v>852.5625</v>
      </c>
      <c r="I454" s="3">
        <f t="shared" si="31"/>
        <v>136.41</v>
      </c>
    </row>
    <row r="455" spans="1:9">
      <c r="A455" s="174" t="s">
        <v>7099</v>
      </c>
      <c r="B455">
        <v>85</v>
      </c>
      <c r="F455" s="9" t="s">
        <v>4759</v>
      </c>
      <c r="G455" s="9" t="s">
        <v>4760</v>
      </c>
      <c r="H455" s="3">
        <f t="shared" si="30"/>
        <v>936.18749999999989</v>
      </c>
      <c r="I455" s="3">
        <f t="shared" si="31"/>
        <v>149.79</v>
      </c>
    </row>
    <row r="456" spans="1:9">
      <c r="A456" s="174" t="s">
        <v>7099</v>
      </c>
      <c r="B456">
        <v>85</v>
      </c>
      <c r="F456" s="12" t="s">
        <v>869</v>
      </c>
      <c r="G456" s="9" t="s">
        <v>1455</v>
      </c>
      <c r="H456" s="3">
        <f t="shared" si="30"/>
        <v>108.62499999999999</v>
      </c>
      <c r="I456" s="3">
        <f t="shared" si="31"/>
        <v>17.38</v>
      </c>
    </row>
    <row r="457" spans="1:9">
      <c r="A457" s="174" t="s">
        <v>7099</v>
      </c>
      <c r="B457">
        <v>85</v>
      </c>
      <c r="F457" s="9" t="s">
        <v>868</v>
      </c>
      <c r="G457" s="9" t="s">
        <v>94</v>
      </c>
      <c r="H457" s="3">
        <f t="shared" si="30"/>
        <v>15350</v>
      </c>
      <c r="I457" s="3">
        <f t="shared" si="31"/>
        <v>2456</v>
      </c>
    </row>
    <row r="458" spans="1:9">
      <c r="A458" s="174" t="s">
        <v>7099</v>
      </c>
      <c r="B458">
        <v>85</v>
      </c>
      <c r="F458" s="9" t="s">
        <v>4709</v>
      </c>
      <c r="G458" s="9" t="s">
        <v>4710</v>
      </c>
      <c r="H458" s="3">
        <f t="shared" ref="H458:H494" si="32">+I458/0.16</f>
        <v>97.375</v>
      </c>
      <c r="I458" s="3">
        <f t="shared" ref="I458:I494" si="33">+SUMIF($F$9:$F$322,F458,$I$9:$I$322)</f>
        <v>15.58</v>
      </c>
    </row>
    <row r="459" spans="1:9">
      <c r="A459" s="174" t="s">
        <v>7099</v>
      </c>
      <c r="B459">
        <v>85</v>
      </c>
      <c r="F459" s="9" t="s">
        <v>3384</v>
      </c>
      <c r="G459" s="9" t="s">
        <v>4704</v>
      </c>
      <c r="H459" s="3">
        <f t="shared" si="32"/>
        <v>70.6875</v>
      </c>
      <c r="I459" s="3">
        <f t="shared" si="33"/>
        <v>11.31</v>
      </c>
    </row>
    <row r="460" spans="1:9">
      <c r="A460" s="174" t="s">
        <v>7099</v>
      </c>
      <c r="B460">
        <v>85</v>
      </c>
      <c r="F460" s="9" t="s">
        <v>4751</v>
      </c>
      <c r="G460" s="9" t="s">
        <v>4752</v>
      </c>
      <c r="H460" s="3">
        <f t="shared" si="32"/>
        <v>65</v>
      </c>
      <c r="I460" s="3">
        <f t="shared" si="33"/>
        <v>10.4</v>
      </c>
    </row>
    <row r="461" spans="1:9">
      <c r="A461" s="174" t="s">
        <v>7099</v>
      </c>
      <c r="B461">
        <v>85</v>
      </c>
      <c r="F461" s="9" t="s">
        <v>863</v>
      </c>
      <c r="G461" s="9" t="s">
        <v>538</v>
      </c>
      <c r="H461" s="3">
        <f t="shared" si="32"/>
        <v>145.6875</v>
      </c>
      <c r="I461" s="3">
        <f t="shared" si="33"/>
        <v>23.31</v>
      </c>
    </row>
    <row r="462" spans="1:9">
      <c r="A462" s="174" t="s">
        <v>7099</v>
      </c>
      <c r="B462">
        <v>85</v>
      </c>
      <c r="F462" s="9" t="s">
        <v>1623</v>
      </c>
      <c r="G462" s="9" t="s">
        <v>1624</v>
      </c>
      <c r="H462" s="3">
        <f t="shared" si="32"/>
        <v>592.25</v>
      </c>
      <c r="I462" s="3">
        <f t="shared" si="33"/>
        <v>94.76</v>
      </c>
    </row>
    <row r="463" spans="1:9">
      <c r="A463" s="174" t="s">
        <v>7099</v>
      </c>
      <c r="B463">
        <v>85</v>
      </c>
      <c r="F463" s="9" t="s">
        <v>4717</v>
      </c>
      <c r="G463" s="9" t="s">
        <v>4718</v>
      </c>
      <c r="H463" s="3">
        <f t="shared" si="32"/>
        <v>66.375</v>
      </c>
      <c r="I463" s="3">
        <f t="shared" si="33"/>
        <v>10.62</v>
      </c>
    </row>
    <row r="464" spans="1:9">
      <c r="A464" s="174" t="s">
        <v>7099</v>
      </c>
      <c r="B464">
        <v>85</v>
      </c>
      <c r="F464" s="64" t="s">
        <v>865</v>
      </c>
      <c r="G464" s="9" t="s">
        <v>158</v>
      </c>
      <c r="H464" s="3">
        <f t="shared" si="32"/>
        <v>2823.9375</v>
      </c>
      <c r="I464" s="3">
        <f t="shared" si="33"/>
        <v>451.83</v>
      </c>
    </row>
    <row r="465" spans="1:9">
      <c r="A465" s="174" t="s">
        <v>7099</v>
      </c>
      <c r="B465">
        <v>85</v>
      </c>
      <c r="F465" s="28" t="s">
        <v>943</v>
      </c>
      <c r="G465" s="28" t="s">
        <v>3761</v>
      </c>
      <c r="H465" s="3">
        <f t="shared" si="32"/>
        <v>1801.5</v>
      </c>
      <c r="I465" s="3">
        <f t="shared" si="33"/>
        <v>288.24</v>
      </c>
    </row>
    <row r="466" spans="1:9">
      <c r="A466" s="174" t="s">
        <v>7099</v>
      </c>
      <c r="B466">
        <v>85</v>
      </c>
      <c r="F466" s="28" t="s">
        <v>1684</v>
      </c>
      <c r="G466" s="28" t="s">
        <v>1685</v>
      </c>
      <c r="H466" s="3">
        <f t="shared" si="32"/>
        <v>375.875</v>
      </c>
      <c r="I466" s="3">
        <f t="shared" si="33"/>
        <v>60.14</v>
      </c>
    </row>
    <row r="467" spans="1:9">
      <c r="A467" s="174" t="s">
        <v>7099</v>
      </c>
      <c r="B467">
        <v>85</v>
      </c>
      <c r="F467" s="9" t="s">
        <v>4761</v>
      </c>
      <c r="G467" s="9" t="s">
        <v>4762</v>
      </c>
      <c r="H467" s="3">
        <f t="shared" si="32"/>
        <v>342.5625</v>
      </c>
      <c r="I467" s="3">
        <f t="shared" si="33"/>
        <v>54.81</v>
      </c>
    </row>
    <row r="468" spans="1:9">
      <c r="A468" s="174" t="s">
        <v>7099</v>
      </c>
      <c r="B468">
        <v>85</v>
      </c>
      <c r="F468" s="9" t="s">
        <v>4753</v>
      </c>
      <c r="G468" s="9" t="s">
        <v>4754</v>
      </c>
      <c r="H468" s="3">
        <f t="shared" si="32"/>
        <v>626.4375</v>
      </c>
      <c r="I468" s="3">
        <f t="shared" si="33"/>
        <v>100.23</v>
      </c>
    </row>
    <row r="469" spans="1:9">
      <c r="A469" s="174" t="s">
        <v>7099</v>
      </c>
      <c r="B469">
        <v>85</v>
      </c>
      <c r="F469" s="28" t="s">
        <v>877</v>
      </c>
      <c r="G469" s="28" t="s">
        <v>223</v>
      </c>
      <c r="H469" s="3">
        <f t="shared" si="32"/>
        <v>40493.3125</v>
      </c>
      <c r="I469" s="3">
        <f t="shared" si="33"/>
        <v>6478.93</v>
      </c>
    </row>
    <row r="470" spans="1:9">
      <c r="A470" s="174" t="s">
        <v>7099</v>
      </c>
      <c r="B470">
        <v>85</v>
      </c>
      <c r="F470" t="s">
        <v>4364</v>
      </c>
      <c r="G470" t="s">
        <v>4767</v>
      </c>
      <c r="H470" s="3">
        <f t="shared" si="32"/>
        <v>179.75</v>
      </c>
      <c r="I470" s="3">
        <f t="shared" si="33"/>
        <v>28.76</v>
      </c>
    </row>
    <row r="471" spans="1:9">
      <c r="A471" s="174" t="s">
        <v>7099</v>
      </c>
      <c r="B471">
        <v>85</v>
      </c>
      <c r="F471" s="12" t="s">
        <v>915</v>
      </c>
      <c r="G471" s="20" t="s">
        <v>916</v>
      </c>
      <c r="H471" s="3">
        <f t="shared" si="32"/>
        <v>95</v>
      </c>
      <c r="I471" s="3">
        <f t="shared" si="33"/>
        <v>15.2</v>
      </c>
    </row>
    <row r="472" spans="1:9">
      <c r="A472" s="174" t="s">
        <v>7099</v>
      </c>
      <c r="B472">
        <v>85</v>
      </c>
      <c r="F472" s="28" t="s">
        <v>4776</v>
      </c>
      <c r="G472" s="28" t="s">
        <v>4777</v>
      </c>
      <c r="H472" s="3">
        <f t="shared" si="32"/>
        <v>400.9375</v>
      </c>
      <c r="I472" s="3">
        <f t="shared" si="33"/>
        <v>64.150000000000006</v>
      </c>
    </row>
    <row r="473" spans="1:9">
      <c r="A473" s="174" t="s">
        <v>7099</v>
      </c>
      <c r="B473">
        <v>85</v>
      </c>
      <c r="F473" t="s">
        <v>913</v>
      </c>
      <c r="G473" t="s">
        <v>914</v>
      </c>
      <c r="H473" s="3">
        <f t="shared" si="32"/>
        <v>742.3125</v>
      </c>
      <c r="I473" s="3">
        <f t="shared" si="33"/>
        <v>118.77</v>
      </c>
    </row>
    <row r="474" spans="1:9">
      <c r="A474" s="174" t="s">
        <v>7099</v>
      </c>
      <c r="B474">
        <v>85</v>
      </c>
      <c r="F474" s="28" t="s">
        <v>1664</v>
      </c>
      <c r="G474" s="28" t="s">
        <v>4750</v>
      </c>
      <c r="H474" s="3">
        <f t="shared" si="32"/>
        <v>459.5625</v>
      </c>
      <c r="I474" s="3">
        <f t="shared" si="33"/>
        <v>73.53</v>
      </c>
    </row>
    <row r="475" spans="1:9">
      <c r="A475" s="174" t="s">
        <v>7099</v>
      </c>
      <c r="B475">
        <v>85</v>
      </c>
      <c r="F475" s="28" t="s">
        <v>4778</v>
      </c>
      <c r="G475" s="28" t="s">
        <v>4779</v>
      </c>
      <c r="H475" s="3">
        <f t="shared" si="32"/>
        <v>417.6875</v>
      </c>
      <c r="I475" s="3">
        <f t="shared" si="33"/>
        <v>66.83</v>
      </c>
    </row>
    <row r="476" spans="1:9">
      <c r="A476" s="174" t="s">
        <v>7099</v>
      </c>
      <c r="B476">
        <v>85</v>
      </c>
      <c r="F476" s="9" t="s">
        <v>873</v>
      </c>
      <c r="G476" s="9" t="s">
        <v>4480</v>
      </c>
      <c r="H476" s="3">
        <f t="shared" si="32"/>
        <v>314362.5625</v>
      </c>
      <c r="I476" s="3">
        <f t="shared" si="33"/>
        <v>50298.01</v>
      </c>
    </row>
    <row r="477" spans="1:9">
      <c r="A477" s="174" t="s">
        <v>7099</v>
      </c>
      <c r="B477">
        <v>85</v>
      </c>
      <c r="F477" s="9" t="s">
        <v>884</v>
      </c>
      <c r="G477" s="9" t="s">
        <v>535</v>
      </c>
      <c r="H477" s="3">
        <f t="shared" si="32"/>
        <v>1034.4375</v>
      </c>
      <c r="I477" s="3">
        <f t="shared" si="33"/>
        <v>165.51</v>
      </c>
    </row>
    <row r="478" spans="1:9">
      <c r="A478" s="174" t="s">
        <v>7099</v>
      </c>
      <c r="B478">
        <v>85</v>
      </c>
      <c r="F478" s="33" t="s">
        <v>4749</v>
      </c>
      <c r="G478" t="s">
        <v>4445</v>
      </c>
      <c r="H478" s="3">
        <f t="shared" si="32"/>
        <v>32.25</v>
      </c>
      <c r="I478" s="3">
        <f t="shared" si="33"/>
        <v>5.16</v>
      </c>
    </row>
    <row r="479" spans="1:9">
      <c r="A479" s="174" t="s">
        <v>7099</v>
      </c>
      <c r="B479">
        <v>85</v>
      </c>
      <c r="F479" t="s">
        <v>4698</v>
      </c>
      <c r="G479" t="s">
        <v>4699</v>
      </c>
      <c r="H479" s="3">
        <f t="shared" si="32"/>
        <v>725.0625</v>
      </c>
      <c r="I479" s="3">
        <f t="shared" si="33"/>
        <v>116.01</v>
      </c>
    </row>
    <row r="480" spans="1:9">
      <c r="A480" s="174" t="s">
        <v>7099</v>
      </c>
      <c r="B480">
        <v>85</v>
      </c>
      <c r="F480" s="28" t="s">
        <v>903</v>
      </c>
      <c r="G480" s="28" t="s">
        <v>904</v>
      </c>
      <c r="H480" s="3">
        <f t="shared" si="32"/>
        <v>250.56250000000003</v>
      </c>
      <c r="I480" s="3">
        <f t="shared" si="33"/>
        <v>40.090000000000003</v>
      </c>
    </row>
    <row r="481" spans="1:10">
      <c r="A481" s="174" t="s">
        <v>7099</v>
      </c>
      <c r="B481">
        <v>85</v>
      </c>
      <c r="F481" s="28" t="s">
        <v>901</v>
      </c>
      <c r="G481" s="28" t="s">
        <v>4420</v>
      </c>
      <c r="H481" s="3">
        <f t="shared" si="32"/>
        <v>375.875</v>
      </c>
      <c r="I481" s="3">
        <f t="shared" si="33"/>
        <v>60.14</v>
      </c>
    </row>
    <row r="482" spans="1:10">
      <c r="A482" s="174" t="s">
        <v>7099</v>
      </c>
      <c r="B482">
        <v>85</v>
      </c>
      <c r="F482" s="9" t="s">
        <v>2343</v>
      </c>
      <c r="G482" s="9" t="s">
        <v>2344</v>
      </c>
      <c r="H482" s="3">
        <f t="shared" si="32"/>
        <v>668.9375</v>
      </c>
      <c r="I482" s="3">
        <f t="shared" si="33"/>
        <v>107.03</v>
      </c>
    </row>
    <row r="483" spans="1:10">
      <c r="A483" s="174" t="s">
        <v>7099</v>
      </c>
      <c r="B483">
        <v>85</v>
      </c>
      <c r="F483" s="9" t="s">
        <v>4381</v>
      </c>
      <c r="G483" s="9" t="s">
        <v>4287</v>
      </c>
      <c r="H483" s="3">
        <f t="shared" si="32"/>
        <v>7600</v>
      </c>
      <c r="I483" s="3">
        <f t="shared" si="33"/>
        <v>1216</v>
      </c>
    </row>
    <row r="484" spans="1:10">
      <c r="A484" s="174" t="s">
        <v>7099</v>
      </c>
      <c r="B484">
        <v>85</v>
      </c>
      <c r="F484" s="9" t="s">
        <v>880</v>
      </c>
      <c r="G484" s="9" t="s">
        <v>4722</v>
      </c>
      <c r="H484" s="3">
        <f t="shared" si="32"/>
        <v>61.25</v>
      </c>
      <c r="I484" s="3">
        <f t="shared" si="33"/>
        <v>9.8000000000000007</v>
      </c>
    </row>
    <row r="485" spans="1:10">
      <c r="A485" s="174" t="s">
        <v>7099</v>
      </c>
      <c r="B485">
        <v>85</v>
      </c>
      <c r="F485" s="67" t="s">
        <v>829</v>
      </c>
      <c r="G485" s="68" t="s">
        <v>6</v>
      </c>
      <c r="H485" s="3">
        <f t="shared" si="32"/>
        <v>1032885.75</v>
      </c>
      <c r="I485" s="3">
        <f t="shared" si="33"/>
        <v>165261.72</v>
      </c>
    </row>
    <row r="486" spans="1:10">
      <c r="A486" s="174" t="s">
        <v>7099</v>
      </c>
      <c r="B486">
        <v>85</v>
      </c>
      <c r="F486" s="9" t="s">
        <v>1632</v>
      </c>
      <c r="G486" s="9" t="s">
        <v>968</v>
      </c>
      <c r="H486" s="3">
        <f t="shared" si="32"/>
        <v>26807.749999999996</v>
      </c>
      <c r="I486" s="3">
        <f t="shared" si="33"/>
        <v>4289.24</v>
      </c>
    </row>
    <row r="487" spans="1:10">
      <c r="A487" s="174" t="s">
        <v>7099</v>
      </c>
      <c r="B487">
        <v>85</v>
      </c>
      <c r="F487" s="30" t="s">
        <v>886</v>
      </c>
      <c r="G487" s="31" t="s">
        <v>887</v>
      </c>
      <c r="H487" s="3">
        <f t="shared" si="32"/>
        <v>5426645.5624999981</v>
      </c>
      <c r="I487" s="3">
        <f t="shared" si="33"/>
        <v>868263.28999999969</v>
      </c>
    </row>
    <row r="488" spans="1:10">
      <c r="A488" s="174" t="s">
        <v>7099</v>
      </c>
      <c r="B488">
        <v>85</v>
      </c>
      <c r="F488" s="64" t="s">
        <v>1635</v>
      </c>
      <c r="G488" s="9" t="s">
        <v>4522</v>
      </c>
      <c r="H488" s="3">
        <f t="shared" si="32"/>
        <v>288927.5</v>
      </c>
      <c r="I488" s="3">
        <f t="shared" si="33"/>
        <v>46228.4</v>
      </c>
    </row>
    <row r="489" spans="1:10">
      <c r="A489" s="174" t="s">
        <v>7099</v>
      </c>
      <c r="B489">
        <v>85</v>
      </c>
      <c r="F489" s="9" t="s">
        <v>882</v>
      </c>
      <c r="G489" s="9" t="s">
        <v>590</v>
      </c>
      <c r="H489" s="3">
        <f t="shared" si="32"/>
        <v>55.25</v>
      </c>
      <c r="I489" s="3">
        <f t="shared" si="33"/>
        <v>8.84</v>
      </c>
    </row>
    <row r="490" spans="1:10">
      <c r="A490" s="174" t="s">
        <v>7099</v>
      </c>
      <c r="B490">
        <v>85</v>
      </c>
      <c r="F490" s="9" t="s">
        <v>892</v>
      </c>
      <c r="G490" s="9" t="s">
        <v>4472</v>
      </c>
      <c r="H490" s="3">
        <f t="shared" si="32"/>
        <v>161302.0625</v>
      </c>
      <c r="I490" s="3">
        <f t="shared" si="33"/>
        <v>25808.33</v>
      </c>
    </row>
    <row r="491" spans="1:10">
      <c r="A491" s="174" t="s">
        <v>7099</v>
      </c>
      <c r="B491">
        <v>85</v>
      </c>
      <c r="F491" s="9" t="s">
        <v>4376</v>
      </c>
      <c r="G491" s="9" t="s">
        <v>4040</v>
      </c>
      <c r="H491" s="3">
        <f t="shared" si="32"/>
        <v>693.0625</v>
      </c>
      <c r="I491" s="3">
        <f t="shared" si="33"/>
        <v>110.89</v>
      </c>
    </row>
    <row r="492" spans="1:10">
      <c r="A492" s="174" t="s">
        <v>7099</v>
      </c>
      <c r="B492">
        <v>85</v>
      </c>
      <c r="F492" s="9" t="s">
        <v>1728</v>
      </c>
      <c r="G492" s="9" t="s">
        <v>1287</v>
      </c>
      <c r="H492" s="3">
        <f t="shared" si="32"/>
        <v>3497</v>
      </c>
      <c r="I492" s="3">
        <f t="shared" si="33"/>
        <v>559.52</v>
      </c>
    </row>
    <row r="493" spans="1:10">
      <c r="A493" s="174" t="s">
        <v>7099</v>
      </c>
      <c r="B493">
        <v>85</v>
      </c>
      <c r="F493" s="9" t="s">
        <v>4742</v>
      </c>
      <c r="G493" s="9" t="s">
        <v>4743</v>
      </c>
      <c r="H493" s="3">
        <f t="shared" si="32"/>
        <v>417.75</v>
      </c>
      <c r="I493" s="3">
        <f t="shared" si="33"/>
        <v>66.84</v>
      </c>
    </row>
    <row r="494" spans="1:10">
      <c r="A494" s="174" t="s">
        <v>7099</v>
      </c>
      <c r="B494">
        <v>85</v>
      </c>
      <c r="F494" s="9" t="s">
        <v>4744</v>
      </c>
      <c r="G494" s="9" t="s">
        <v>4588</v>
      </c>
      <c r="H494" s="3">
        <f t="shared" si="32"/>
        <v>85</v>
      </c>
      <c r="I494" s="3">
        <f t="shared" si="33"/>
        <v>13.6</v>
      </c>
    </row>
    <row r="496" spans="1:10">
      <c r="H496" s="3">
        <f>SUM(H329:H495)</f>
        <v>13167791.624999998</v>
      </c>
      <c r="I496" s="3">
        <f>SUM(I329:I495)</f>
        <v>2106846.6600000006</v>
      </c>
      <c r="J496">
        <f>SUM(J329:J494)</f>
        <v>32857.14</v>
      </c>
    </row>
    <row r="497" spans="8:11">
      <c r="H497" s="3">
        <f>+H325</f>
        <v>13167791.625</v>
      </c>
      <c r="I497" s="3">
        <f>+I325</f>
        <v>2106846.6599999992</v>
      </c>
      <c r="J497">
        <f>32857.14+84</f>
        <v>32941.14</v>
      </c>
    </row>
    <row r="498" spans="8:11">
      <c r="H498" s="3">
        <f>+H496-H497</f>
        <v>0</v>
      </c>
      <c r="I498" s="3">
        <f>+I496-I497</f>
        <v>0</v>
      </c>
      <c r="J498">
        <f>+J497-J496</f>
        <v>84</v>
      </c>
      <c r="K498" t="s">
        <v>7075</v>
      </c>
    </row>
  </sheetData>
  <autoFilter ref="A8:I322"/>
  <sortState ref="A9:N252">
    <sortCondition ref="E9:E252"/>
  </sortState>
  <conditionalFormatting sqref="F329:G337 F339:G494">
    <cfRule type="duplicateValues" dxfId="8" priority="3"/>
  </conditionalFormatting>
  <conditionalFormatting sqref="F25:G25">
    <cfRule type="duplicateValues" dxfId="7" priority="2"/>
  </conditionalFormatting>
  <conditionalFormatting sqref="F338:G338">
    <cfRule type="duplicateValues" dxfId="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>
    <tabColor rgb="FF00B0F0"/>
  </sheetPr>
  <dimension ref="A1:L566"/>
  <sheetViews>
    <sheetView zoomScale="80" zoomScaleNormal="80" workbookViewId="0">
      <pane ySplit="7" topLeftCell="A539" activePane="bottomLeft" state="frozen"/>
      <selection pane="bottomLeft" activeCell="A388" sqref="A388:A562"/>
    </sheetView>
  </sheetViews>
  <sheetFormatPr baseColWidth="10" defaultRowHeight="15"/>
  <cols>
    <col min="1" max="1" width="11" customWidth="1"/>
    <col min="4" max="4" width="2" bestFit="1" customWidth="1"/>
    <col min="5" max="5" width="40.140625" bestFit="1" customWidth="1"/>
    <col min="6" max="6" width="16.5703125" bestFit="1" customWidth="1"/>
    <col min="7" max="7" width="52.42578125" bestFit="1" customWidth="1"/>
    <col min="8" max="8" width="19" style="3" customWidth="1"/>
    <col min="9" max="9" width="13.140625" style="3" bestFit="1" customWidth="1"/>
  </cols>
  <sheetData>
    <row r="1" spans="1:9">
      <c r="A1" t="s">
        <v>729</v>
      </c>
    </row>
    <row r="2" spans="1:9">
      <c r="A2" t="s">
        <v>5160</v>
      </c>
      <c r="B2">
        <v>2013</v>
      </c>
    </row>
    <row r="3" spans="1:9">
      <c r="A3" t="s">
        <v>731</v>
      </c>
    </row>
    <row r="7" spans="1:9">
      <c r="A7" s="6" t="s">
        <v>721</v>
      </c>
      <c r="B7" s="6" t="s">
        <v>722</v>
      </c>
      <c r="C7" s="6" t="s">
        <v>1568</v>
      </c>
      <c r="D7" s="6" t="s">
        <v>728</v>
      </c>
      <c r="E7" s="6" t="s">
        <v>723</v>
      </c>
      <c r="F7" s="5" t="s">
        <v>724</v>
      </c>
      <c r="G7" s="4" t="s">
        <v>725</v>
      </c>
      <c r="H7" s="7" t="s">
        <v>732</v>
      </c>
      <c r="I7" s="7" t="s">
        <v>726</v>
      </c>
    </row>
    <row r="8" spans="1:9">
      <c r="A8" t="s">
        <v>1071</v>
      </c>
      <c r="B8" s="1">
        <v>41528</v>
      </c>
      <c r="C8" t="s">
        <v>5065</v>
      </c>
      <c r="D8">
        <v>1</v>
      </c>
      <c r="E8" t="s">
        <v>124</v>
      </c>
      <c r="F8" s="11" t="s">
        <v>733</v>
      </c>
      <c r="G8" s="11" t="s">
        <v>124</v>
      </c>
      <c r="H8" s="3">
        <f t="shared" ref="H8:H71" si="0">+I8/0.16</f>
        <v>6614.6874999999991</v>
      </c>
      <c r="I8" s="3">
        <v>1058.3499999999999</v>
      </c>
    </row>
    <row r="9" spans="1:9">
      <c r="A9" t="s">
        <v>335</v>
      </c>
      <c r="B9" s="1">
        <v>41542</v>
      </c>
      <c r="C9" t="s">
        <v>5130</v>
      </c>
      <c r="D9">
        <v>1</v>
      </c>
      <c r="E9" t="s">
        <v>124</v>
      </c>
      <c r="F9" s="11" t="s">
        <v>733</v>
      </c>
      <c r="G9" s="11" t="s">
        <v>124</v>
      </c>
      <c r="H9" s="3">
        <f t="shared" si="0"/>
        <v>6614.6874999999991</v>
      </c>
      <c r="I9" s="3">
        <v>1058.3499999999999</v>
      </c>
    </row>
    <row r="10" spans="1:9">
      <c r="A10" t="s">
        <v>2766</v>
      </c>
      <c r="B10" s="1">
        <v>41536</v>
      </c>
      <c r="C10" t="s">
        <v>5105</v>
      </c>
      <c r="D10">
        <v>1</v>
      </c>
      <c r="E10" t="s">
        <v>4639</v>
      </c>
      <c r="F10" s="109" t="s">
        <v>4697</v>
      </c>
      <c r="G10" s="11" t="s">
        <v>4639</v>
      </c>
      <c r="H10" s="3">
        <f t="shared" si="0"/>
        <v>25936.5</v>
      </c>
      <c r="I10" s="3">
        <v>4149.84</v>
      </c>
    </row>
    <row r="11" spans="1:9">
      <c r="A11" t="s">
        <v>2256</v>
      </c>
      <c r="B11" s="1">
        <v>41542</v>
      </c>
      <c r="C11" t="s">
        <v>5150</v>
      </c>
      <c r="D11">
        <v>1</v>
      </c>
      <c r="E11" t="s">
        <v>5151</v>
      </c>
      <c r="F11" s="11" t="s">
        <v>5161</v>
      </c>
      <c r="G11" s="11" t="s">
        <v>5151</v>
      </c>
      <c r="H11" s="3">
        <f t="shared" si="0"/>
        <v>16071.437499999998</v>
      </c>
      <c r="I11" s="3">
        <v>2571.4299999999998</v>
      </c>
    </row>
    <row r="12" spans="1:9">
      <c r="A12" t="s">
        <v>506</v>
      </c>
      <c r="B12" s="1">
        <v>41547</v>
      </c>
      <c r="C12">
        <v>9074</v>
      </c>
      <c r="D12">
        <v>1</v>
      </c>
      <c r="E12" t="s">
        <v>735</v>
      </c>
      <c r="F12" s="11" t="s">
        <v>734</v>
      </c>
      <c r="G12" s="11" t="s">
        <v>735</v>
      </c>
      <c r="H12" s="3">
        <f t="shared" si="0"/>
        <v>290.75</v>
      </c>
      <c r="I12" s="3">
        <v>46.52</v>
      </c>
    </row>
    <row r="13" spans="1:9">
      <c r="A13" t="s">
        <v>1327</v>
      </c>
      <c r="B13" s="1">
        <v>41543</v>
      </c>
      <c r="C13" t="s">
        <v>4884</v>
      </c>
      <c r="D13">
        <v>1</v>
      </c>
      <c r="E13" t="s">
        <v>4885</v>
      </c>
      <c r="F13" s="11" t="s">
        <v>2267</v>
      </c>
      <c r="G13" s="11" t="s">
        <v>1757</v>
      </c>
      <c r="H13" s="3">
        <f t="shared" si="0"/>
        <v>176668.5625</v>
      </c>
      <c r="I13" s="3">
        <v>28266.97</v>
      </c>
    </row>
    <row r="14" spans="1:9">
      <c r="A14" t="s">
        <v>562</v>
      </c>
      <c r="B14" s="1">
        <v>41547</v>
      </c>
      <c r="C14">
        <v>9097</v>
      </c>
      <c r="D14">
        <v>1</v>
      </c>
      <c r="E14" t="s">
        <v>4995</v>
      </c>
      <c r="F14" s="11" t="s">
        <v>3343</v>
      </c>
      <c r="G14" s="11" t="s">
        <v>4995</v>
      </c>
      <c r="H14" s="3">
        <f t="shared" si="0"/>
        <v>454.3125</v>
      </c>
      <c r="I14" s="3">
        <v>72.69</v>
      </c>
    </row>
    <row r="15" spans="1:9">
      <c r="A15" t="s">
        <v>4900</v>
      </c>
      <c r="B15" s="1">
        <v>41544</v>
      </c>
      <c r="C15">
        <v>8984</v>
      </c>
      <c r="D15">
        <v>1</v>
      </c>
      <c r="E15" t="s">
        <v>517</v>
      </c>
      <c r="F15" s="11" t="s">
        <v>738</v>
      </c>
      <c r="G15" s="11" t="s">
        <v>517</v>
      </c>
      <c r="H15" s="3">
        <f t="shared" si="0"/>
        <v>84.8125</v>
      </c>
      <c r="I15" s="3">
        <v>13.57</v>
      </c>
    </row>
    <row r="16" spans="1:9">
      <c r="A16" t="s">
        <v>4901</v>
      </c>
      <c r="B16" s="1">
        <v>41544</v>
      </c>
      <c r="C16">
        <v>8985</v>
      </c>
      <c r="D16">
        <v>1</v>
      </c>
      <c r="E16" t="s">
        <v>517</v>
      </c>
      <c r="F16" s="11" t="s">
        <v>738</v>
      </c>
      <c r="G16" s="11" t="s">
        <v>517</v>
      </c>
      <c r="H16" s="3">
        <f t="shared" si="0"/>
        <v>89.375</v>
      </c>
      <c r="I16" s="3">
        <v>14.3</v>
      </c>
    </row>
    <row r="17" spans="1:9">
      <c r="A17" t="s">
        <v>621</v>
      </c>
      <c r="B17" s="1">
        <v>41547</v>
      </c>
      <c r="C17" t="s">
        <v>5022</v>
      </c>
      <c r="D17">
        <v>1</v>
      </c>
      <c r="E17" t="s">
        <v>469</v>
      </c>
      <c r="F17" s="11" t="s">
        <v>739</v>
      </c>
      <c r="G17" s="11" t="s">
        <v>469</v>
      </c>
      <c r="H17" s="3">
        <f t="shared" si="0"/>
        <v>215.49999999999997</v>
      </c>
      <c r="I17" s="3">
        <v>34.479999999999997</v>
      </c>
    </row>
    <row r="18" spans="1:9">
      <c r="A18" t="s">
        <v>4581</v>
      </c>
      <c r="B18" s="1">
        <v>41547</v>
      </c>
      <c r="C18" t="s">
        <v>5023</v>
      </c>
      <c r="D18">
        <v>1</v>
      </c>
      <c r="E18" t="s">
        <v>469</v>
      </c>
      <c r="F18" s="11" t="s">
        <v>739</v>
      </c>
      <c r="G18" s="11" t="s">
        <v>469</v>
      </c>
      <c r="H18" s="3">
        <f t="shared" si="0"/>
        <v>215.49999999999997</v>
      </c>
      <c r="I18" s="3">
        <v>34.479999999999997</v>
      </c>
    </row>
    <row r="19" spans="1:9">
      <c r="A19" t="s">
        <v>4012</v>
      </c>
      <c r="B19" s="1">
        <v>41547</v>
      </c>
      <c r="C19" t="s">
        <v>5028</v>
      </c>
      <c r="D19">
        <v>1</v>
      </c>
      <c r="E19" t="s">
        <v>469</v>
      </c>
      <c r="F19" s="11" t="s">
        <v>739</v>
      </c>
      <c r="G19" s="11" t="s">
        <v>469</v>
      </c>
      <c r="H19" s="3">
        <f t="shared" si="0"/>
        <v>431.0625</v>
      </c>
      <c r="I19" s="3">
        <v>68.97</v>
      </c>
    </row>
    <row r="20" spans="1:9">
      <c r="A20" t="s">
        <v>4582</v>
      </c>
      <c r="B20" s="1">
        <v>41547</v>
      </c>
      <c r="C20" t="s">
        <v>5029</v>
      </c>
      <c r="D20">
        <v>1</v>
      </c>
      <c r="E20" t="s">
        <v>469</v>
      </c>
      <c r="F20" s="11" t="s">
        <v>739</v>
      </c>
      <c r="G20" s="11" t="s">
        <v>469</v>
      </c>
      <c r="H20" s="3">
        <f t="shared" si="0"/>
        <v>215.49999999999997</v>
      </c>
      <c r="I20" s="3">
        <v>34.479999999999997</v>
      </c>
    </row>
    <row r="21" spans="1:9">
      <c r="A21" t="s">
        <v>624</v>
      </c>
      <c r="B21" s="1">
        <v>41547</v>
      </c>
      <c r="C21" t="s">
        <v>5030</v>
      </c>
      <c r="D21">
        <v>1</v>
      </c>
      <c r="E21" t="s">
        <v>469</v>
      </c>
      <c r="F21" s="11" t="s">
        <v>739</v>
      </c>
      <c r="G21" s="11" t="s">
        <v>469</v>
      </c>
      <c r="H21" s="3">
        <f t="shared" si="0"/>
        <v>215.49999999999997</v>
      </c>
      <c r="I21" s="3">
        <v>34.479999999999997</v>
      </c>
    </row>
    <row r="22" spans="1:9">
      <c r="A22" t="s">
        <v>530</v>
      </c>
      <c r="B22" s="1">
        <v>41547</v>
      </c>
      <c r="C22">
        <v>9082</v>
      </c>
      <c r="D22">
        <v>1</v>
      </c>
      <c r="E22" t="s">
        <v>602</v>
      </c>
      <c r="F22" s="11" t="s">
        <v>742</v>
      </c>
      <c r="G22" s="11" t="s">
        <v>602</v>
      </c>
      <c r="H22" s="3">
        <f t="shared" si="0"/>
        <v>59.062499999999993</v>
      </c>
      <c r="I22" s="3">
        <v>9.4499999999999993</v>
      </c>
    </row>
    <row r="23" spans="1:9">
      <c r="A23" t="s">
        <v>4893</v>
      </c>
      <c r="B23" s="1">
        <v>41544</v>
      </c>
      <c r="C23">
        <v>8973</v>
      </c>
      <c r="D23">
        <v>1</v>
      </c>
      <c r="E23" t="s">
        <v>2080</v>
      </c>
      <c r="F23" s="11" t="s">
        <v>2269</v>
      </c>
      <c r="G23" s="11" t="s">
        <v>2080</v>
      </c>
      <c r="H23" s="3">
        <f t="shared" si="0"/>
        <v>275</v>
      </c>
      <c r="I23" s="3">
        <v>44</v>
      </c>
    </row>
    <row r="24" spans="1:9">
      <c r="A24" t="s">
        <v>4421</v>
      </c>
      <c r="B24" s="1">
        <v>41530</v>
      </c>
      <c r="C24" t="s">
        <v>4811</v>
      </c>
      <c r="D24">
        <v>1</v>
      </c>
      <c r="E24" t="s">
        <v>746</v>
      </c>
      <c r="F24" s="109" t="s">
        <v>745</v>
      </c>
      <c r="G24" s="110" t="s">
        <v>746</v>
      </c>
      <c r="H24" s="3">
        <f t="shared" si="0"/>
        <v>180602.62499999997</v>
      </c>
      <c r="I24" s="3">
        <v>28896.42</v>
      </c>
    </row>
    <row r="25" spans="1:9">
      <c r="A25" t="s">
        <v>2728</v>
      </c>
      <c r="B25" s="1">
        <v>41528</v>
      </c>
      <c r="C25" t="s">
        <v>5060</v>
      </c>
      <c r="D25">
        <v>1</v>
      </c>
      <c r="E25" t="s">
        <v>5061</v>
      </c>
      <c r="F25" s="111" t="s">
        <v>1572</v>
      </c>
      <c r="G25" s="111" t="s">
        <v>1573</v>
      </c>
      <c r="H25" s="3">
        <f t="shared" si="0"/>
        <v>900</v>
      </c>
      <c r="I25" s="3">
        <v>144</v>
      </c>
    </row>
    <row r="26" spans="1:9">
      <c r="A26" t="s">
        <v>4878</v>
      </c>
      <c r="B26" s="1">
        <v>41543</v>
      </c>
      <c r="C26" t="s">
        <v>4879</v>
      </c>
      <c r="D26">
        <v>1</v>
      </c>
      <c r="E26" t="s">
        <v>4880</v>
      </c>
      <c r="F26" s="111" t="s">
        <v>1572</v>
      </c>
      <c r="G26" s="111" t="s">
        <v>1573</v>
      </c>
      <c r="H26" s="3">
        <f t="shared" si="0"/>
        <v>175582.31249999997</v>
      </c>
      <c r="I26" s="3">
        <v>28093.17</v>
      </c>
    </row>
    <row r="27" spans="1:9">
      <c r="A27" t="s">
        <v>4881</v>
      </c>
      <c r="B27" s="1">
        <v>41543</v>
      </c>
      <c r="C27" t="s">
        <v>4882</v>
      </c>
      <c r="D27">
        <v>1</v>
      </c>
      <c r="E27" t="s">
        <v>4883</v>
      </c>
      <c r="F27" s="11" t="s">
        <v>1574</v>
      </c>
      <c r="G27" s="11" t="s">
        <v>991</v>
      </c>
      <c r="H27" s="3">
        <f t="shared" si="0"/>
        <v>175582.31249999997</v>
      </c>
      <c r="I27" s="3">
        <v>28093.17</v>
      </c>
    </row>
    <row r="28" spans="1:9">
      <c r="A28" t="s">
        <v>497</v>
      </c>
      <c r="B28" s="1">
        <v>41547</v>
      </c>
      <c r="C28">
        <v>9069</v>
      </c>
      <c r="D28">
        <v>1</v>
      </c>
      <c r="E28" t="s">
        <v>481</v>
      </c>
      <c r="F28" s="11" t="s">
        <v>748</v>
      </c>
      <c r="G28" s="11" t="s">
        <v>481</v>
      </c>
      <c r="H28" s="3">
        <f t="shared" si="0"/>
        <v>129.1875</v>
      </c>
      <c r="I28" s="3">
        <v>20.67</v>
      </c>
    </row>
    <row r="29" spans="1:9">
      <c r="A29" t="s">
        <v>500</v>
      </c>
      <c r="B29" s="1">
        <v>41547</v>
      </c>
      <c r="C29">
        <v>9070</v>
      </c>
      <c r="D29">
        <v>1</v>
      </c>
      <c r="E29" t="s">
        <v>481</v>
      </c>
      <c r="F29" s="11" t="s">
        <v>748</v>
      </c>
      <c r="G29" s="11" t="s">
        <v>481</v>
      </c>
      <c r="H29" s="3">
        <f t="shared" si="0"/>
        <v>224.00000000000003</v>
      </c>
      <c r="I29" s="3">
        <v>35.840000000000003</v>
      </c>
    </row>
    <row r="30" spans="1:9">
      <c r="A30" t="s">
        <v>503</v>
      </c>
      <c r="B30" s="1">
        <v>41547</v>
      </c>
      <c r="C30">
        <v>9072</v>
      </c>
      <c r="D30">
        <v>1</v>
      </c>
      <c r="E30" t="s">
        <v>481</v>
      </c>
      <c r="F30" s="11" t="s">
        <v>748</v>
      </c>
      <c r="G30" s="11" t="s">
        <v>481</v>
      </c>
      <c r="H30" s="3">
        <f t="shared" si="0"/>
        <v>447.9375</v>
      </c>
      <c r="I30" s="3">
        <v>71.67</v>
      </c>
    </row>
    <row r="31" spans="1:9">
      <c r="A31" t="s">
        <v>2675</v>
      </c>
      <c r="B31" s="1">
        <v>41547</v>
      </c>
      <c r="C31">
        <v>9090</v>
      </c>
      <c r="D31">
        <v>1</v>
      </c>
      <c r="E31" t="s">
        <v>481</v>
      </c>
      <c r="F31" s="11" t="s">
        <v>748</v>
      </c>
      <c r="G31" s="11" t="s">
        <v>481</v>
      </c>
      <c r="H31" s="3">
        <f t="shared" si="0"/>
        <v>172.37499999999997</v>
      </c>
      <c r="I31" s="3">
        <v>27.58</v>
      </c>
    </row>
    <row r="32" spans="1:9">
      <c r="A32" t="s">
        <v>3221</v>
      </c>
      <c r="B32" s="1">
        <v>41523</v>
      </c>
      <c r="C32" t="s">
        <v>3691</v>
      </c>
      <c r="D32">
        <v>2</v>
      </c>
      <c r="E32" t="s">
        <v>5051</v>
      </c>
      <c r="F32" s="41" t="s">
        <v>946</v>
      </c>
      <c r="G32" s="33" t="s">
        <v>2270</v>
      </c>
      <c r="H32" s="3">
        <f t="shared" si="0"/>
        <v>-132.25</v>
      </c>
      <c r="I32" s="3">
        <v>-21.16</v>
      </c>
    </row>
    <row r="33" spans="1:10">
      <c r="A33" t="s">
        <v>27</v>
      </c>
      <c r="B33" s="1">
        <v>41521</v>
      </c>
      <c r="C33" t="s">
        <v>4690</v>
      </c>
      <c r="D33">
        <v>1</v>
      </c>
      <c r="E33" t="s">
        <v>5049</v>
      </c>
      <c r="F33" t="s">
        <v>946</v>
      </c>
      <c r="G33" t="s">
        <v>2270</v>
      </c>
      <c r="H33" s="3">
        <f t="shared" si="0"/>
        <v>-10000</v>
      </c>
      <c r="I33" s="3">
        <v>-1600</v>
      </c>
      <c r="J33" s="2"/>
    </row>
    <row r="34" spans="1:10">
      <c r="A34" t="s">
        <v>4898</v>
      </c>
      <c r="B34" s="1">
        <v>41544</v>
      </c>
      <c r="C34">
        <v>8983</v>
      </c>
      <c r="D34">
        <v>1</v>
      </c>
      <c r="E34" t="s">
        <v>4899</v>
      </c>
      <c r="F34" s="11" t="s">
        <v>5162</v>
      </c>
      <c r="G34" s="11" t="s">
        <v>4899</v>
      </c>
      <c r="H34" s="3">
        <f t="shared" si="0"/>
        <v>536.1875</v>
      </c>
      <c r="I34" s="3">
        <v>85.79</v>
      </c>
    </row>
    <row r="35" spans="1:10">
      <c r="A35" t="s">
        <v>329</v>
      </c>
      <c r="B35" s="1">
        <v>41542</v>
      </c>
      <c r="C35" t="s">
        <v>5127</v>
      </c>
      <c r="D35">
        <v>1</v>
      </c>
      <c r="E35" t="s">
        <v>3323</v>
      </c>
      <c r="F35" s="11" t="s">
        <v>3351</v>
      </c>
      <c r="G35" s="11" t="s">
        <v>3323</v>
      </c>
      <c r="H35" s="3">
        <f t="shared" si="0"/>
        <v>8000</v>
      </c>
      <c r="I35" s="3">
        <v>1280</v>
      </c>
    </row>
    <row r="36" spans="1:10">
      <c r="A36" t="s">
        <v>576</v>
      </c>
      <c r="B36" s="1">
        <v>41547</v>
      </c>
      <c r="C36">
        <v>9103</v>
      </c>
      <c r="D36">
        <v>1</v>
      </c>
      <c r="E36" t="s">
        <v>4996</v>
      </c>
      <c r="F36" s="33" t="s">
        <v>946</v>
      </c>
      <c r="G36" t="s">
        <v>947</v>
      </c>
      <c r="H36" s="3">
        <f t="shared" si="0"/>
        <v>47.4375</v>
      </c>
      <c r="I36" s="3">
        <v>7.59</v>
      </c>
    </row>
    <row r="37" spans="1:10">
      <c r="A37" t="s">
        <v>4989</v>
      </c>
      <c r="B37" s="1">
        <v>41547</v>
      </c>
      <c r="C37">
        <v>9065</v>
      </c>
      <c r="D37">
        <v>1</v>
      </c>
      <c r="E37" t="s">
        <v>4194</v>
      </c>
      <c r="F37" s="33" t="s">
        <v>946</v>
      </c>
      <c r="G37" t="s">
        <v>947</v>
      </c>
      <c r="H37" s="3">
        <f t="shared" si="0"/>
        <v>1064.6875</v>
      </c>
      <c r="I37" s="3">
        <v>170.35</v>
      </c>
    </row>
    <row r="38" spans="1:10">
      <c r="A38" t="s">
        <v>4808</v>
      </c>
      <c r="B38" s="1">
        <v>41528</v>
      </c>
      <c r="C38" t="s">
        <v>4503</v>
      </c>
      <c r="D38">
        <v>1</v>
      </c>
      <c r="E38" t="s">
        <v>385</v>
      </c>
      <c r="F38" s="109" t="s">
        <v>755</v>
      </c>
      <c r="G38" s="11" t="s">
        <v>756</v>
      </c>
      <c r="H38" s="3">
        <f t="shared" si="0"/>
        <v>-221634.8125</v>
      </c>
      <c r="I38" s="3">
        <v>-35461.57</v>
      </c>
      <c r="J38" s="2"/>
    </row>
    <row r="39" spans="1:10">
      <c r="A39" t="s">
        <v>1481</v>
      </c>
      <c r="B39" s="1">
        <v>41547</v>
      </c>
      <c r="C39" t="s">
        <v>4942</v>
      </c>
      <c r="D39">
        <v>1</v>
      </c>
      <c r="E39" t="s">
        <v>385</v>
      </c>
      <c r="F39" s="109" t="s">
        <v>755</v>
      </c>
      <c r="G39" s="11" t="s">
        <v>756</v>
      </c>
      <c r="H39" s="3">
        <f t="shared" si="0"/>
        <v>277621.375</v>
      </c>
      <c r="I39" s="3">
        <v>44419.42</v>
      </c>
    </row>
    <row r="40" spans="1:10">
      <c r="A40" t="s">
        <v>4870</v>
      </c>
      <c r="B40" s="1">
        <v>41541</v>
      </c>
      <c r="C40" t="s">
        <v>4871</v>
      </c>
      <c r="D40">
        <v>1</v>
      </c>
      <c r="E40" t="s">
        <v>4872</v>
      </c>
      <c r="F40" s="109" t="s">
        <v>755</v>
      </c>
      <c r="G40" s="11" t="s">
        <v>756</v>
      </c>
      <c r="H40" s="3">
        <f t="shared" si="0"/>
        <v>209820.87499999997</v>
      </c>
      <c r="I40" s="3">
        <v>33571.339999999997</v>
      </c>
    </row>
    <row r="41" spans="1:10">
      <c r="A41" t="s">
        <v>1999</v>
      </c>
      <c r="B41" s="1">
        <v>41547</v>
      </c>
      <c r="C41" t="s">
        <v>4936</v>
      </c>
      <c r="D41">
        <v>1</v>
      </c>
      <c r="E41" t="s">
        <v>190</v>
      </c>
      <c r="F41" s="109" t="s">
        <v>755</v>
      </c>
      <c r="G41" s="11" t="s">
        <v>756</v>
      </c>
      <c r="H41" s="3">
        <f t="shared" si="0"/>
        <v>233190.4375</v>
      </c>
      <c r="I41" s="3">
        <v>37310.47</v>
      </c>
    </row>
    <row r="42" spans="1:10">
      <c r="A42" t="s">
        <v>4831</v>
      </c>
      <c r="B42" s="1">
        <v>41535</v>
      </c>
      <c r="C42" t="s">
        <v>4832</v>
      </c>
      <c r="D42">
        <v>1</v>
      </c>
      <c r="E42" t="s">
        <v>1356</v>
      </c>
      <c r="F42" s="109" t="s">
        <v>755</v>
      </c>
      <c r="G42" s="11" t="s">
        <v>756</v>
      </c>
      <c r="H42" s="3">
        <f t="shared" si="0"/>
        <v>221634.8125</v>
      </c>
      <c r="I42" s="3">
        <v>35461.57</v>
      </c>
    </row>
    <row r="43" spans="1:10">
      <c r="A43" t="s">
        <v>3168</v>
      </c>
      <c r="B43" s="1">
        <v>41547</v>
      </c>
      <c r="C43" t="s">
        <v>4940</v>
      </c>
      <c r="D43">
        <v>1</v>
      </c>
      <c r="E43" t="s">
        <v>4941</v>
      </c>
      <c r="F43" s="109" t="s">
        <v>755</v>
      </c>
      <c r="G43" s="11" t="s">
        <v>756</v>
      </c>
      <c r="H43" s="3">
        <f t="shared" si="0"/>
        <v>309447.5</v>
      </c>
      <c r="I43" s="3">
        <v>49511.6</v>
      </c>
    </row>
    <row r="44" spans="1:10">
      <c r="A44" t="s">
        <v>4496</v>
      </c>
      <c r="B44" s="1">
        <v>41542</v>
      </c>
      <c r="C44" t="s">
        <v>4873</v>
      </c>
      <c r="D44">
        <v>1</v>
      </c>
      <c r="E44" t="s">
        <v>4874</v>
      </c>
      <c r="F44" s="10" t="s">
        <v>761</v>
      </c>
      <c r="G44" s="11" t="s">
        <v>762</v>
      </c>
      <c r="H44" s="3">
        <f t="shared" si="0"/>
        <v>330512.6875</v>
      </c>
      <c r="I44" s="3">
        <v>52882.03</v>
      </c>
    </row>
    <row r="45" spans="1:10">
      <c r="A45" t="s">
        <v>131</v>
      </c>
      <c r="B45" s="1">
        <v>41528</v>
      </c>
      <c r="C45" t="s">
        <v>5074</v>
      </c>
      <c r="D45">
        <v>1</v>
      </c>
      <c r="E45" t="s">
        <v>1059</v>
      </c>
      <c r="F45" s="11" t="s">
        <v>1576</v>
      </c>
      <c r="G45" s="11" t="s">
        <v>1059</v>
      </c>
      <c r="H45" s="3">
        <f t="shared" si="0"/>
        <v>1582.75</v>
      </c>
      <c r="I45" s="3">
        <v>253.24</v>
      </c>
    </row>
    <row r="46" spans="1:10">
      <c r="A46" t="s">
        <v>175</v>
      </c>
      <c r="B46" s="1">
        <v>41530</v>
      </c>
      <c r="C46" t="s">
        <v>5087</v>
      </c>
      <c r="D46">
        <v>2</v>
      </c>
      <c r="E46" t="s">
        <v>1062</v>
      </c>
      <c r="F46" s="11" t="s">
        <v>1577</v>
      </c>
      <c r="G46" s="11" t="s">
        <v>1062</v>
      </c>
      <c r="H46" s="3">
        <f t="shared" si="0"/>
        <v>3034.5</v>
      </c>
      <c r="I46" s="3">
        <v>485.52</v>
      </c>
    </row>
    <row r="47" spans="1:10">
      <c r="A47" t="s">
        <v>327</v>
      </c>
      <c r="B47" s="1">
        <v>41542</v>
      </c>
      <c r="C47" t="s">
        <v>5126</v>
      </c>
      <c r="D47">
        <v>2</v>
      </c>
      <c r="E47" t="s">
        <v>1062</v>
      </c>
      <c r="F47" s="11" t="s">
        <v>1577</v>
      </c>
      <c r="G47" s="11" t="s">
        <v>1062</v>
      </c>
      <c r="H47" s="3">
        <f t="shared" si="0"/>
        <v>8103.4375</v>
      </c>
      <c r="I47" s="3">
        <v>1296.55</v>
      </c>
    </row>
    <row r="48" spans="1:10">
      <c r="A48" t="s">
        <v>297</v>
      </c>
      <c r="B48" s="1">
        <v>41540</v>
      </c>
      <c r="C48" t="s">
        <v>5121</v>
      </c>
      <c r="D48">
        <v>1</v>
      </c>
      <c r="E48" t="s">
        <v>4310</v>
      </c>
      <c r="F48" s="109" t="s">
        <v>4339</v>
      </c>
      <c r="G48" s="11" t="s">
        <v>4310</v>
      </c>
      <c r="H48" s="3">
        <f t="shared" si="0"/>
        <v>927358.12499999988</v>
      </c>
      <c r="I48" s="3">
        <v>148377.29999999999</v>
      </c>
    </row>
    <row r="49" spans="1:9">
      <c r="A49" t="s">
        <v>4593</v>
      </c>
      <c r="B49" s="1">
        <v>41547</v>
      </c>
      <c r="C49" t="s">
        <v>5035</v>
      </c>
      <c r="D49">
        <v>1</v>
      </c>
      <c r="E49" t="s">
        <v>5036</v>
      </c>
      <c r="F49" s="109" t="s">
        <v>821</v>
      </c>
      <c r="G49" s="109" t="s">
        <v>2272</v>
      </c>
      <c r="H49" s="3">
        <f t="shared" si="0"/>
        <v>85</v>
      </c>
      <c r="I49" s="3">
        <v>13.6</v>
      </c>
    </row>
    <row r="50" spans="1:9">
      <c r="A50" t="s">
        <v>674</v>
      </c>
      <c r="B50" s="1">
        <v>41547</v>
      </c>
      <c r="C50" t="s">
        <v>5035</v>
      </c>
      <c r="D50">
        <v>1</v>
      </c>
      <c r="E50" t="s">
        <v>5037</v>
      </c>
      <c r="F50" s="109" t="s">
        <v>950</v>
      </c>
      <c r="G50" s="112" t="s">
        <v>951</v>
      </c>
      <c r="H50" s="3">
        <f t="shared" si="0"/>
        <v>478.4375</v>
      </c>
      <c r="I50" s="3">
        <v>76.55</v>
      </c>
    </row>
    <row r="51" spans="1:9">
      <c r="A51" t="s">
        <v>1095</v>
      </c>
      <c r="B51" s="1">
        <v>41529</v>
      </c>
      <c r="C51" t="s">
        <v>5075</v>
      </c>
      <c r="D51">
        <v>1</v>
      </c>
      <c r="E51" t="s">
        <v>100</v>
      </c>
      <c r="F51" s="11" t="s">
        <v>764</v>
      </c>
      <c r="G51" s="11" t="s">
        <v>100</v>
      </c>
      <c r="H51" s="3">
        <f t="shared" si="0"/>
        <v>20537.9375</v>
      </c>
      <c r="I51" s="3">
        <v>3286.07</v>
      </c>
    </row>
    <row r="52" spans="1:9">
      <c r="A52" t="s">
        <v>2567</v>
      </c>
      <c r="B52" s="1">
        <v>41547</v>
      </c>
      <c r="C52" t="s">
        <v>433</v>
      </c>
      <c r="D52">
        <v>1</v>
      </c>
      <c r="E52" t="s">
        <v>4951</v>
      </c>
      <c r="F52" s="109" t="s">
        <v>825</v>
      </c>
      <c r="G52" s="112" t="s">
        <v>826</v>
      </c>
      <c r="H52" s="3">
        <f t="shared" si="0"/>
        <v>200</v>
      </c>
      <c r="I52" s="3">
        <v>32</v>
      </c>
    </row>
    <row r="53" spans="1:9">
      <c r="A53" t="s">
        <v>671</v>
      </c>
      <c r="B53" s="1">
        <v>41547</v>
      </c>
      <c r="C53" t="s">
        <v>5033</v>
      </c>
      <c r="D53">
        <v>1</v>
      </c>
      <c r="E53" t="s">
        <v>5034</v>
      </c>
      <c r="F53" s="110" t="s">
        <v>1578</v>
      </c>
      <c r="G53" s="79" t="s">
        <v>1579</v>
      </c>
      <c r="H53" s="3">
        <f t="shared" si="0"/>
        <v>2662.25</v>
      </c>
      <c r="I53" s="3">
        <v>425.96</v>
      </c>
    </row>
    <row r="54" spans="1:9">
      <c r="A54" t="s">
        <v>1558</v>
      </c>
      <c r="B54" s="1">
        <v>41547</v>
      </c>
      <c r="C54" t="s">
        <v>433</v>
      </c>
      <c r="D54">
        <v>1</v>
      </c>
      <c r="E54" t="s">
        <v>4948</v>
      </c>
      <c r="F54" s="109" t="s">
        <v>821</v>
      </c>
      <c r="G54" s="109" t="s">
        <v>2272</v>
      </c>
      <c r="H54" s="3">
        <f t="shared" si="0"/>
        <v>605</v>
      </c>
      <c r="I54" s="3">
        <v>96.8</v>
      </c>
    </row>
    <row r="55" spans="1:9">
      <c r="A55" t="s">
        <v>4946</v>
      </c>
      <c r="B55" s="1">
        <v>41547</v>
      </c>
      <c r="C55" t="s">
        <v>433</v>
      </c>
      <c r="D55">
        <v>1</v>
      </c>
      <c r="E55" t="s">
        <v>4947</v>
      </c>
      <c r="F55" s="109" t="s">
        <v>823</v>
      </c>
      <c r="G55" s="112" t="s">
        <v>824</v>
      </c>
      <c r="H55" s="3">
        <f t="shared" si="0"/>
        <v>150</v>
      </c>
      <c r="I55" s="3">
        <v>24</v>
      </c>
    </row>
    <row r="56" spans="1:9">
      <c r="A56" t="s">
        <v>4949</v>
      </c>
      <c r="B56" s="1">
        <v>41547</v>
      </c>
      <c r="C56" t="s">
        <v>433</v>
      </c>
      <c r="D56">
        <v>1</v>
      </c>
      <c r="E56" t="s">
        <v>4950</v>
      </c>
      <c r="F56" s="109" t="s">
        <v>830</v>
      </c>
      <c r="G56" s="112" t="s">
        <v>831</v>
      </c>
      <c r="H56" s="3">
        <f t="shared" si="0"/>
        <v>153</v>
      </c>
      <c r="I56" s="3">
        <v>24.48</v>
      </c>
    </row>
    <row r="57" spans="1:9">
      <c r="A57" t="s">
        <v>1055</v>
      </c>
      <c r="B57" s="1">
        <v>41547</v>
      </c>
      <c r="C57" t="s">
        <v>433</v>
      </c>
      <c r="D57">
        <v>1</v>
      </c>
      <c r="E57" t="s">
        <v>4945</v>
      </c>
      <c r="F57" s="109" t="s">
        <v>4715</v>
      </c>
      <c r="G57" s="11" t="s">
        <v>828</v>
      </c>
      <c r="H57" s="3">
        <f t="shared" si="0"/>
        <v>13739.5</v>
      </c>
      <c r="I57" s="3">
        <v>2198.3200000000002</v>
      </c>
    </row>
    <row r="58" spans="1:9">
      <c r="A58" t="s">
        <v>539</v>
      </c>
      <c r="B58" s="1">
        <v>41547</v>
      </c>
      <c r="C58">
        <v>9084</v>
      </c>
      <c r="D58">
        <v>1</v>
      </c>
      <c r="E58" t="s">
        <v>4992</v>
      </c>
      <c r="F58" s="33" t="s">
        <v>946</v>
      </c>
      <c r="G58" t="s">
        <v>947</v>
      </c>
      <c r="H58" s="3">
        <f t="shared" si="0"/>
        <v>120.75</v>
      </c>
      <c r="I58" s="3">
        <v>19.32</v>
      </c>
    </row>
    <row r="59" spans="1:9">
      <c r="A59" t="s">
        <v>2611</v>
      </c>
      <c r="B59" s="1">
        <v>41547</v>
      </c>
      <c r="C59">
        <v>9034</v>
      </c>
      <c r="D59">
        <v>1</v>
      </c>
      <c r="E59" t="s">
        <v>4956</v>
      </c>
      <c r="F59" s="11" t="s">
        <v>767</v>
      </c>
      <c r="G59" s="11" t="s">
        <v>4956</v>
      </c>
      <c r="H59" s="3">
        <f t="shared" si="0"/>
        <v>994.81249999999989</v>
      </c>
      <c r="I59" s="3">
        <v>159.16999999999999</v>
      </c>
    </row>
    <row r="60" spans="1:9">
      <c r="A60" t="s">
        <v>961</v>
      </c>
      <c r="B60" s="1">
        <v>41519</v>
      </c>
      <c r="C60" t="s">
        <v>5043</v>
      </c>
      <c r="D60">
        <v>1</v>
      </c>
      <c r="E60" t="s">
        <v>29</v>
      </c>
      <c r="F60" s="113" t="s">
        <v>772</v>
      </c>
      <c r="G60" s="11" t="s">
        <v>29</v>
      </c>
      <c r="H60" s="3">
        <f t="shared" si="0"/>
        <v>100000</v>
      </c>
      <c r="I60" s="3">
        <v>16000</v>
      </c>
    </row>
    <row r="61" spans="1:9">
      <c r="A61" t="s">
        <v>4623</v>
      </c>
      <c r="B61" s="1">
        <v>41523</v>
      </c>
      <c r="C61" t="s">
        <v>5052</v>
      </c>
      <c r="D61">
        <v>1</v>
      </c>
      <c r="E61" t="s">
        <v>29</v>
      </c>
      <c r="F61" s="113" t="s">
        <v>772</v>
      </c>
      <c r="G61" s="11" t="s">
        <v>29</v>
      </c>
      <c r="H61" s="3">
        <f t="shared" si="0"/>
        <v>84231.0625</v>
      </c>
      <c r="I61" s="3">
        <v>13476.97</v>
      </c>
    </row>
    <row r="62" spans="1:9">
      <c r="A62" t="s">
        <v>1041</v>
      </c>
      <c r="B62" s="1">
        <v>41527</v>
      </c>
      <c r="C62" t="s">
        <v>5055</v>
      </c>
      <c r="D62">
        <v>1</v>
      </c>
      <c r="E62" t="s">
        <v>29</v>
      </c>
      <c r="F62" s="113" t="s">
        <v>772</v>
      </c>
      <c r="G62" s="11" t="s">
        <v>29</v>
      </c>
      <c r="H62" s="3">
        <f t="shared" si="0"/>
        <v>1632.4375</v>
      </c>
      <c r="I62" s="3">
        <v>261.19</v>
      </c>
    </row>
    <row r="63" spans="1:9">
      <c r="A63" t="s">
        <v>69</v>
      </c>
      <c r="B63" s="1">
        <v>41527</v>
      </c>
      <c r="C63" t="s">
        <v>5056</v>
      </c>
      <c r="D63">
        <v>1</v>
      </c>
      <c r="E63" t="s">
        <v>29</v>
      </c>
      <c r="F63" s="113" t="s">
        <v>772</v>
      </c>
      <c r="G63" s="11" t="s">
        <v>29</v>
      </c>
      <c r="H63" s="3">
        <f t="shared" si="0"/>
        <v>3656.0625</v>
      </c>
      <c r="I63" s="3">
        <v>584.97</v>
      </c>
    </row>
    <row r="64" spans="1:9">
      <c r="A64" t="s">
        <v>72</v>
      </c>
      <c r="B64" s="1">
        <v>41527</v>
      </c>
      <c r="C64" t="s">
        <v>5057</v>
      </c>
      <c r="D64">
        <v>1</v>
      </c>
      <c r="E64" t="s">
        <v>29</v>
      </c>
      <c r="F64" s="113" t="s">
        <v>772</v>
      </c>
      <c r="G64" s="11" t="s">
        <v>29</v>
      </c>
      <c r="H64" s="3">
        <f t="shared" si="0"/>
        <v>15129.750000000002</v>
      </c>
      <c r="I64" s="3">
        <v>2420.7600000000002</v>
      </c>
    </row>
    <row r="65" spans="1:9">
      <c r="A65" t="s">
        <v>75</v>
      </c>
      <c r="B65" s="1">
        <v>41527</v>
      </c>
      <c r="C65" t="s">
        <v>5058</v>
      </c>
      <c r="D65">
        <v>1</v>
      </c>
      <c r="E65" t="s">
        <v>29</v>
      </c>
      <c r="F65" s="113" t="s">
        <v>772</v>
      </c>
      <c r="G65" s="11" t="s">
        <v>29</v>
      </c>
      <c r="H65" s="3">
        <f t="shared" si="0"/>
        <v>28746.3125</v>
      </c>
      <c r="I65" s="3">
        <v>4599.41</v>
      </c>
    </row>
    <row r="66" spans="1:9">
      <c r="A66" t="s">
        <v>2738</v>
      </c>
      <c r="B66" s="1">
        <v>41529</v>
      </c>
      <c r="C66" t="s">
        <v>5076</v>
      </c>
      <c r="D66">
        <v>1</v>
      </c>
      <c r="E66" t="s">
        <v>29</v>
      </c>
      <c r="F66" s="113" t="s">
        <v>772</v>
      </c>
      <c r="G66" s="11" t="s">
        <v>29</v>
      </c>
      <c r="H66" s="3">
        <f t="shared" si="0"/>
        <v>15184.8125</v>
      </c>
      <c r="I66" s="3">
        <v>2429.5700000000002</v>
      </c>
    </row>
    <row r="67" spans="1:9">
      <c r="A67" t="s">
        <v>1136</v>
      </c>
      <c r="B67" s="1">
        <v>41530</v>
      </c>
      <c r="C67" t="s">
        <v>5091</v>
      </c>
      <c r="D67">
        <v>1</v>
      </c>
      <c r="E67" t="s">
        <v>29</v>
      </c>
      <c r="F67" s="113" t="s">
        <v>772</v>
      </c>
      <c r="G67" s="11" t="s">
        <v>29</v>
      </c>
      <c r="H67" s="3">
        <f t="shared" si="0"/>
        <v>45972.0625</v>
      </c>
      <c r="I67" s="3">
        <v>7355.53</v>
      </c>
    </row>
    <row r="68" spans="1:9">
      <c r="A68" t="s">
        <v>2180</v>
      </c>
      <c r="B68" s="1">
        <v>41530</v>
      </c>
      <c r="C68" t="s">
        <v>5092</v>
      </c>
      <c r="D68">
        <v>1</v>
      </c>
      <c r="E68" t="s">
        <v>29</v>
      </c>
      <c r="F68" s="113" t="s">
        <v>772</v>
      </c>
      <c r="G68" s="11" t="s">
        <v>29</v>
      </c>
      <c r="H68" s="3">
        <f t="shared" si="0"/>
        <v>4280.125</v>
      </c>
      <c r="I68" s="3">
        <v>684.82</v>
      </c>
    </row>
    <row r="69" spans="1:9">
      <c r="A69" t="s">
        <v>1143</v>
      </c>
      <c r="B69" s="1">
        <v>41530</v>
      </c>
      <c r="C69" t="s">
        <v>5093</v>
      </c>
      <c r="D69">
        <v>1</v>
      </c>
      <c r="E69" t="s">
        <v>29</v>
      </c>
      <c r="F69" s="113" t="s">
        <v>772</v>
      </c>
      <c r="G69" s="11" t="s">
        <v>29</v>
      </c>
      <c r="H69" s="3">
        <f t="shared" si="0"/>
        <v>340578.3125</v>
      </c>
      <c r="I69" s="3">
        <v>54492.53</v>
      </c>
    </row>
    <row r="70" spans="1:9">
      <c r="A70" t="s">
        <v>1161</v>
      </c>
      <c r="B70" s="1">
        <v>41534</v>
      </c>
      <c r="C70" t="s">
        <v>5097</v>
      </c>
      <c r="D70">
        <v>1</v>
      </c>
      <c r="E70" t="s">
        <v>29</v>
      </c>
      <c r="F70" s="113" t="s">
        <v>772</v>
      </c>
      <c r="G70" s="11" t="s">
        <v>29</v>
      </c>
      <c r="H70" s="3">
        <f t="shared" si="0"/>
        <v>36365.3125</v>
      </c>
      <c r="I70" s="3">
        <v>5818.45</v>
      </c>
    </row>
    <row r="71" spans="1:9">
      <c r="A71" t="s">
        <v>201</v>
      </c>
      <c r="B71" s="1">
        <v>41534</v>
      </c>
      <c r="C71" t="s">
        <v>5098</v>
      </c>
      <c r="D71">
        <v>1</v>
      </c>
      <c r="E71" t="s">
        <v>29</v>
      </c>
      <c r="F71" s="113" t="s">
        <v>772</v>
      </c>
      <c r="G71" s="11" t="s">
        <v>29</v>
      </c>
      <c r="H71" s="3">
        <f t="shared" si="0"/>
        <v>27330.124999999996</v>
      </c>
      <c r="I71" s="3">
        <v>4372.82</v>
      </c>
    </row>
    <row r="72" spans="1:9">
      <c r="A72" t="s">
        <v>203</v>
      </c>
      <c r="B72" s="1">
        <v>41534</v>
      </c>
      <c r="C72" t="s">
        <v>5099</v>
      </c>
      <c r="D72">
        <v>1</v>
      </c>
      <c r="E72" t="s">
        <v>29</v>
      </c>
      <c r="F72" s="113" t="s">
        <v>772</v>
      </c>
      <c r="G72" s="11" t="s">
        <v>29</v>
      </c>
      <c r="H72" s="3">
        <f t="shared" ref="H72:H144" si="1">+I72/0.16</f>
        <v>653.3125</v>
      </c>
      <c r="I72" s="3">
        <v>104.53</v>
      </c>
    </row>
    <row r="73" spans="1:9">
      <c r="A73" t="s">
        <v>3250</v>
      </c>
      <c r="B73" s="1">
        <v>41534</v>
      </c>
      <c r="C73" t="s">
        <v>5100</v>
      </c>
      <c r="D73">
        <v>1</v>
      </c>
      <c r="E73" t="s">
        <v>29</v>
      </c>
      <c r="F73" s="113" t="s">
        <v>772</v>
      </c>
      <c r="G73" s="11" t="s">
        <v>29</v>
      </c>
      <c r="H73" s="3">
        <f t="shared" si="1"/>
        <v>941.4375</v>
      </c>
      <c r="I73" s="3">
        <v>150.63</v>
      </c>
    </row>
    <row r="74" spans="1:9">
      <c r="A74" t="s">
        <v>2190</v>
      </c>
      <c r="B74" s="1">
        <v>41535</v>
      </c>
      <c r="C74" t="s">
        <v>5103</v>
      </c>
      <c r="D74">
        <v>1</v>
      </c>
      <c r="E74" t="s">
        <v>29</v>
      </c>
      <c r="F74" s="113" t="s">
        <v>772</v>
      </c>
      <c r="G74" s="11" t="s">
        <v>29</v>
      </c>
      <c r="H74" s="3">
        <f t="shared" si="1"/>
        <v>7799.6875</v>
      </c>
      <c r="I74" s="3">
        <v>1247.95</v>
      </c>
    </row>
    <row r="75" spans="1:9">
      <c r="A75" t="s">
        <v>4659</v>
      </c>
      <c r="B75" s="1">
        <v>41535</v>
      </c>
      <c r="C75" t="s">
        <v>5104</v>
      </c>
      <c r="D75">
        <v>1</v>
      </c>
      <c r="E75" t="s">
        <v>29</v>
      </c>
      <c r="F75" s="113" t="s">
        <v>772</v>
      </c>
      <c r="G75" s="11" t="s">
        <v>29</v>
      </c>
      <c r="H75" s="3">
        <f t="shared" si="1"/>
        <v>5874.75</v>
      </c>
      <c r="I75" s="3">
        <v>939.96</v>
      </c>
    </row>
    <row r="76" spans="1:9">
      <c r="A76" t="s">
        <v>285</v>
      </c>
      <c r="B76" s="1">
        <v>41537</v>
      </c>
      <c r="C76" t="s">
        <v>5118</v>
      </c>
      <c r="D76">
        <v>1</v>
      </c>
      <c r="E76" t="s">
        <v>29</v>
      </c>
      <c r="F76" s="113" t="s">
        <v>772</v>
      </c>
      <c r="G76" s="11" t="s">
        <v>29</v>
      </c>
      <c r="H76" s="3">
        <f t="shared" si="1"/>
        <v>40414</v>
      </c>
      <c r="I76" s="3">
        <v>6466.24</v>
      </c>
    </row>
    <row r="77" spans="1:9">
      <c r="A77" t="s">
        <v>4281</v>
      </c>
      <c r="B77" s="1">
        <v>41542</v>
      </c>
      <c r="C77" t="s">
        <v>5123</v>
      </c>
      <c r="D77">
        <v>1</v>
      </c>
      <c r="E77" t="s">
        <v>29</v>
      </c>
      <c r="F77" s="113" t="s">
        <v>772</v>
      </c>
      <c r="G77" s="11" t="s">
        <v>29</v>
      </c>
      <c r="H77" s="3">
        <f t="shared" si="1"/>
        <v>896.25</v>
      </c>
      <c r="I77" s="3">
        <v>143.4</v>
      </c>
    </row>
    <row r="78" spans="1:9">
      <c r="A78" t="s">
        <v>317</v>
      </c>
      <c r="B78" s="1">
        <v>41542</v>
      </c>
      <c r="C78" t="s">
        <v>5124</v>
      </c>
      <c r="D78">
        <v>1</v>
      </c>
      <c r="E78" t="s">
        <v>29</v>
      </c>
      <c r="F78" s="113" t="s">
        <v>772</v>
      </c>
      <c r="G78" s="11" t="s">
        <v>29</v>
      </c>
      <c r="H78" s="3">
        <f t="shared" si="1"/>
        <v>6514.6874999999991</v>
      </c>
      <c r="I78" s="3">
        <v>1042.3499999999999</v>
      </c>
    </row>
    <row r="79" spans="1:9">
      <c r="A79" t="s">
        <v>1335</v>
      </c>
      <c r="B79" s="1">
        <v>41544</v>
      </c>
      <c r="C79" t="s">
        <v>5138</v>
      </c>
      <c r="D79">
        <v>1</v>
      </c>
      <c r="E79" t="s">
        <v>29</v>
      </c>
      <c r="F79" s="113" t="s">
        <v>772</v>
      </c>
      <c r="G79" s="11" t="s">
        <v>29</v>
      </c>
      <c r="H79" s="3">
        <f t="shared" si="1"/>
        <v>783.0625</v>
      </c>
      <c r="I79" s="3">
        <v>125.29</v>
      </c>
    </row>
    <row r="80" spans="1:9">
      <c r="A80" t="s">
        <v>2807</v>
      </c>
      <c r="B80" s="1">
        <v>41544</v>
      </c>
      <c r="C80" t="s">
        <v>5139</v>
      </c>
      <c r="D80">
        <v>1</v>
      </c>
      <c r="E80" t="s">
        <v>29</v>
      </c>
      <c r="F80" s="113" t="s">
        <v>772</v>
      </c>
      <c r="G80" s="11" t="s">
        <v>29</v>
      </c>
      <c r="H80" s="3">
        <f t="shared" si="1"/>
        <v>149078.8125</v>
      </c>
      <c r="I80" s="3">
        <v>23852.61</v>
      </c>
    </row>
    <row r="81" spans="1:10">
      <c r="A81" t="s">
        <v>3303</v>
      </c>
      <c r="B81" s="1">
        <v>41544</v>
      </c>
      <c r="C81" t="s">
        <v>5140</v>
      </c>
      <c r="D81">
        <v>1</v>
      </c>
      <c r="E81" t="s">
        <v>29</v>
      </c>
      <c r="F81" s="113" t="s">
        <v>772</v>
      </c>
      <c r="G81" s="11" t="s">
        <v>29</v>
      </c>
      <c r="H81" s="3">
        <f t="shared" si="1"/>
        <v>1501.75</v>
      </c>
      <c r="I81" s="3">
        <v>240.28</v>
      </c>
    </row>
    <row r="82" spans="1:10">
      <c r="A82" t="s">
        <v>2809</v>
      </c>
      <c r="B82" s="1">
        <v>41544</v>
      </c>
      <c r="C82" t="s">
        <v>5141</v>
      </c>
      <c r="D82">
        <v>1</v>
      </c>
      <c r="E82" t="s">
        <v>29</v>
      </c>
      <c r="F82" s="113" t="s">
        <v>772</v>
      </c>
      <c r="G82" s="11" t="s">
        <v>29</v>
      </c>
      <c r="H82" s="3">
        <f t="shared" si="1"/>
        <v>79486.8125</v>
      </c>
      <c r="I82" s="3">
        <v>12717.89</v>
      </c>
    </row>
    <row r="83" spans="1:10">
      <c r="A83" t="s">
        <v>1168</v>
      </c>
      <c r="B83" s="1">
        <v>41547</v>
      </c>
      <c r="C83" t="s">
        <v>5146</v>
      </c>
      <c r="D83">
        <v>1</v>
      </c>
      <c r="E83" t="s">
        <v>29</v>
      </c>
      <c r="F83" s="113" t="s">
        <v>772</v>
      </c>
      <c r="G83" s="11" t="s">
        <v>29</v>
      </c>
      <c r="H83" s="3">
        <f t="shared" si="1"/>
        <v>5170.0625</v>
      </c>
      <c r="I83" s="3">
        <v>827.21</v>
      </c>
    </row>
    <row r="84" spans="1:10">
      <c r="A84" t="s">
        <v>1197</v>
      </c>
      <c r="B84" s="1">
        <v>41547</v>
      </c>
      <c r="C84" t="s">
        <v>5147</v>
      </c>
      <c r="D84">
        <v>1</v>
      </c>
      <c r="E84" t="s">
        <v>29</v>
      </c>
      <c r="F84" s="113" t="s">
        <v>772</v>
      </c>
      <c r="G84" s="11" t="s">
        <v>29</v>
      </c>
      <c r="H84" s="3">
        <f t="shared" si="1"/>
        <v>5150.625</v>
      </c>
      <c r="I84" s="3">
        <v>824.1</v>
      </c>
    </row>
    <row r="85" spans="1:10">
      <c r="A85" t="s">
        <v>3647</v>
      </c>
      <c r="B85" s="1">
        <v>41521</v>
      </c>
      <c r="C85" t="s">
        <v>5045</v>
      </c>
      <c r="D85">
        <v>1</v>
      </c>
      <c r="E85" t="s">
        <v>2109</v>
      </c>
      <c r="F85" s="11" t="s">
        <v>1601</v>
      </c>
      <c r="G85" s="11" t="s">
        <v>2109</v>
      </c>
      <c r="H85" s="3">
        <f t="shared" si="1"/>
        <v>1551.75</v>
      </c>
      <c r="I85" s="3">
        <v>248.28</v>
      </c>
    </row>
    <row r="86" spans="1:10">
      <c r="A86" t="s">
        <v>2473</v>
      </c>
      <c r="B86" s="1">
        <v>41544</v>
      </c>
      <c r="C86">
        <v>8974</v>
      </c>
      <c r="D86">
        <v>1</v>
      </c>
      <c r="E86" t="s">
        <v>514</v>
      </c>
      <c r="F86" s="11" t="s">
        <v>773</v>
      </c>
      <c r="G86" s="11" t="s">
        <v>514</v>
      </c>
      <c r="H86" s="3">
        <f t="shared" si="1"/>
        <v>52.5625</v>
      </c>
      <c r="I86" s="3">
        <v>8.41</v>
      </c>
    </row>
    <row r="87" spans="1:10">
      <c r="A87" t="s">
        <v>2654</v>
      </c>
      <c r="B87" s="1">
        <v>41547</v>
      </c>
      <c r="C87">
        <v>9075</v>
      </c>
      <c r="D87">
        <v>1</v>
      </c>
      <c r="E87" t="s">
        <v>514</v>
      </c>
      <c r="F87" s="11" t="s">
        <v>773</v>
      </c>
      <c r="G87" s="11" t="s">
        <v>514</v>
      </c>
      <c r="H87" s="3">
        <f t="shared" si="1"/>
        <v>60.375</v>
      </c>
      <c r="I87" s="3">
        <v>9.66</v>
      </c>
    </row>
    <row r="88" spans="1:10">
      <c r="A88" t="s">
        <v>2685</v>
      </c>
      <c r="B88" s="1">
        <v>41547</v>
      </c>
      <c r="C88">
        <v>9100</v>
      </c>
      <c r="D88">
        <v>1</v>
      </c>
      <c r="E88" t="s">
        <v>514</v>
      </c>
      <c r="F88" s="11" t="s">
        <v>773</v>
      </c>
      <c r="G88" s="11" t="s">
        <v>514</v>
      </c>
      <c r="H88" s="3">
        <f t="shared" si="1"/>
        <v>400.81249999999994</v>
      </c>
      <c r="I88" s="3">
        <v>64.13</v>
      </c>
    </row>
    <row r="89" spans="1:10">
      <c r="A89" t="s">
        <v>4805</v>
      </c>
      <c r="B89" s="1">
        <v>41527</v>
      </c>
      <c r="C89" t="s">
        <v>3928</v>
      </c>
      <c r="D89">
        <v>1</v>
      </c>
      <c r="E89" t="s">
        <v>3924</v>
      </c>
      <c r="F89" s="109" t="s">
        <v>775</v>
      </c>
      <c r="G89" s="11" t="s">
        <v>776</v>
      </c>
      <c r="H89" s="3">
        <f t="shared" si="1"/>
        <v>-212747.3125</v>
      </c>
      <c r="I89" s="3">
        <v>-34039.57</v>
      </c>
      <c r="J89" s="2"/>
    </row>
    <row r="90" spans="1:10">
      <c r="A90" t="s">
        <v>4843</v>
      </c>
      <c r="B90" s="1">
        <v>41537</v>
      </c>
      <c r="C90" t="s">
        <v>4844</v>
      </c>
      <c r="D90">
        <v>1</v>
      </c>
      <c r="E90" t="s">
        <v>2981</v>
      </c>
      <c r="F90" s="109" t="s">
        <v>775</v>
      </c>
      <c r="G90" s="11" t="s">
        <v>776</v>
      </c>
      <c r="H90" s="3">
        <f t="shared" si="1"/>
        <v>237671.25</v>
      </c>
      <c r="I90" s="3">
        <v>38027.4</v>
      </c>
    </row>
    <row r="91" spans="1:10">
      <c r="A91" t="s">
        <v>1857</v>
      </c>
      <c r="B91" s="1">
        <v>41537</v>
      </c>
      <c r="C91" t="s">
        <v>4846</v>
      </c>
      <c r="D91">
        <v>1</v>
      </c>
      <c r="E91" t="s">
        <v>4847</v>
      </c>
      <c r="F91" s="109" t="s">
        <v>5163</v>
      </c>
      <c r="G91" s="11" t="s">
        <v>4847</v>
      </c>
      <c r="H91" s="3">
        <f t="shared" si="1"/>
        <v>311103.9375</v>
      </c>
      <c r="I91" s="3">
        <v>49776.63</v>
      </c>
    </row>
    <row r="92" spans="1:10">
      <c r="A92" t="s">
        <v>2198</v>
      </c>
      <c r="B92" s="1">
        <v>41537</v>
      </c>
      <c r="C92" t="s">
        <v>5116</v>
      </c>
      <c r="D92">
        <v>1</v>
      </c>
      <c r="E92" t="s">
        <v>5117</v>
      </c>
      <c r="F92" s="109" t="s">
        <v>5164</v>
      </c>
      <c r="G92" s="11" t="s">
        <v>5117</v>
      </c>
      <c r="H92" s="3">
        <f t="shared" si="1"/>
        <v>358200</v>
      </c>
      <c r="I92" s="3">
        <v>57312</v>
      </c>
    </row>
    <row r="93" spans="1:10">
      <c r="A93" t="s">
        <v>5041</v>
      </c>
      <c r="B93" s="1">
        <v>41521</v>
      </c>
      <c r="C93" t="s">
        <v>4690</v>
      </c>
      <c r="D93">
        <v>1</v>
      </c>
      <c r="E93" t="s">
        <v>5042</v>
      </c>
      <c r="F93" t="s">
        <v>946</v>
      </c>
      <c r="G93" t="s">
        <v>2270</v>
      </c>
      <c r="H93" s="3">
        <f t="shared" si="1"/>
        <v>-10000</v>
      </c>
      <c r="I93" s="3">
        <v>-1600</v>
      </c>
      <c r="J93" s="2"/>
    </row>
    <row r="94" spans="1:10">
      <c r="A94" t="s">
        <v>1069</v>
      </c>
      <c r="B94" s="1">
        <v>41528</v>
      </c>
      <c r="C94" t="s">
        <v>5064</v>
      </c>
      <c r="D94">
        <v>1</v>
      </c>
      <c r="E94" t="s">
        <v>373</v>
      </c>
      <c r="F94" s="11" t="s">
        <v>780</v>
      </c>
      <c r="G94" s="11" t="s">
        <v>373</v>
      </c>
      <c r="H94" s="3">
        <f t="shared" si="1"/>
        <v>550</v>
      </c>
      <c r="I94" s="3">
        <v>88</v>
      </c>
    </row>
    <row r="95" spans="1:10">
      <c r="A95" t="s">
        <v>1122</v>
      </c>
      <c r="B95" s="1">
        <v>41530</v>
      </c>
      <c r="C95" t="s">
        <v>5083</v>
      </c>
      <c r="D95">
        <v>1</v>
      </c>
      <c r="E95" t="s">
        <v>373</v>
      </c>
      <c r="F95" s="11" t="s">
        <v>780</v>
      </c>
      <c r="G95" s="11" t="s">
        <v>373</v>
      </c>
      <c r="H95" s="3">
        <f t="shared" si="1"/>
        <v>11849.625</v>
      </c>
      <c r="I95" s="3">
        <v>1895.94</v>
      </c>
    </row>
    <row r="96" spans="1:10">
      <c r="A96" t="s">
        <v>339</v>
      </c>
      <c r="B96" s="1">
        <v>41542</v>
      </c>
      <c r="C96" t="s">
        <v>5133</v>
      </c>
      <c r="D96">
        <v>1</v>
      </c>
      <c r="E96" t="s">
        <v>373</v>
      </c>
      <c r="F96" s="11" t="s">
        <v>780</v>
      </c>
      <c r="G96" s="11" t="s">
        <v>373</v>
      </c>
      <c r="H96" s="3">
        <f t="shared" si="1"/>
        <v>17435</v>
      </c>
      <c r="I96" s="3">
        <v>2789.6</v>
      </c>
    </row>
    <row r="97" spans="1:9">
      <c r="A97" t="s">
        <v>119</v>
      </c>
      <c r="B97" s="1">
        <v>41528</v>
      </c>
      <c r="C97" t="s">
        <v>5070</v>
      </c>
      <c r="D97">
        <v>1</v>
      </c>
      <c r="E97" t="s">
        <v>80</v>
      </c>
      <c r="F97" s="11" t="s">
        <v>781</v>
      </c>
      <c r="G97" s="11" t="s">
        <v>80</v>
      </c>
      <c r="H97" s="3">
        <f t="shared" si="1"/>
        <v>1422</v>
      </c>
      <c r="I97" s="3">
        <v>227.52</v>
      </c>
    </row>
    <row r="98" spans="1:9">
      <c r="A98" t="s">
        <v>1120</v>
      </c>
      <c r="B98" s="1">
        <v>41530</v>
      </c>
      <c r="C98" t="s">
        <v>5082</v>
      </c>
      <c r="D98">
        <v>1</v>
      </c>
      <c r="E98" t="s">
        <v>80</v>
      </c>
      <c r="F98" s="11" t="s">
        <v>781</v>
      </c>
      <c r="G98" s="11" t="s">
        <v>80</v>
      </c>
      <c r="H98" s="3">
        <f t="shared" si="1"/>
        <v>3334.8125000000005</v>
      </c>
      <c r="I98" s="3">
        <v>533.57000000000005</v>
      </c>
    </row>
    <row r="99" spans="1:9">
      <c r="A99" t="s">
        <v>333</v>
      </c>
      <c r="B99" s="1">
        <v>41542</v>
      </c>
      <c r="C99" t="s">
        <v>5129</v>
      </c>
      <c r="D99">
        <v>1</v>
      </c>
      <c r="E99" t="s">
        <v>80</v>
      </c>
      <c r="F99" s="11" t="s">
        <v>781</v>
      </c>
      <c r="G99" s="11" t="s">
        <v>80</v>
      </c>
      <c r="H99" s="3">
        <f t="shared" si="1"/>
        <v>1632</v>
      </c>
      <c r="I99" s="3">
        <v>261.12</v>
      </c>
    </row>
    <row r="100" spans="1:9">
      <c r="A100" t="s">
        <v>4817</v>
      </c>
      <c r="B100" s="1">
        <v>41534</v>
      </c>
      <c r="C100" t="s">
        <v>4818</v>
      </c>
      <c r="D100">
        <v>1</v>
      </c>
      <c r="E100" t="s">
        <v>2451</v>
      </c>
      <c r="F100" s="11" t="s">
        <v>1595</v>
      </c>
      <c r="G100" s="11" t="s">
        <v>1596</v>
      </c>
      <c r="H100" s="3">
        <f t="shared" si="1"/>
        <v>330512.6875</v>
      </c>
      <c r="I100" s="3">
        <v>52882.03</v>
      </c>
    </row>
    <row r="101" spans="1:9">
      <c r="A101" t="s">
        <v>542</v>
      </c>
      <c r="B101" s="1">
        <v>41547</v>
      </c>
      <c r="C101">
        <v>9086</v>
      </c>
      <c r="D101">
        <v>1</v>
      </c>
      <c r="E101" t="s">
        <v>3597</v>
      </c>
      <c r="F101" s="11" t="s">
        <v>3753</v>
      </c>
      <c r="G101" s="11" t="s">
        <v>3597</v>
      </c>
      <c r="H101" s="3">
        <f t="shared" si="1"/>
        <v>100</v>
      </c>
      <c r="I101" s="3">
        <v>16</v>
      </c>
    </row>
    <row r="102" spans="1:9">
      <c r="A102" t="s">
        <v>362</v>
      </c>
      <c r="B102" s="1">
        <v>41544</v>
      </c>
      <c r="C102">
        <v>8987</v>
      </c>
      <c r="D102">
        <v>1</v>
      </c>
      <c r="E102" t="s">
        <v>1444</v>
      </c>
      <c r="F102" s="11" t="s">
        <v>789</v>
      </c>
      <c r="G102" s="11" t="s">
        <v>1444</v>
      </c>
      <c r="H102" s="3">
        <f t="shared" si="1"/>
        <v>22.4375</v>
      </c>
      <c r="I102" s="3">
        <v>3.59</v>
      </c>
    </row>
    <row r="103" spans="1:9">
      <c r="A103" t="s">
        <v>570</v>
      </c>
      <c r="B103" s="1">
        <v>41547</v>
      </c>
      <c r="C103">
        <v>9101</v>
      </c>
      <c r="D103">
        <v>1</v>
      </c>
      <c r="E103" t="s">
        <v>1444</v>
      </c>
      <c r="F103" s="11" t="s">
        <v>789</v>
      </c>
      <c r="G103" s="11" t="s">
        <v>1444</v>
      </c>
      <c r="H103" s="3">
        <f t="shared" si="1"/>
        <v>32.75</v>
      </c>
      <c r="I103" s="3">
        <v>5.24</v>
      </c>
    </row>
    <row r="104" spans="1:9">
      <c r="A104" t="s">
        <v>573</v>
      </c>
      <c r="B104" s="1">
        <v>41547</v>
      </c>
      <c r="C104">
        <v>9102</v>
      </c>
      <c r="D104">
        <v>1</v>
      </c>
      <c r="E104" t="s">
        <v>1444</v>
      </c>
      <c r="F104" s="11" t="s">
        <v>789</v>
      </c>
      <c r="G104" s="11" t="s">
        <v>1444</v>
      </c>
      <c r="H104" s="3">
        <f t="shared" si="1"/>
        <v>294.8125</v>
      </c>
      <c r="I104" s="3">
        <v>47.17</v>
      </c>
    </row>
    <row r="105" spans="1:9">
      <c r="A105" t="s">
        <v>5157</v>
      </c>
      <c r="B105" s="1">
        <v>41540</v>
      </c>
      <c r="C105" t="s">
        <v>5158</v>
      </c>
      <c r="D105">
        <v>1</v>
      </c>
      <c r="E105" t="s">
        <v>5159</v>
      </c>
      <c r="F105" s="67" t="s">
        <v>829</v>
      </c>
      <c r="G105" s="68" t="s">
        <v>6</v>
      </c>
      <c r="H105" s="3">
        <f t="shared" si="1"/>
        <v>600</v>
      </c>
      <c r="I105" s="3">
        <v>96</v>
      </c>
    </row>
    <row r="106" spans="1:9">
      <c r="A106" t="s">
        <v>5154</v>
      </c>
      <c r="B106" s="1">
        <v>41540</v>
      </c>
      <c r="C106" t="s">
        <v>5155</v>
      </c>
      <c r="D106">
        <v>1</v>
      </c>
      <c r="E106" t="s">
        <v>5156</v>
      </c>
      <c r="F106" s="67" t="s">
        <v>829</v>
      </c>
      <c r="G106" s="68" t="s">
        <v>6</v>
      </c>
      <c r="H106" s="3">
        <f t="shared" si="1"/>
        <v>615.6875</v>
      </c>
      <c r="I106" s="3">
        <v>98.51</v>
      </c>
    </row>
    <row r="107" spans="1:9">
      <c r="A107" t="s">
        <v>4813</v>
      </c>
      <c r="B107" s="1">
        <v>41531</v>
      </c>
      <c r="C107" t="s">
        <v>4814</v>
      </c>
      <c r="D107">
        <v>1</v>
      </c>
      <c r="E107" t="s">
        <v>4815</v>
      </c>
      <c r="F107" s="110" t="s">
        <v>1598</v>
      </c>
      <c r="G107" s="11" t="s">
        <v>1599</v>
      </c>
      <c r="H107" s="3">
        <f t="shared" si="1"/>
        <v>260157.5625</v>
      </c>
      <c r="I107" s="3">
        <v>41625.21</v>
      </c>
    </row>
    <row r="108" spans="1:9">
      <c r="A108" t="s">
        <v>559</v>
      </c>
      <c r="B108" s="1">
        <v>41547</v>
      </c>
      <c r="C108">
        <v>9096</v>
      </c>
      <c r="D108">
        <v>1</v>
      </c>
      <c r="E108" t="s">
        <v>4994</v>
      </c>
      <c r="F108" s="11" t="s">
        <v>5165</v>
      </c>
      <c r="G108" s="11" t="s">
        <v>4994</v>
      </c>
      <c r="H108" s="3">
        <f t="shared" si="1"/>
        <v>48.1875</v>
      </c>
      <c r="I108" s="3">
        <v>7.71</v>
      </c>
    </row>
    <row r="109" spans="1:9">
      <c r="A109" t="s">
        <v>2479</v>
      </c>
      <c r="B109" s="1">
        <v>41544</v>
      </c>
      <c r="C109">
        <v>8981</v>
      </c>
      <c r="D109">
        <v>1</v>
      </c>
      <c r="E109" t="s">
        <v>4897</v>
      </c>
      <c r="F109" s="11" t="s">
        <v>5166</v>
      </c>
      <c r="G109" s="11" t="s">
        <v>4897</v>
      </c>
      <c r="H109" s="3">
        <f t="shared" si="1"/>
        <v>84.375</v>
      </c>
      <c r="I109" s="3">
        <v>13.5</v>
      </c>
    </row>
    <row r="110" spans="1:9">
      <c r="A110" t="s">
        <v>567</v>
      </c>
      <c r="B110" s="1">
        <v>41547</v>
      </c>
      <c r="C110">
        <v>9099</v>
      </c>
      <c r="D110">
        <v>1</v>
      </c>
      <c r="E110" t="s">
        <v>4897</v>
      </c>
      <c r="F110" s="11" t="s">
        <v>5166</v>
      </c>
      <c r="G110" s="11" t="s">
        <v>4897</v>
      </c>
      <c r="H110" s="3">
        <f t="shared" si="1"/>
        <v>54.75</v>
      </c>
      <c r="I110" s="3">
        <v>8.76</v>
      </c>
    </row>
    <row r="111" spans="1:9">
      <c r="A111" t="s">
        <v>1369</v>
      </c>
      <c r="B111" s="1">
        <v>41544</v>
      </c>
      <c r="C111">
        <v>8972</v>
      </c>
      <c r="D111">
        <v>1</v>
      </c>
      <c r="E111" t="s">
        <v>612</v>
      </c>
      <c r="F111" s="11" t="s">
        <v>794</v>
      </c>
      <c r="G111" s="11" t="s">
        <v>612</v>
      </c>
      <c r="H111" s="3">
        <f t="shared" si="1"/>
        <v>178</v>
      </c>
      <c r="I111" s="3">
        <v>28.48</v>
      </c>
    </row>
    <row r="112" spans="1:9">
      <c r="A112" t="s">
        <v>2632</v>
      </c>
      <c r="B112" s="1">
        <v>41547</v>
      </c>
      <c r="C112">
        <v>9046</v>
      </c>
      <c r="D112">
        <v>1</v>
      </c>
      <c r="E112" t="s">
        <v>612</v>
      </c>
      <c r="F112" s="11" t="s">
        <v>794</v>
      </c>
      <c r="G112" s="11" t="s">
        <v>612</v>
      </c>
      <c r="H112" s="3">
        <f t="shared" si="1"/>
        <v>110</v>
      </c>
      <c r="I112" s="3">
        <v>17.600000000000001</v>
      </c>
    </row>
    <row r="113" spans="1:12">
      <c r="A113" t="s">
        <v>4982</v>
      </c>
      <c r="B113" s="1">
        <v>41547</v>
      </c>
      <c r="C113">
        <v>9050</v>
      </c>
      <c r="D113">
        <v>1</v>
      </c>
      <c r="E113" t="s">
        <v>612</v>
      </c>
      <c r="F113" s="11" t="s">
        <v>794</v>
      </c>
      <c r="G113" s="11" t="s">
        <v>612</v>
      </c>
      <c r="H113" s="3">
        <f t="shared" si="1"/>
        <v>80</v>
      </c>
      <c r="I113" s="3">
        <v>12.8</v>
      </c>
    </row>
    <row r="114" spans="1:12">
      <c r="A114" t="s">
        <v>467</v>
      </c>
      <c r="B114" s="1">
        <v>41547</v>
      </c>
      <c r="C114">
        <v>9052</v>
      </c>
      <c r="D114">
        <v>1</v>
      </c>
      <c r="E114" t="s">
        <v>612</v>
      </c>
      <c r="F114" s="11" t="s">
        <v>794</v>
      </c>
      <c r="G114" s="11" t="s">
        <v>612</v>
      </c>
      <c r="H114" s="3">
        <f t="shared" si="1"/>
        <v>169</v>
      </c>
      <c r="I114" s="3">
        <v>27.04</v>
      </c>
    </row>
    <row r="115" spans="1:12">
      <c r="A115" t="s">
        <v>485</v>
      </c>
      <c r="B115" s="1">
        <v>41547</v>
      </c>
      <c r="C115">
        <v>9061</v>
      </c>
      <c r="D115">
        <v>1</v>
      </c>
      <c r="E115" t="s">
        <v>612</v>
      </c>
      <c r="F115" s="11" t="s">
        <v>794</v>
      </c>
      <c r="G115" s="11" t="s">
        <v>612</v>
      </c>
      <c r="H115" s="3">
        <f t="shared" si="1"/>
        <v>60</v>
      </c>
      <c r="I115" s="3">
        <v>9.6</v>
      </c>
    </row>
    <row r="116" spans="1:12">
      <c r="A116" t="s">
        <v>1115</v>
      </c>
      <c r="B116" s="1">
        <v>41530</v>
      </c>
      <c r="C116" t="s">
        <v>5078</v>
      </c>
      <c r="D116">
        <v>1</v>
      </c>
      <c r="E116" t="s">
        <v>5079</v>
      </c>
      <c r="F116" s="11" t="s">
        <v>5167</v>
      </c>
      <c r="G116" s="11" t="s">
        <v>5079</v>
      </c>
      <c r="H116" s="3">
        <f t="shared" si="1"/>
        <v>3000</v>
      </c>
      <c r="I116" s="3">
        <v>480</v>
      </c>
    </row>
    <row r="117" spans="1:12">
      <c r="A117" t="s">
        <v>2194</v>
      </c>
      <c r="B117" s="1">
        <v>41536</v>
      </c>
      <c r="C117" t="s">
        <v>5108</v>
      </c>
      <c r="D117">
        <v>1</v>
      </c>
      <c r="E117" t="s">
        <v>5079</v>
      </c>
      <c r="F117" s="11" t="s">
        <v>5167</v>
      </c>
      <c r="G117" s="11" t="s">
        <v>5079</v>
      </c>
      <c r="H117" s="3">
        <f t="shared" si="1"/>
        <v>1800</v>
      </c>
      <c r="I117" s="3">
        <v>288</v>
      </c>
    </row>
    <row r="118" spans="1:12">
      <c r="A118" t="s">
        <v>187</v>
      </c>
      <c r="B118" s="1">
        <v>41534</v>
      </c>
      <c r="C118" t="s">
        <v>5094</v>
      </c>
      <c r="D118">
        <v>1</v>
      </c>
      <c r="E118" t="s">
        <v>965</v>
      </c>
      <c r="F118" s="109" t="s">
        <v>5168</v>
      </c>
      <c r="G118" s="11" t="s">
        <v>5169</v>
      </c>
      <c r="H118" s="3">
        <f t="shared" si="1"/>
        <v>1275</v>
      </c>
      <c r="I118" s="3">
        <v>204</v>
      </c>
    </row>
    <row r="119" spans="1:12">
      <c r="A119" t="s">
        <v>4896</v>
      </c>
      <c r="B119" s="1">
        <v>41544</v>
      </c>
      <c r="C119">
        <v>8979</v>
      </c>
      <c r="D119">
        <v>1</v>
      </c>
      <c r="E119" t="s">
        <v>4579</v>
      </c>
      <c r="F119" s="11" t="s">
        <v>4725</v>
      </c>
      <c r="G119" s="11" t="s">
        <v>4579</v>
      </c>
      <c r="H119" s="3">
        <f t="shared" si="1"/>
        <v>120.81249999999999</v>
      </c>
      <c r="I119" s="3">
        <v>19.329999999999998</v>
      </c>
    </row>
    <row r="120" spans="1:12">
      <c r="A120" t="s">
        <v>4789</v>
      </c>
      <c r="B120" s="1">
        <v>41520</v>
      </c>
      <c r="C120" t="s">
        <v>4790</v>
      </c>
      <c r="D120">
        <v>1</v>
      </c>
      <c r="E120" t="s">
        <v>4791</v>
      </c>
      <c r="F120" s="11" t="s">
        <v>2285</v>
      </c>
      <c r="G120" s="11" t="s">
        <v>3820</v>
      </c>
      <c r="H120" s="3">
        <f t="shared" si="1"/>
        <v>168750.3125</v>
      </c>
      <c r="I120" s="3">
        <v>27000.05</v>
      </c>
    </row>
    <row r="121" spans="1:12">
      <c r="A121" t="s">
        <v>1240</v>
      </c>
      <c r="B121" s="1">
        <v>41536</v>
      </c>
      <c r="C121" t="s">
        <v>5115</v>
      </c>
      <c r="D121">
        <v>2</v>
      </c>
      <c r="E121" t="s">
        <v>220</v>
      </c>
      <c r="F121" s="11" t="s">
        <v>797</v>
      </c>
      <c r="G121" s="11" t="s">
        <v>220</v>
      </c>
      <c r="H121" s="3">
        <f t="shared" si="1"/>
        <v>7995</v>
      </c>
      <c r="I121" s="3">
        <v>1279.2</v>
      </c>
    </row>
    <row r="122" spans="1:12">
      <c r="A122" t="s">
        <v>1073</v>
      </c>
      <c r="B122" s="1">
        <v>41528</v>
      </c>
      <c r="C122" t="s">
        <v>5066</v>
      </c>
      <c r="D122">
        <v>1</v>
      </c>
      <c r="E122" t="s">
        <v>77</v>
      </c>
      <c r="F122" s="11" t="s">
        <v>798</v>
      </c>
      <c r="G122" s="11" t="s">
        <v>77</v>
      </c>
      <c r="H122" s="3">
        <f t="shared" si="1"/>
        <v>2248</v>
      </c>
      <c r="I122" s="3">
        <v>359.68</v>
      </c>
    </row>
    <row r="123" spans="1:12">
      <c r="A123" t="s">
        <v>1118</v>
      </c>
      <c r="B123" s="1">
        <v>41530</v>
      </c>
      <c r="C123" t="s">
        <v>5081</v>
      </c>
      <c r="D123">
        <v>1</v>
      </c>
      <c r="E123" t="s">
        <v>77</v>
      </c>
      <c r="F123" s="11" t="s">
        <v>798</v>
      </c>
      <c r="G123" s="11" t="s">
        <v>77</v>
      </c>
      <c r="H123" s="3">
        <f t="shared" si="1"/>
        <v>2967.8125</v>
      </c>
      <c r="I123" s="3">
        <v>474.85</v>
      </c>
      <c r="J123" s="14" t="e">
        <f>+H123-#REF!</f>
        <v>#REF!</v>
      </c>
      <c r="K123" s="14" t="e">
        <f>+I123-#REF!</f>
        <v>#REF!</v>
      </c>
      <c r="L123" t="s">
        <v>900</v>
      </c>
    </row>
    <row r="124" spans="1:12">
      <c r="A124" t="s">
        <v>337</v>
      </c>
      <c r="B124" s="1">
        <v>41542</v>
      </c>
      <c r="C124" t="s">
        <v>5131</v>
      </c>
      <c r="D124">
        <v>1</v>
      </c>
      <c r="E124" t="s">
        <v>77</v>
      </c>
      <c r="F124" s="11" t="s">
        <v>798</v>
      </c>
      <c r="G124" s="11" t="s">
        <v>77</v>
      </c>
      <c r="H124" s="3">
        <f t="shared" si="1"/>
        <v>728</v>
      </c>
      <c r="I124" s="3">
        <v>116.48</v>
      </c>
    </row>
    <row r="125" spans="1:12">
      <c r="A125" t="s">
        <v>1126</v>
      </c>
      <c r="B125" s="1">
        <v>41530</v>
      </c>
      <c r="C125" t="s">
        <v>5085</v>
      </c>
      <c r="D125">
        <v>1</v>
      </c>
      <c r="E125" t="s">
        <v>215</v>
      </c>
      <c r="F125" s="11" t="s">
        <v>801</v>
      </c>
      <c r="G125" s="11" t="s">
        <v>215</v>
      </c>
      <c r="H125" s="3">
        <f t="shared" si="1"/>
        <v>11000</v>
      </c>
      <c r="I125" s="3">
        <v>1760</v>
      </c>
    </row>
    <row r="126" spans="1:12">
      <c r="A126" t="s">
        <v>1067</v>
      </c>
      <c r="B126" s="1">
        <v>41528</v>
      </c>
      <c r="C126" t="s">
        <v>5063</v>
      </c>
      <c r="D126">
        <v>2</v>
      </c>
      <c r="E126" t="s">
        <v>74</v>
      </c>
      <c r="F126" s="11" t="s">
        <v>803</v>
      </c>
      <c r="G126" s="11" t="s">
        <v>74</v>
      </c>
      <c r="H126" s="3">
        <f t="shared" si="1"/>
        <v>17473.3125</v>
      </c>
      <c r="I126" s="3">
        <v>2795.73</v>
      </c>
    </row>
    <row r="127" spans="1:12">
      <c r="A127" t="s">
        <v>1129</v>
      </c>
      <c r="B127" s="1">
        <v>41530</v>
      </c>
      <c r="C127" t="s">
        <v>5086</v>
      </c>
      <c r="D127">
        <v>2</v>
      </c>
      <c r="E127" t="s">
        <v>74</v>
      </c>
      <c r="F127" s="11" t="s">
        <v>803</v>
      </c>
      <c r="G127" s="11" t="s">
        <v>74</v>
      </c>
      <c r="H127" s="3">
        <f t="shared" si="1"/>
        <v>5469.625</v>
      </c>
      <c r="I127" s="3">
        <v>875.14</v>
      </c>
    </row>
    <row r="128" spans="1:12">
      <c r="A128" t="s">
        <v>341</v>
      </c>
      <c r="B128" s="1">
        <v>41542</v>
      </c>
      <c r="C128" t="s">
        <v>5134</v>
      </c>
      <c r="D128">
        <v>2</v>
      </c>
      <c r="E128" t="s">
        <v>74</v>
      </c>
      <c r="F128" s="11" t="s">
        <v>803</v>
      </c>
      <c r="G128" s="11" t="s">
        <v>74</v>
      </c>
      <c r="H128" s="3">
        <f t="shared" si="1"/>
        <v>15848.124999999998</v>
      </c>
      <c r="I128" s="3">
        <v>2535.6999999999998</v>
      </c>
    </row>
    <row r="129" spans="1:11">
      <c r="A129" t="s">
        <v>344</v>
      </c>
      <c r="B129" s="1">
        <v>41542</v>
      </c>
      <c r="C129" t="s">
        <v>5135</v>
      </c>
      <c r="D129">
        <v>1</v>
      </c>
      <c r="E129" t="s">
        <v>74</v>
      </c>
      <c r="F129" s="11" t="s">
        <v>803</v>
      </c>
      <c r="G129" s="11" t="s">
        <v>74</v>
      </c>
      <c r="H129" s="3">
        <f t="shared" si="1"/>
        <v>951.24999999999989</v>
      </c>
      <c r="I129" s="3">
        <v>152.19999999999999</v>
      </c>
    </row>
    <row r="130" spans="1:11">
      <c r="A130" t="s">
        <v>1155</v>
      </c>
      <c r="B130" s="1">
        <v>41534</v>
      </c>
      <c r="C130" t="s">
        <v>5095</v>
      </c>
      <c r="D130">
        <v>1</v>
      </c>
      <c r="E130" t="s">
        <v>112</v>
      </c>
      <c r="F130" s="109" t="s">
        <v>805</v>
      </c>
      <c r="G130" s="11" t="s">
        <v>112</v>
      </c>
      <c r="H130" s="3">
        <f t="shared" si="1"/>
        <v>25000</v>
      </c>
      <c r="I130" s="3">
        <v>4000</v>
      </c>
    </row>
    <row r="131" spans="1:11">
      <c r="A131" t="s">
        <v>1158</v>
      </c>
      <c r="B131" s="1">
        <v>41534</v>
      </c>
      <c r="C131" t="s">
        <v>5096</v>
      </c>
      <c r="D131">
        <v>1</v>
      </c>
      <c r="E131" t="s">
        <v>112</v>
      </c>
      <c r="F131" s="109" t="s">
        <v>805</v>
      </c>
      <c r="G131" s="11" t="s">
        <v>112</v>
      </c>
      <c r="H131" s="3">
        <f t="shared" si="1"/>
        <v>10000</v>
      </c>
      <c r="I131" s="3">
        <v>1600</v>
      </c>
    </row>
    <row r="132" spans="1:11">
      <c r="A132" t="s">
        <v>253</v>
      </c>
      <c r="B132" s="1">
        <v>41535</v>
      </c>
      <c r="C132" t="s">
        <v>5102</v>
      </c>
      <c r="D132">
        <v>1</v>
      </c>
      <c r="E132" t="s">
        <v>2731</v>
      </c>
      <c r="F132" s="11" t="s">
        <v>2854</v>
      </c>
      <c r="G132" s="11" t="s">
        <v>2731</v>
      </c>
      <c r="H132" s="3">
        <f t="shared" si="1"/>
        <v>684.5</v>
      </c>
      <c r="I132" s="3">
        <v>109.52</v>
      </c>
    </row>
    <row r="133" spans="1:11">
      <c r="A133" t="s">
        <v>4571</v>
      </c>
      <c r="B133" s="1">
        <v>41547</v>
      </c>
      <c r="C133" t="s">
        <v>5008</v>
      </c>
      <c r="D133">
        <v>1</v>
      </c>
      <c r="E133" t="s">
        <v>5009</v>
      </c>
      <c r="F133" s="28" t="s">
        <v>5170</v>
      </c>
      <c r="G133" s="28" t="s">
        <v>5171</v>
      </c>
      <c r="H133" s="47">
        <f t="shared" ref="H133:H143" si="2">I133/0.16</f>
        <v>543.125</v>
      </c>
      <c r="I133" s="47">
        <v>86.9</v>
      </c>
      <c r="J133" s="3"/>
      <c r="K133" s="3"/>
    </row>
    <row r="134" spans="1:11">
      <c r="A134" t="s">
        <v>4571</v>
      </c>
      <c r="B134" s="1">
        <v>41547</v>
      </c>
      <c r="C134" t="s">
        <v>5008</v>
      </c>
      <c r="D134">
        <v>1</v>
      </c>
      <c r="E134" t="s">
        <v>5009</v>
      </c>
      <c r="F134" s="11" t="s">
        <v>5172</v>
      </c>
      <c r="G134" s="11" t="s">
        <v>5173</v>
      </c>
      <c r="H134" s="85">
        <f t="shared" si="2"/>
        <v>211.1875</v>
      </c>
      <c r="I134" s="85">
        <v>33.79</v>
      </c>
    </row>
    <row r="135" spans="1:11">
      <c r="A135" t="s">
        <v>4571</v>
      </c>
      <c r="B135" s="1">
        <v>41547</v>
      </c>
      <c r="C135" t="s">
        <v>5008</v>
      </c>
      <c r="D135">
        <v>1</v>
      </c>
      <c r="E135" t="s">
        <v>5009</v>
      </c>
      <c r="F135" t="s">
        <v>946</v>
      </c>
      <c r="G135" t="s">
        <v>947</v>
      </c>
      <c r="H135" s="46">
        <f t="shared" si="2"/>
        <v>1082.875</v>
      </c>
      <c r="I135" s="46">
        <v>173.26</v>
      </c>
    </row>
    <row r="136" spans="1:11">
      <c r="A136" t="s">
        <v>4571</v>
      </c>
      <c r="B136" s="1">
        <v>41547</v>
      </c>
      <c r="C136" t="s">
        <v>5008</v>
      </c>
      <c r="D136">
        <v>1</v>
      </c>
      <c r="E136" t="s">
        <v>5009</v>
      </c>
      <c r="F136" s="28" t="s">
        <v>4730</v>
      </c>
      <c r="G136" s="28" t="s">
        <v>5174</v>
      </c>
      <c r="H136" s="47">
        <f t="shared" si="2"/>
        <v>537.1875</v>
      </c>
      <c r="I136" s="47">
        <v>85.95</v>
      </c>
    </row>
    <row r="137" spans="1:11">
      <c r="A137" t="s">
        <v>4571</v>
      </c>
      <c r="B137" s="1">
        <v>41547</v>
      </c>
      <c r="C137" t="s">
        <v>5008</v>
      </c>
      <c r="D137">
        <v>1</v>
      </c>
      <c r="E137" t="s">
        <v>5009</v>
      </c>
      <c r="F137" s="11" t="s">
        <v>5175</v>
      </c>
      <c r="G137" s="11" t="s">
        <v>5176</v>
      </c>
      <c r="H137" s="85">
        <f t="shared" si="2"/>
        <v>125</v>
      </c>
      <c r="I137" s="85">
        <v>20</v>
      </c>
    </row>
    <row r="138" spans="1:11">
      <c r="A138" t="s">
        <v>4571</v>
      </c>
      <c r="B138" s="1">
        <v>41547</v>
      </c>
      <c r="C138" t="s">
        <v>5008</v>
      </c>
      <c r="D138">
        <v>1</v>
      </c>
      <c r="E138" t="s">
        <v>5009</v>
      </c>
      <c r="F138" s="28" t="s">
        <v>1655</v>
      </c>
      <c r="G138" s="28" t="s">
        <v>3772</v>
      </c>
      <c r="H138" s="47">
        <f t="shared" si="2"/>
        <v>488.375</v>
      </c>
      <c r="I138" s="47">
        <v>78.14</v>
      </c>
      <c r="J138" s="14">
        <f>2987.75-H133-H134-H135-H136-H137-H138</f>
        <v>0</v>
      </c>
      <c r="K138" s="14">
        <f>478.04-I133-I134-I135-I136-I137-I138</f>
        <v>0</v>
      </c>
    </row>
    <row r="139" spans="1:11">
      <c r="A139" t="s">
        <v>4574</v>
      </c>
      <c r="B139" s="1">
        <v>41547</v>
      </c>
      <c r="C139" t="s">
        <v>5013</v>
      </c>
      <c r="D139">
        <v>1</v>
      </c>
      <c r="E139" t="s">
        <v>5014</v>
      </c>
      <c r="F139" s="28" t="s">
        <v>4730</v>
      </c>
      <c r="G139" s="28" t="s">
        <v>5174</v>
      </c>
      <c r="H139" s="47">
        <f t="shared" si="2"/>
        <v>703.25</v>
      </c>
      <c r="I139" s="47">
        <v>112.52</v>
      </c>
      <c r="J139" s="3"/>
      <c r="K139" s="3"/>
    </row>
    <row r="140" spans="1:11">
      <c r="A140" t="s">
        <v>4574</v>
      </c>
      <c r="B140" s="1">
        <v>41547</v>
      </c>
      <c r="C140" t="s">
        <v>5013</v>
      </c>
      <c r="D140">
        <v>1</v>
      </c>
      <c r="E140" t="s">
        <v>5014</v>
      </c>
      <c r="F140" s="28" t="s">
        <v>5177</v>
      </c>
      <c r="G140" s="28" t="s">
        <v>5178</v>
      </c>
      <c r="H140" s="47">
        <f t="shared" si="2"/>
        <v>371.9375</v>
      </c>
      <c r="I140" s="47">
        <v>59.51</v>
      </c>
    </row>
    <row r="141" spans="1:11">
      <c r="A141" t="s">
        <v>4574</v>
      </c>
      <c r="B141" s="1">
        <v>41547</v>
      </c>
      <c r="C141" t="s">
        <v>5013</v>
      </c>
      <c r="D141">
        <v>1</v>
      </c>
      <c r="E141" t="s">
        <v>5014</v>
      </c>
      <c r="F141" s="11" t="s">
        <v>5179</v>
      </c>
      <c r="G141" s="11" t="s">
        <v>5180</v>
      </c>
      <c r="H141" s="85">
        <f t="shared" si="2"/>
        <v>70</v>
      </c>
      <c r="I141" s="85">
        <v>11.2</v>
      </c>
    </row>
    <row r="142" spans="1:11">
      <c r="A142" t="s">
        <v>4574</v>
      </c>
      <c r="B142" s="1">
        <v>41547</v>
      </c>
      <c r="C142" t="s">
        <v>5013</v>
      </c>
      <c r="D142">
        <v>1</v>
      </c>
      <c r="E142" t="s">
        <v>5014</v>
      </c>
      <c r="F142" s="11" t="s">
        <v>5181</v>
      </c>
      <c r="G142" s="11" t="s">
        <v>5182</v>
      </c>
      <c r="H142" s="85">
        <f t="shared" si="2"/>
        <v>77.5625</v>
      </c>
      <c r="I142" s="85">
        <v>12.41</v>
      </c>
    </row>
    <row r="143" spans="1:11">
      <c r="A143" t="s">
        <v>4574</v>
      </c>
      <c r="B143" s="1">
        <v>41547</v>
      </c>
      <c r="C143" t="s">
        <v>5013</v>
      </c>
      <c r="D143">
        <v>1</v>
      </c>
      <c r="E143" t="s">
        <v>5014</v>
      </c>
      <c r="F143" s="33" t="s">
        <v>946</v>
      </c>
      <c r="G143" s="33" t="s">
        <v>947</v>
      </c>
      <c r="H143" s="46">
        <f t="shared" si="2"/>
        <v>954.37499999999989</v>
      </c>
      <c r="I143" s="46">
        <v>152.69999999999999</v>
      </c>
      <c r="J143" s="14">
        <f>2177.13-H139-H140-H141-H142-H143</f>
        <v>5.0000000002228262E-3</v>
      </c>
      <c r="K143" s="14">
        <f>348.34-I139-I140-I141-I142-I143</f>
        <v>0</v>
      </c>
    </row>
    <row r="144" spans="1:11">
      <c r="A144" t="s">
        <v>4577</v>
      </c>
      <c r="B144" s="1">
        <v>41547</v>
      </c>
      <c r="C144" t="s">
        <v>5015</v>
      </c>
      <c r="D144">
        <v>1</v>
      </c>
      <c r="E144" t="s">
        <v>5016</v>
      </c>
      <c r="F144" s="33" t="s">
        <v>946</v>
      </c>
      <c r="G144" s="33" t="s">
        <v>947</v>
      </c>
      <c r="H144" s="3">
        <f t="shared" si="1"/>
        <v>56.0625</v>
      </c>
      <c r="I144" s="3">
        <v>8.9700000000000006</v>
      </c>
    </row>
    <row r="145" spans="1:12">
      <c r="A145" t="s">
        <v>2774</v>
      </c>
      <c r="B145" s="1">
        <v>41536</v>
      </c>
      <c r="C145" t="s">
        <v>5106</v>
      </c>
      <c r="D145">
        <v>1</v>
      </c>
      <c r="E145" t="s">
        <v>2724</v>
      </c>
      <c r="F145" s="11" t="s">
        <v>2855</v>
      </c>
      <c r="G145" s="11" t="s">
        <v>2724</v>
      </c>
      <c r="H145" s="3">
        <f t="shared" ref="H145:H208" si="3">+I145/0.16</f>
        <v>3500</v>
      </c>
      <c r="I145" s="3">
        <v>560</v>
      </c>
    </row>
    <row r="146" spans="1:12">
      <c r="A146" t="s">
        <v>556</v>
      </c>
      <c r="B146" s="1">
        <v>41547</v>
      </c>
      <c r="C146">
        <v>9093</v>
      </c>
      <c r="D146">
        <v>1</v>
      </c>
      <c r="E146" t="s">
        <v>4993</v>
      </c>
      <c r="F146" s="11" t="s">
        <v>5183</v>
      </c>
      <c r="G146" s="11" t="s">
        <v>4993</v>
      </c>
      <c r="H146" s="3">
        <f t="shared" si="3"/>
        <v>38</v>
      </c>
      <c r="I146" s="3">
        <v>6.08</v>
      </c>
    </row>
    <row r="147" spans="1:12">
      <c r="A147" t="s">
        <v>128</v>
      </c>
      <c r="B147" s="1">
        <v>41528</v>
      </c>
      <c r="C147" t="s">
        <v>5073</v>
      </c>
      <c r="D147">
        <v>2</v>
      </c>
      <c r="E147" t="s">
        <v>207</v>
      </c>
      <c r="F147" s="11" t="s">
        <v>806</v>
      </c>
      <c r="G147" s="11" t="s">
        <v>207</v>
      </c>
      <c r="H147" s="3">
        <f t="shared" si="3"/>
        <v>1764</v>
      </c>
      <c r="I147" s="3">
        <v>282.24</v>
      </c>
    </row>
    <row r="148" spans="1:12">
      <c r="A148" t="s">
        <v>5088</v>
      </c>
      <c r="B148" s="1">
        <v>41530</v>
      </c>
      <c r="C148" t="s">
        <v>5089</v>
      </c>
      <c r="D148">
        <v>2</v>
      </c>
      <c r="E148" t="s">
        <v>207</v>
      </c>
      <c r="F148" s="11" t="s">
        <v>806</v>
      </c>
      <c r="G148" s="11" t="s">
        <v>207</v>
      </c>
      <c r="H148" s="3">
        <f t="shared" si="3"/>
        <v>1921.5</v>
      </c>
      <c r="I148" s="3">
        <v>307.44</v>
      </c>
      <c r="J148" s="14" t="e">
        <f>+H148-#REF!</f>
        <v>#REF!</v>
      </c>
      <c r="K148" s="14" t="e">
        <f>+I148-#REF!</f>
        <v>#REF!</v>
      </c>
      <c r="L148" t="s">
        <v>900</v>
      </c>
    </row>
    <row r="149" spans="1:12">
      <c r="A149" t="s">
        <v>1134</v>
      </c>
      <c r="B149" s="1">
        <v>41530</v>
      </c>
      <c r="C149" t="s">
        <v>5090</v>
      </c>
      <c r="D149">
        <v>1</v>
      </c>
      <c r="E149" t="s">
        <v>207</v>
      </c>
      <c r="F149" s="11" t="s">
        <v>806</v>
      </c>
      <c r="G149" s="11" t="s">
        <v>207</v>
      </c>
      <c r="H149" s="3">
        <f t="shared" si="3"/>
        <v>258.625</v>
      </c>
      <c r="I149" s="3">
        <v>41.38</v>
      </c>
    </row>
    <row r="150" spans="1:12">
      <c r="A150" t="s">
        <v>324</v>
      </c>
      <c r="B150" s="1">
        <v>41542</v>
      </c>
      <c r="C150" t="s">
        <v>5125</v>
      </c>
      <c r="D150">
        <v>2</v>
      </c>
      <c r="E150" t="s">
        <v>207</v>
      </c>
      <c r="F150" s="11" t="s">
        <v>806</v>
      </c>
      <c r="G150" s="11" t="s">
        <v>207</v>
      </c>
      <c r="H150" s="3">
        <f t="shared" si="3"/>
        <v>1680</v>
      </c>
      <c r="I150" s="3">
        <v>268.8</v>
      </c>
    </row>
    <row r="151" spans="1:12">
      <c r="A151" t="s">
        <v>515</v>
      </c>
      <c r="B151" s="1">
        <v>41547</v>
      </c>
      <c r="C151">
        <v>9077</v>
      </c>
      <c r="D151">
        <v>1</v>
      </c>
      <c r="E151" t="s">
        <v>4991</v>
      </c>
      <c r="F151" s="11" t="s">
        <v>5184</v>
      </c>
      <c r="G151" s="11" t="s">
        <v>4991</v>
      </c>
      <c r="H151" s="3">
        <f t="shared" si="3"/>
        <v>215.49999999999997</v>
      </c>
      <c r="I151" s="3">
        <v>34.479999999999997</v>
      </c>
    </row>
    <row r="152" spans="1:12">
      <c r="A152" t="s">
        <v>4903</v>
      </c>
      <c r="B152" s="1">
        <v>41544</v>
      </c>
      <c r="C152" t="s">
        <v>4904</v>
      </c>
      <c r="D152">
        <v>1</v>
      </c>
      <c r="E152" t="s">
        <v>4905</v>
      </c>
      <c r="F152" s="11" t="s">
        <v>811</v>
      </c>
      <c r="G152" s="11" t="s">
        <v>5185</v>
      </c>
      <c r="H152" s="3">
        <f t="shared" si="3"/>
        <v>58.999999999999993</v>
      </c>
      <c r="I152" s="3">
        <v>9.44</v>
      </c>
    </row>
    <row r="153" spans="1:12">
      <c r="A153" t="s">
        <v>547</v>
      </c>
      <c r="B153" s="1">
        <v>41547</v>
      </c>
      <c r="C153">
        <v>9089</v>
      </c>
      <c r="D153">
        <v>1</v>
      </c>
      <c r="E153" t="s">
        <v>2064</v>
      </c>
      <c r="F153" s="11" t="s">
        <v>2290</v>
      </c>
      <c r="G153" s="11" t="s">
        <v>2064</v>
      </c>
      <c r="H153" s="3">
        <f t="shared" si="3"/>
        <v>425</v>
      </c>
      <c r="I153" s="3">
        <v>68</v>
      </c>
    </row>
    <row r="154" spans="1:12">
      <c r="A154" t="s">
        <v>2811</v>
      </c>
      <c r="B154" s="1">
        <v>41545</v>
      </c>
      <c r="C154" t="s">
        <v>5142</v>
      </c>
      <c r="D154">
        <v>1</v>
      </c>
      <c r="E154" t="s">
        <v>2827</v>
      </c>
      <c r="F154" s="11" t="s">
        <v>2856</v>
      </c>
      <c r="G154" s="11" t="s">
        <v>2827</v>
      </c>
      <c r="H154" s="3">
        <f t="shared" si="3"/>
        <v>2680</v>
      </c>
      <c r="I154" s="3">
        <v>428.8</v>
      </c>
    </row>
    <row r="155" spans="1:12">
      <c r="A155" t="s">
        <v>368</v>
      </c>
      <c r="B155" s="1">
        <v>41545</v>
      </c>
      <c r="C155" t="s">
        <v>5143</v>
      </c>
      <c r="D155">
        <v>1</v>
      </c>
      <c r="E155" t="s">
        <v>2827</v>
      </c>
      <c r="F155" s="11" t="s">
        <v>2856</v>
      </c>
      <c r="G155" s="11" t="s">
        <v>2827</v>
      </c>
      <c r="H155" s="3">
        <f t="shared" si="3"/>
        <v>2950</v>
      </c>
      <c r="I155" s="3">
        <v>472</v>
      </c>
    </row>
    <row r="156" spans="1:12">
      <c r="A156" t="s">
        <v>41</v>
      </c>
      <c r="B156" s="1">
        <v>41524</v>
      </c>
      <c r="C156" t="s">
        <v>4803</v>
      </c>
      <c r="D156">
        <v>1</v>
      </c>
      <c r="E156" t="s">
        <v>4804</v>
      </c>
      <c r="F156" s="114" t="s">
        <v>814</v>
      </c>
      <c r="G156" s="11" t="s">
        <v>815</v>
      </c>
      <c r="H156" s="3">
        <f t="shared" si="3"/>
        <v>314431.625</v>
      </c>
      <c r="I156" s="3">
        <v>50309.06</v>
      </c>
    </row>
    <row r="157" spans="1:12">
      <c r="A157" t="s">
        <v>4868</v>
      </c>
      <c r="B157" s="1">
        <v>41541</v>
      </c>
      <c r="C157" t="s">
        <v>4869</v>
      </c>
      <c r="D157">
        <v>1</v>
      </c>
      <c r="E157" t="s">
        <v>3072</v>
      </c>
      <c r="F157" s="114" t="s">
        <v>814</v>
      </c>
      <c r="G157" s="11" t="s">
        <v>815</v>
      </c>
      <c r="H157" s="3">
        <f t="shared" si="3"/>
        <v>259913.6875</v>
      </c>
      <c r="I157" s="3">
        <v>41586.19</v>
      </c>
    </row>
    <row r="158" spans="1:12">
      <c r="A158" t="s">
        <v>4719</v>
      </c>
      <c r="B158" s="1">
        <v>41547</v>
      </c>
      <c r="C158" t="s">
        <v>5039</v>
      </c>
      <c r="D158">
        <v>1</v>
      </c>
      <c r="E158" t="s">
        <v>5040</v>
      </c>
      <c r="F158" s="10" t="s">
        <v>921</v>
      </c>
      <c r="G158" s="11" t="s">
        <v>922</v>
      </c>
      <c r="H158" s="3">
        <f t="shared" si="3"/>
        <v>8968.9375</v>
      </c>
      <c r="I158" s="3">
        <v>1435.03</v>
      </c>
    </row>
    <row r="159" spans="1:12">
      <c r="A159" t="s">
        <v>3317</v>
      </c>
      <c r="B159" s="1">
        <v>41547</v>
      </c>
      <c r="C159" t="s">
        <v>5152</v>
      </c>
      <c r="D159">
        <v>1</v>
      </c>
      <c r="E159" t="s">
        <v>5153</v>
      </c>
      <c r="F159" s="109" t="s">
        <v>823</v>
      </c>
      <c r="G159" s="112" t="s">
        <v>824</v>
      </c>
      <c r="H159" s="3">
        <f t="shared" si="3"/>
        <v>56.000000000000007</v>
      </c>
      <c r="I159" s="3">
        <v>8.9600000000000009</v>
      </c>
    </row>
    <row r="160" spans="1:12">
      <c r="A160" t="s">
        <v>2569</v>
      </c>
      <c r="B160" s="1">
        <v>41547</v>
      </c>
      <c r="C160" t="s">
        <v>433</v>
      </c>
      <c r="D160">
        <v>1</v>
      </c>
      <c r="E160" t="s">
        <v>4952</v>
      </c>
      <c r="F160" s="109" t="s">
        <v>950</v>
      </c>
      <c r="G160" s="112" t="s">
        <v>951</v>
      </c>
      <c r="H160" s="3">
        <f t="shared" si="3"/>
        <v>12305.875</v>
      </c>
      <c r="I160" s="3">
        <v>1968.94</v>
      </c>
    </row>
    <row r="161" spans="1:12">
      <c r="A161" t="s">
        <v>2202</v>
      </c>
      <c r="B161" s="1">
        <v>41537</v>
      </c>
      <c r="C161" t="s">
        <v>5119</v>
      </c>
      <c r="D161">
        <v>2</v>
      </c>
      <c r="E161" t="s">
        <v>4689</v>
      </c>
      <c r="F161" s="11" t="s">
        <v>1594</v>
      </c>
      <c r="G161" s="11" t="s">
        <v>4739</v>
      </c>
      <c r="H161" s="3">
        <f t="shared" si="3"/>
        <v>4983.125</v>
      </c>
      <c r="I161" s="3">
        <v>797.3</v>
      </c>
    </row>
    <row r="162" spans="1:12">
      <c r="A162" t="s">
        <v>4889</v>
      </c>
      <c r="B162" s="1">
        <v>41518</v>
      </c>
      <c r="C162" t="s">
        <v>4890</v>
      </c>
      <c r="D162">
        <v>1</v>
      </c>
      <c r="E162" t="s">
        <v>5</v>
      </c>
      <c r="F162" s="18" t="s">
        <v>816</v>
      </c>
      <c r="G162" s="19" t="s">
        <v>817</v>
      </c>
      <c r="H162" s="3">
        <f t="shared" si="3"/>
        <v>107142.875</v>
      </c>
      <c r="I162" s="3">
        <v>17142.86</v>
      </c>
    </row>
    <row r="163" spans="1:12">
      <c r="A163" t="s">
        <v>4887</v>
      </c>
      <c r="B163" s="1">
        <v>41518</v>
      </c>
      <c r="C163" t="s">
        <v>4888</v>
      </c>
      <c r="D163">
        <v>1</v>
      </c>
      <c r="E163" t="s">
        <v>2</v>
      </c>
      <c r="F163" s="18" t="s">
        <v>843</v>
      </c>
      <c r="G163" s="19" t="s">
        <v>844</v>
      </c>
      <c r="H163" s="3">
        <f t="shared" si="3"/>
        <v>107142.875</v>
      </c>
      <c r="I163" s="3">
        <v>17142.86</v>
      </c>
    </row>
    <row r="164" spans="1:12">
      <c r="A164" t="s">
        <v>2983</v>
      </c>
      <c r="B164" s="1">
        <v>41534</v>
      </c>
      <c r="C164" t="s">
        <v>4823</v>
      </c>
      <c r="D164">
        <v>1</v>
      </c>
      <c r="E164" t="s">
        <v>57</v>
      </c>
      <c r="F164" s="10" t="s">
        <v>921</v>
      </c>
      <c r="G164" s="11" t="s">
        <v>922</v>
      </c>
      <c r="H164" s="3">
        <f t="shared" si="3"/>
        <v>19095.4375</v>
      </c>
      <c r="I164" s="3">
        <v>3055.27</v>
      </c>
    </row>
    <row r="165" spans="1:12">
      <c r="A165" t="s">
        <v>453</v>
      </c>
      <c r="B165" s="1">
        <v>41547</v>
      </c>
      <c r="C165" t="s">
        <v>4943</v>
      </c>
      <c r="D165">
        <v>1</v>
      </c>
      <c r="E165" t="s">
        <v>57</v>
      </c>
      <c r="F165" s="10" t="s">
        <v>921</v>
      </c>
      <c r="G165" s="11" t="s">
        <v>922</v>
      </c>
      <c r="H165" s="3">
        <f t="shared" si="3"/>
        <v>3571.125</v>
      </c>
      <c r="I165" s="3">
        <v>571.38</v>
      </c>
    </row>
    <row r="166" spans="1:12">
      <c r="A166" t="s">
        <v>1660</v>
      </c>
      <c r="B166" s="1">
        <v>41547</v>
      </c>
      <c r="C166" t="s">
        <v>4944</v>
      </c>
      <c r="D166">
        <v>1</v>
      </c>
      <c r="E166" t="s">
        <v>57</v>
      </c>
      <c r="F166" s="10" t="s">
        <v>921</v>
      </c>
      <c r="G166" s="11" t="s">
        <v>922</v>
      </c>
      <c r="H166" s="3">
        <f t="shared" si="3"/>
        <v>1587.625</v>
      </c>
      <c r="I166" s="3">
        <v>254.02</v>
      </c>
    </row>
    <row r="167" spans="1:12">
      <c r="A167" t="s">
        <v>1538</v>
      </c>
      <c r="B167" s="1">
        <v>41547</v>
      </c>
      <c r="C167" t="s">
        <v>4849</v>
      </c>
      <c r="D167">
        <v>1</v>
      </c>
      <c r="E167" t="s">
        <v>57</v>
      </c>
      <c r="F167" s="10" t="s">
        <v>921</v>
      </c>
      <c r="G167" s="11" t="s">
        <v>922</v>
      </c>
      <c r="H167" s="3">
        <f t="shared" si="3"/>
        <v>31166.1875</v>
      </c>
      <c r="I167" s="3">
        <v>4986.59</v>
      </c>
    </row>
    <row r="168" spans="1:12">
      <c r="A168" t="s">
        <v>113</v>
      </c>
      <c r="B168" s="1">
        <v>41528</v>
      </c>
      <c r="C168" t="s">
        <v>5068</v>
      </c>
      <c r="D168">
        <v>1</v>
      </c>
      <c r="E168" t="s">
        <v>1065</v>
      </c>
      <c r="F168" s="28" t="s">
        <v>943</v>
      </c>
      <c r="G168" s="28" t="s">
        <v>1065</v>
      </c>
      <c r="H168" s="3">
        <f t="shared" si="3"/>
        <v>186.25</v>
      </c>
      <c r="I168" s="3">
        <v>29.8</v>
      </c>
      <c r="J168" s="14" t="e">
        <f>+H168-#REF!</f>
        <v>#REF!</v>
      </c>
      <c r="K168" s="14" t="e">
        <f>+I168-#REF!</f>
        <v>#REF!</v>
      </c>
      <c r="L168" t="s">
        <v>900</v>
      </c>
    </row>
    <row r="169" spans="1:12">
      <c r="A169" t="s">
        <v>2231</v>
      </c>
      <c r="B169" s="1">
        <v>41542</v>
      </c>
      <c r="C169" t="s">
        <v>5132</v>
      </c>
      <c r="D169">
        <v>1</v>
      </c>
      <c r="E169" t="s">
        <v>1065</v>
      </c>
      <c r="F169" s="28" t="s">
        <v>943</v>
      </c>
      <c r="G169" s="28" t="s">
        <v>5186</v>
      </c>
      <c r="H169" s="3">
        <f t="shared" si="3"/>
        <v>1188.4375</v>
      </c>
      <c r="I169" s="3">
        <v>190.15</v>
      </c>
      <c r="J169" s="14" t="e">
        <f>+H169-#REF!</f>
        <v>#REF!</v>
      </c>
      <c r="K169" s="14" t="e">
        <f>+I169-#REF!</f>
        <v>#REF!</v>
      </c>
      <c r="L169" t="s">
        <v>900</v>
      </c>
    </row>
    <row r="170" spans="1:12">
      <c r="A170" t="s">
        <v>116</v>
      </c>
      <c r="B170" s="1">
        <v>41528</v>
      </c>
      <c r="C170" t="s">
        <v>5069</v>
      </c>
      <c r="D170">
        <v>1</v>
      </c>
      <c r="E170" t="s">
        <v>83</v>
      </c>
      <c r="F170" s="28" t="s">
        <v>877</v>
      </c>
      <c r="G170" s="28" t="s">
        <v>223</v>
      </c>
      <c r="H170" s="3">
        <f t="shared" si="3"/>
        <v>15524.437499999998</v>
      </c>
      <c r="I170" s="3">
        <v>2483.91</v>
      </c>
    </row>
    <row r="171" spans="1:12">
      <c r="A171" t="s">
        <v>172</v>
      </c>
      <c r="B171" s="1">
        <v>41530</v>
      </c>
      <c r="C171" t="s">
        <v>5080</v>
      </c>
      <c r="D171">
        <v>1</v>
      </c>
      <c r="E171" t="s">
        <v>83</v>
      </c>
      <c r="F171" s="28" t="s">
        <v>877</v>
      </c>
      <c r="G171" s="28" t="s">
        <v>223</v>
      </c>
      <c r="H171" s="3">
        <f t="shared" si="3"/>
        <v>14441.499999999998</v>
      </c>
      <c r="I171" s="3">
        <v>2310.64</v>
      </c>
    </row>
    <row r="172" spans="1:12">
      <c r="A172" t="s">
        <v>2779</v>
      </c>
      <c r="B172" s="1">
        <v>41536</v>
      </c>
      <c r="C172" t="s">
        <v>5110</v>
      </c>
      <c r="D172">
        <v>1</v>
      </c>
      <c r="E172" t="s">
        <v>83</v>
      </c>
      <c r="F172" s="28" t="s">
        <v>877</v>
      </c>
      <c r="G172" s="28" t="s">
        <v>223</v>
      </c>
      <c r="H172" s="3">
        <f t="shared" si="3"/>
        <v>13136.5625</v>
      </c>
      <c r="I172" s="3">
        <v>2101.85</v>
      </c>
    </row>
    <row r="173" spans="1:12">
      <c r="A173" t="s">
        <v>3294</v>
      </c>
      <c r="B173" s="1">
        <v>41542</v>
      </c>
      <c r="C173" t="s">
        <v>5137</v>
      </c>
      <c r="D173">
        <v>1</v>
      </c>
      <c r="E173" t="s">
        <v>83</v>
      </c>
      <c r="F173" s="28" t="s">
        <v>877</v>
      </c>
      <c r="G173" s="28" t="s">
        <v>223</v>
      </c>
      <c r="H173" s="3">
        <f t="shared" si="3"/>
        <v>22237.625</v>
      </c>
      <c r="I173" s="3">
        <v>3558.02</v>
      </c>
    </row>
    <row r="174" spans="1:12">
      <c r="A174" t="s">
        <v>4594</v>
      </c>
      <c r="B174" s="1">
        <v>41547</v>
      </c>
      <c r="C174" t="s">
        <v>436</v>
      </c>
      <c r="D174">
        <v>1</v>
      </c>
      <c r="E174" t="s">
        <v>5038</v>
      </c>
      <c r="F174" s="109" t="s">
        <v>5187</v>
      </c>
      <c r="G174" s="112" t="s">
        <v>5188</v>
      </c>
      <c r="H174" s="3">
        <f t="shared" si="3"/>
        <v>252.06249999999997</v>
      </c>
      <c r="I174" s="3">
        <v>40.33</v>
      </c>
    </row>
    <row r="175" spans="1:12">
      <c r="A175" t="s">
        <v>4988</v>
      </c>
      <c r="B175" s="1">
        <v>41547</v>
      </c>
      <c r="C175">
        <v>9063</v>
      </c>
      <c r="D175">
        <v>1</v>
      </c>
      <c r="E175" t="s">
        <v>1449</v>
      </c>
      <c r="F175" s="11" t="s">
        <v>1615</v>
      </c>
      <c r="G175" s="11" t="s">
        <v>1449</v>
      </c>
      <c r="H175" s="3">
        <f t="shared" si="3"/>
        <v>67.5</v>
      </c>
      <c r="I175" s="3">
        <v>10.8</v>
      </c>
    </row>
    <row r="176" spans="1:12">
      <c r="A176" t="s">
        <v>4711</v>
      </c>
      <c r="B176" s="1">
        <v>41547</v>
      </c>
      <c r="C176">
        <v>9085</v>
      </c>
      <c r="D176">
        <v>1</v>
      </c>
      <c r="E176" t="s">
        <v>1449</v>
      </c>
      <c r="F176" s="11" t="s">
        <v>1615</v>
      </c>
      <c r="G176" s="11" t="s">
        <v>1449</v>
      </c>
      <c r="H176" s="3">
        <f t="shared" si="3"/>
        <v>133.125</v>
      </c>
      <c r="I176" s="3">
        <v>21.3</v>
      </c>
    </row>
    <row r="177" spans="1:9">
      <c r="A177" t="s">
        <v>2485</v>
      </c>
      <c r="B177" s="1">
        <v>41544</v>
      </c>
      <c r="C177">
        <v>8986</v>
      </c>
      <c r="D177">
        <v>1</v>
      </c>
      <c r="E177" t="s">
        <v>4902</v>
      </c>
      <c r="F177" s="11" t="s">
        <v>5189</v>
      </c>
      <c r="G177" s="11" t="s">
        <v>4902</v>
      </c>
      <c r="H177" s="3">
        <f t="shared" si="3"/>
        <v>139.6875</v>
      </c>
      <c r="I177" s="3">
        <v>22.35</v>
      </c>
    </row>
    <row r="178" spans="1:9">
      <c r="A178" t="s">
        <v>2254</v>
      </c>
      <c r="B178" s="1">
        <v>41547</v>
      </c>
      <c r="C178" t="s">
        <v>5148</v>
      </c>
      <c r="D178">
        <v>1</v>
      </c>
      <c r="E178" t="s">
        <v>5149</v>
      </c>
      <c r="F178" s="11" t="s">
        <v>5190</v>
      </c>
      <c r="G178" s="11" t="s">
        <v>5149</v>
      </c>
      <c r="H178" s="3">
        <f t="shared" si="3"/>
        <v>8025</v>
      </c>
      <c r="I178" s="3">
        <v>1284</v>
      </c>
    </row>
    <row r="179" spans="1:9">
      <c r="A179" t="s">
        <v>32</v>
      </c>
      <c r="B179" s="1">
        <v>41522</v>
      </c>
      <c r="C179" t="s">
        <v>5050</v>
      </c>
      <c r="D179">
        <v>1</v>
      </c>
      <c r="E179" t="s">
        <v>2830</v>
      </c>
      <c r="F179" s="11" t="s">
        <v>2858</v>
      </c>
      <c r="G179" s="11" t="s">
        <v>2830</v>
      </c>
      <c r="H179" s="3">
        <f t="shared" si="3"/>
        <v>7175.8125000000009</v>
      </c>
      <c r="I179" s="3">
        <v>1148.1300000000001</v>
      </c>
    </row>
    <row r="180" spans="1:9">
      <c r="A180" t="s">
        <v>4987</v>
      </c>
      <c r="B180" s="1">
        <v>41547</v>
      </c>
      <c r="C180">
        <v>9060</v>
      </c>
      <c r="D180">
        <v>1</v>
      </c>
      <c r="E180" t="s">
        <v>584</v>
      </c>
      <c r="F180" s="11" t="s">
        <v>818</v>
      </c>
      <c r="G180" s="11" t="s">
        <v>584</v>
      </c>
      <c r="H180" s="3">
        <f t="shared" si="3"/>
        <v>111.375</v>
      </c>
      <c r="I180" s="3">
        <v>17.82</v>
      </c>
    </row>
    <row r="181" spans="1:9">
      <c r="A181" t="s">
        <v>524</v>
      </c>
      <c r="B181" s="1">
        <v>41547</v>
      </c>
      <c r="C181">
        <v>9080</v>
      </c>
      <c r="D181">
        <v>1</v>
      </c>
      <c r="E181" t="s">
        <v>584</v>
      </c>
      <c r="F181" s="11" t="s">
        <v>818</v>
      </c>
      <c r="G181" s="11" t="s">
        <v>584</v>
      </c>
      <c r="H181" s="3">
        <f t="shared" si="3"/>
        <v>276</v>
      </c>
      <c r="I181" s="3">
        <v>44.16</v>
      </c>
    </row>
    <row r="182" spans="1:9">
      <c r="A182" t="s">
        <v>4010</v>
      </c>
      <c r="B182" s="1">
        <v>41547</v>
      </c>
      <c r="C182" t="s">
        <v>5027</v>
      </c>
      <c r="D182">
        <v>1</v>
      </c>
      <c r="E182" t="s">
        <v>1461</v>
      </c>
      <c r="F182" s="11" t="s">
        <v>1617</v>
      </c>
      <c r="G182" s="11" t="s">
        <v>1461</v>
      </c>
      <c r="H182" s="3">
        <f t="shared" si="3"/>
        <v>430.99999999999994</v>
      </c>
      <c r="I182" s="3">
        <v>68.959999999999994</v>
      </c>
    </row>
    <row r="183" spans="1:9">
      <c r="A183" t="s">
        <v>641</v>
      </c>
      <c r="B183" s="1">
        <v>41547</v>
      </c>
      <c r="C183" t="s">
        <v>5031</v>
      </c>
      <c r="D183">
        <v>1</v>
      </c>
      <c r="E183" t="s">
        <v>5032</v>
      </c>
      <c r="F183" s="109" t="s">
        <v>830</v>
      </c>
      <c r="G183" s="112" t="s">
        <v>831</v>
      </c>
      <c r="H183" s="3">
        <f t="shared" si="3"/>
        <v>336</v>
      </c>
      <c r="I183" s="3">
        <v>53.76</v>
      </c>
    </row>
    <row r="184" spans="1:9">
      <c r="A184" t="s">
        <v>2192</v>
      </c>
      <c r="B184" s="1">
        <v>41536</v>
      </c>
      <c r="C184" t="s">
        <v>5107</v>
      </c>
      <c r="D184">
        <v>1</v>
      </c>
      <c r="E184" t="s">
        <v>2157</v>
      </c>
      <c r="F184" s="11" t="s">
        <v>2305</v>
      </c>
      <c r="G184" s="11" t="s">
        <v>2157</v>
      </c>
      <c r="H184" s="3">
        <f t="shared" si="3"/>
        <v>1720</v>
      </c>
      <c r="I184" s="3">
        <v>275.2</v>
      </c>
    </row>
    <row r="185" spans="1:9">
      <c r="A185" t="s">
        <v>110</v>
      </c>
      <c r="B185" s="1">
        <v>41528</v>
      </c>
      <c r="C185" t="s">
        <v>5067</v>
      </c>
      <c r="D185">
        <v>1</v>
      </c>
      <c r="E185" t="s">
        <v>229</v>
      </c>
      <c r="F185" s="11" t="s">
        <v>839</v>
      </c>
      <c r="G185" s="11" t="s">
        <v>229</v>
      </c>
      <c r="H185" s="3">
        <f t="shared" si="3"/>
        <v>3960</v>
      </c>
      <c r="I185" s="3">
        <v>633.6</v>
      </c>
    </row>
    <row r="186" spans="1:9">
      <c r="A186" t="s">
        <v>331</v>
      </c>
      <c r="B186" s="1">
        <v>41542</v>
      </c>
      <c r="C186" t="s">
        <v>5128</v>
      </c>
      <c r="D186">
        <v>1</v>
      </c>
      <c r="E186" t="s">
        <v>229</v>
      </c>
      <c r="F186" s="11" t="s">
        <v>839</v>
      </c>
      <c r="G186" s="11" t="s">
        <v>229</v>
      </c>
      <c r="H186" s="3">
        <f t="shared" si="3"/>
        <v>2055</v>
      </c>
      <c r="I186" s="3">
        <v>328.8</v>
      </c>
    </row>
    <row r="187" spans="1:9">
      <c r="A187" t="s">
        <v>1006</v>
      </c>
      <c r="B187" s="1">
        <v>41521</v>
      </c>
      <c r="C187" t="s">
        <v>5048</v>
      </c>
      <c r="D187">
        <v>1</v>
      </c>
      <c r="E187" t="s">
        <v>1186</v>
      </c>
      <c r="F187" s="11" t="s">
        <v>1620</v>
      </c>
      <c r="G187" s="11" t="s">
        <v>1186</v>
      </c>
      <c r="H187" s="3">
        <f t="shared" si="3"/>
        <v>239.6875</v>
      </c>
      <c r="I187" s="3">
        <v>38.35</v>
      </c>
    </row>
    <row r="188" spans="1:9">
      <c r="A188" t="s">
        <v>1000</v>
      </c>
      <c r="B188" s="1">
        <v>41521</v>
      </c>
      <c r="C188" t="s">
        <v>5047</v>
      </c>
      <c r="D188">
        <v>2</v>
      </c>
      <c r="E188" t="s">
        <v>127</v>
      </c>
      <c r="F188" s="11" t="s">
        <v>849</v>
      </c>
      <c r="G188" s="11" t="s">
        <v>127</v>
      </c>
      <c r="H188" s="3">
        <f t="shared" si="3"/>
        <v>4200</v>
      </c>
      <c r="I188" s="3">
        <v>672</v>
      </c>
    </row>
    <row r="189" spans="1:9">
      <c r="A189" t="s">
        <v>161</v>
      </c>
      <c r="B189" s="1">
        <v>41530</v>
      </c>
      <c r="C189" t="s">
        <v>5077</v>
      </c>
      <c r="D189">
        <v>1</v>
      </c>
      <c r="E189" t="s">
        <v>86</v>
      </c>
      <c r="F189" s="11" t="s">
        <v>851</v>
      </c>
      <c r="G189" s="11" t="s">
        <v>86</v>
      </c>
      <c r="H189" s="3">
        <f t="shared" si="3"/>
        <v>464.5625</v>
      </c>
      <c r="I189" s="3">
        <v>74.33</v>
      </c>
    </row>
    <row r="190" spans="1:9">
      <c r="A190" t="s">
        <v>279</v>
      </c>
      <c r="B190" s="1">
        <v>41536</v>
      </c>
      <c r="C190" t="s">
        <v>5109</v>
      </c>
      <c r="D190">
        <v>1</v>
      </c>
      <c r="E190" t="s">
        <v>86</v>
      </c>
      <c r="F190" s="11" t="s">
        <v>851</v>
      </c>
      <c r="G190" s="11" t="s">
        <v>86</v>
      </c>
      <c r="H190" s="3">
        <f t="shared" si="3"/>
        <v>128.4375</v>
      </c>
      <c r="I190" s="3">
        <v>20.55</v>
      </c>
    </row>
    <row r="191" spans="1:9">
      <c r="A191" t="s">
        <v>3500</v>
      </c>
      <c r="B191" s="1">
        <v>41544</v>
      </c>
      <c r="C191">
        <v>8978</v>
      </c>
      <c r="D191">
        <v>1</v>
      </c>
      <c r="E191" t="s">
        <v>4895</v>
      </c>
      <c r="F191" s="11" t="s">
        <v>931</v>
      </c>
      <c r="G191" s="11" t="s">
        <v>4895</v>
      </c>
      <c r="H191" s="3">
        <f t="shared" si="3"/>
        <v>643.125</v>
      </c>
      <c r="I191" s="3">
        <v>102.9</v>
      </c>
    </row>
    <row r="192" spans="1:9">
      <c r="A192" t="s">
        <v>1987</v>
      </c>
      <c r="B192" s="1">
        <v>41547</v>
      </c>
      <c r="C192" t="s">
        <v>4934</v>
      </c>
      <c r="D192">
        <v>1</v>
      </c>
      <c r="E192" t="s">
        <v>1893</v>
      </c>
      <c r="F192" s="110" t="s">
        <v>856</v>
      </c>
      <c r="G192" s="11" t="s">
        <v>857</v>
      </c>
      <c r="H192" s="3">
        <f t="shared" si="3"/>
        <v>184455</v>
      </c>
      <c r="I192" s="3">
        <v>29512.799999999999</v>
      </c>
    </row>
    <row r="193" spans="1:12">
      <c r="A193" t="s">
        <v>4840</v>
      </c>
      <c r="B193" s="1">
        <v>41536</v>
      </c>
      <c r="C193" t="s">
        <v>4841</v>
      </c>
      <c r="D193">
        <v>1</v>
      </c>
      <c r="E193" t="s">
        <v>4842</v>
      </c>
      <c r="F193" s="110" t="s">
        <v>856</v>
      </c>
      <c r="G193" s="11" t="s">
        <v>857</v>
      </c>
      <c r="H193" s="3">
        <f t="shared" si="3"/>
        <v>191130.625</v>
      </c>
      <c r="I193" s="3">
        <v>30580.9</v>
      </c>
    </row>
    <row r="194" spans="1:12">
      <c r="A194" t="s">
        <v>4828</v>
      </c>
      <c r="B194" s="1">
        <v>41535</v>
      </c>
      <c r="C194" t="s">
        <v>4829</v>
      </c>
      <c r="D194">
        <v>1</v>
      </c>
      <c r="E194" t="s">
        <v>4830</v>
      </c>
      <c r="F194" s="110" t="s">
        <v>856</v>
      </c>
      <c r="G194" s="11" t="s">
        <v>857</v>
      </c>
      <c r="H194" s="3">
        <f t="shared" si="3"/>
        <v>176668.5625</v>
      </c>
      <c r="I194" s="3">
        <v>28266.97</v>
      </c>
    </row>
    <row r="195" spans="1:12">
      <c r="A195" t="s">
        <v>20</v>
      </c>
      <c r="B195" s="1">
        <v>41521</v>
      </c>
      <c r="C195" t="s">
        <v>5046</v>
      </c>
      <c r="D195">
        <v>2</v>
      </c>
      <c r="E195" t="s">
        <v>121</v>
      </c>
      <c r="F195" s="11" t="s">
        <v>858</v>
      </c>
      <c r="G195" s="11" t="s">
        <v>121</v>
      </c>
      <c r="H195" s="3">
        <f t="shared" si="3"/>
        <v>1750</v>
      </c>
      <c r="I195" s="3">
        <v>280</v>
      </c>
    </row>
    <row r="196" spans="1:12">
      <c r="A196" t="s">
        <v>234</v>
      </c>
      <c r="B196" s="1">
        <v>41535</v>
      </c>
      <c r="C196" t="s">
        <v>5101</v>
      </c>
      <c r="D196">
        <v>2</v>
      </c>
      <c r="E196" t="s">
        <v>121</v>
      </c>
      <c r="F196" s="11" t="s">
        <v>858</v>
      </c>
      <c r="G196" s="11" t="s">
        <v>121</v>
      </c>
      <c r="H196" s="3">
        <f t="shared" si="3"/>
        <v>1050</v>
      </c>
      <c r="I196" s="3">
        <v>168</v>
      </c>
    </row>
    <row r="197" spans="1:12">
      <c r="A197" t="s">
        <v>1029</v>
      </c>
      <c r="B197" s="1">
        <v>41526</v>
      </c>
      <c r="C197" t="s">
        <v>5053</v>
      </c>
      <c r="D197">
        <v>1</v>
      </c>
      <c r="E197" t="s">
        <v>174</v>
      </c>
      <c r="F197" t="s">
        <v>859</v>
      </c>
      <c r="G197" t="s">
        <v>174</v>
      </c>
      <c r="H197" s="3">
        <f t="shared" si="3"/>
        <v>1927.6875</v>
      </c>
      <c r="I197" s="3">
        <v>308.43</v>
      </c>
    </row>
    <row r="198" spans="1:12">
      <c r="A198" t="s">
        <v>518</v>
      </c>
      <c r="B198" s="1">
        <v>41547</v>
      </c>
      <c r="C198">
        <v>9078</v>
      </c>
      <c r="D198">
        <v>1</v>
      </c>
      <c r="E198" t="s">
        <v>623</v>
      </c>
      <c r="F198" s="11" t="s">
        <v>860</v>
      </c>
      <c r="G198" s="11" t="s">
        <v>623</v>
      </c>
      <c r="H198" s="3">
        <f t="shared" si="3"/>
        <v>37.9375</v>
      </c>
      <c r="I198" s="3">
        <v>6.07</v>
      </c>
    </row>
    <row r="199" spans="1:12">
      <c r="A199" t="s">
        <v>4783</v>
      </c>
      <c r="B199" s="1">
        <v>41519</v>
      </c>
      <c r="C199" t="s">
        <v>4784</v>
      </c>
      <c r="D199">
        <v>1</v>
      </c>
      <c r="E199" t="s">
        <v>4785</v>
      </c>
      <c r="F199" s="110" t="s">
        <v>862</v>
      </c>
      <c r="G199" s="11" t="s">
        <v>2394</v>
      </c>
      <c r="H199" s="3">
        <f t="shared" si="3"/>
        <v>330512.6875</v>
      </c>
      <c r="I199" s="3">
        <v>52882.03</v>
      </c>
    </row>
    <row r="200" spans="1:12">
      <c r="A200" t="s">
        <v>1237</v>
      </c>
      <c r="B200" s="1">
        <v>41536</v>
      </c>
      <c r="C200" t="s">
        <v>5113</v>
      </c>
      <c r="D200">
        <v>1</v>
      </c>
      <c r="E200" t="s">
        <v>5114</v>
      </c>
      <c r="F200" s="11" t="s">
        <v>5191</v>
      </c>
      <c r="G200" s="11" t="s">
        <v>5114</v>
      </c>
      <c r="H200" s="3">
        <f t="shared" si="3"/>
        <v>3397.9999999999995</v>
      </c>
      <c r="I200" s="3">
        <v>543.67999999999995</v>
      </c>
    </row>
    <row r="201" spans="1:12">
      <c r="A201" t="s">
        <v>2207</v>
      </c>
      <c r="B201" s="1">
        <v>41540</v>
      </c>
      <c r="C201" t="s">
        <v>5120</v>
      </c>
      <c r="D201">
        <v>1</v>
      </c>
      <c r="E201" t="s">
        <v>158</v>
      </c>
      <c r="F201" s="109" t="s">
        <v>865</v>
      </c>
      <c r="G201" s="11" t="s">
        <v>158</v>
      </c>
      <c r="H201" s="3">
        <f t="shared" si="3"/>
        <v>256.0625</v>
      </c>
      <c r="I201" s="3">
        <v>40.97</v>
      </c>
    </row>
    <row r="202" spans="1:12">
      <c r="A202" t="s">
        <v>2605</v>
      </c>
      <c r="B202" s="1">
        <v>41547</v>
      </c>
      <c r="C202" t="s">
        <v>4955</v>
      </c>
      <c r="D202">
        <v>1</v>
      </c>
      <c r="E202" t="s">
        <v>1455</v>
      </c>
      <c r="F202" s="11" t="s">
        <v>869</v>
      </c>
      <c r="G202" s="11" t="s">
        <v>1455</v>
      </c>
      <c r="H202" s="3">
        <f t="shared" si="3"/>
        <v>27.25</v>
      </c>
      <c r="I202" s="3">
        <v>4.3600000000000003</v>
      </c>
    </row>
    <row r="203" spans="1:12">
      <c r="A203" t="s">
        <v>5024</v>
      </c>
      <c r="B203" s="1">
        <v>41547</v>
      </c>
      <c r="C203" t="s">
        <v>5025</v>
      </c>
      <c r="D203">
        <v>1</v>
      </c>
      <c r="E203" t="s">
        <v>5026</v>
      </c>
      <c r="F203" s="11" t="s">
        <v>1601</v>
      </c>
      <c r="G203" s="11" t="s">
        <v>5192</v>
      </c>
      <c r="H203" s="3">
        <f t="shared" si="3"/>
        <v>1159.5</v>
      </c>
      <c r="I203" s="3">
        <v>185.52</v>
      </c>
    </row>
    <row r="204" spans="1:12">
      <c r="A204" t="s">
        <v>1124</v>
      </c>
      <c r="B204" s="1">
        <v>41530</v>
      </c>
      <c r="C204" t="s">
        <v>5084</v>
      </c>
      <c r="D204">
        <v>2</v>
      </c>
      <c r="E204" t="s">
        <v>94</v>
      </c>
      <c r="F204" s="11" t="s">
        <v>868</v>
      </c>
      <c r="G204" s="11" t="s">
        <v>94</v>
      </c>
      <c r="H204" s="3">
        <f t="shared" si="3"/>
        <v>29569.8125</v>
      </c>
      <c r="I204" s="3">
        <v>4731.17</v>
      </c>
      <c r="J204" s="14" t="e">
        <f>+H204-#REF!</f>
        <v>#REF!</v>
      </c>
      <c r="K204" s="14" t="e">
        <f>+I204-#REF!</f>
        <v>#REF!</v>
      </c>
      <c r="L204" t="s">
        <v>900</v>
      </c>
    </row>
    <row r="205" spans="1:12">
      <c r="A205" t="s">
        <v>282</v>
      </c>
      <c r="B205" s="1">
        <v>41536</v>
      </c>
      <c r="C205" t="s">
        <v>5111</v>
      </c>
      <c r="D205">
        <v>2</v>
      </c>
      <c r="E205" t="s">
        <v>94</v>
      </c>
      <c r="F205" s="11" t="s">
        <v>868</v>
      </c>
      <c r="G205" s="11" t="s">
        <v>94</v>
      </c>
      <c r="H205" s="3">
        <f t="shared" si="3"/>
        <v>2200</v>
      </c>
      <c r="I205" s="3">
        <v>352</v>
      </c>
    </row>
    <row r="206" spans="1:12">
      <c r="A206" t="s">
        <v>1235</v>
      </c>
      <c r="B206" s="1">
        <v>41536</v>
      </c>
      <c r="C206" t="s">
        <v>5112</v>
      </c>
      <c r="D206">
        <v>1</v>
      </c>
      <c r="E206" t="s">
        <v>94</v>
      </c>
      <c r="F206" s="11" t="s">
        <v>868</v>
      </c>
      <c r="G206" s="11" t="s">
        <v>94</v>
      </c>
      <c r="H206" s="3">
        <f t="shared" si="3"/>
        <v>750</v>
      </c>
      <c r="I206" s="3">
        <v>120</v>
      </c>
    </row>
    <row r="207" spans="1:12">
      <c r="A207" t="s">
        <v>4510</v>
      </c>
      <c r="B207" s="1">
        <v>41544</v>
      </c>
      <c r="C207">
        <v>8977</v>
      </c>
      <c r="D207">
        <v>1</v>
      </c>
      <c r="E207" t="s">
        <v>4894</v>
      </c>
      <c r="F207" s="11" t="s">
        <v>742</v>
      </c>
      <c r="G207" s="11" t="s">
        <v>4894</v>
      </c>
      <c r="H207" s="3">
        <f t="shared" si="3"/>
        <v>589.6875</v>
      </c>
      <c r="I207" s="3">
        <v>94.35</v>
      </c>
    </row>
    <row r="208" spans="1:12">
      <c r="A208" t="s">
        <v>2646</v>
      </c>
      <c r="B208" s="1">
        <v>41547</v>
      </c>
      <c r="C208">
        <v>9071</v>
      </c>
      <c r="D208">
        <v>1</v>
      </c>
      <c r="E208" t="s">
        <v>3624</v>
      </c>
      <c r="F208" s="11" t="s">
        <v>3763</v>
      </c>
      <c r="G208" s="11" t="s">
        <v>3624</v>
      </c>
      <c r="H208" s="3">
        <f t="shared" si="3"/>
        <v>137.9375</v>
      </c>
      <c r="I208" s="3">
        <v>22.07</v>
      </c>
    </row>
    <row r="209" spans="1:12">
      <c r="A209" t="s">
        <v>494</v>
      </c>
      <c r="B209" s="1">
        <v>41547</v>
      </c>
      <c r="C209">
        <v>9067</v>
      </c>
      <c r="D209">
        <v>1</v>
      </c>
      <c r="E209" t="s">
        <v>4990</v>
      </c>
      <c r="F209" s="33" t="s">
        <v>5193</v>
      </c>
      <c r="G209" t="s">
        <v>4990</v>
      </c>
      <c r="H209" s="3">
        <f t="shared" ref="H209:H268" si="4">+I209/0.16</f>
        <v>175</v>
      </c>
      <c r="I209" s="3">
        <v>28</v>
      </c>
    </row>
    <row r="210" spans="1:12">
      <c r="A210" t="s">
        <v>4978</v>
      </c>
      <c r="B210" s="1">
        <v>41547</v>
      </c>
      <c r="C210">
        <v>9048</v>
      </c>
      <c r="D210">
        <v>1</v>
      </c>
      <c r="E210" t="s">
        <v>4979</v>
      </c>
      <c r="F210" s="11" t="s">
        <v>5194</v>
      </c>
      <c r="G210" s="11" t="s">
        <v>4979</v>
      </c>
      <c r="H210" s="3">
        <f t="shared" si="4"/>
        <v>142.25</v>
      </c>
      <c r="I210" s="3">
        <v>22.76</v>
      </c>
    </row>
    <row r="211" spans="1:12">
      <c r="A211" t="s">
        <v>473</v>
      </c>
      <c r="B211" s="1">
        <v>41547</v>
      </c>
      <c r="C211">
        <v>9055</v>
      </c>
      <c r="D211">
        <v>1</v>
      </c>
      <c r="E211" t="s">
        <v>4984</v>
      </c>
      <c r="F211" s="11" t="s">
        <v>5194</v>
      </c>
      <c r="G211" s="11" t="s">
        <v>4984</v>
      </c>
      <c r="H211" s="3">
        <f t="shared" si="4"/>
        <v>141.375</v>
      </c>
      <c r="I211" s="3">
        <v>22.62</v>
      </c>
    </row>
    <row r="212" spans="1:12">
      <c r="A212" t="s">
        <v>971</v>
      </c>
      <c r="B212" s="1">
        <v>41519</v>
      </c>
      <c r="C212" t="s">
        <v>5044</v>
      </c>
      <c r="D212">
        <v>1</v>
      </c>
      <c r="E212" t="s">
        <v>306</v>
      </c>
      <c r="F212" s="11" t="s">
        <v>876</v>
      </c>
      <c r="G212" s="11" t="s">
        <v>306</v>
      </c>
      <c r="H212" s="3">
        <f t="shared" si="4"/>
        <v>32846.75</v>
      </c>
      <c r="I212" s="3">
        <v>5255.48</v>
      </c>
    </row>
    <row r="213" spans="1:12">
      <c r="A213" t="s">
        <v>3292</v>
      </c>
      <c r="B213" s="1">
        <v>41542</v>
      </c>
      <c r="C213" t="s">
        <v>5136</v>
      </c>
      <c r="D213">
        <v>1</v>
      </c>
      <c r="E213" t="s">
        <v>223</v>
      </c>
      <c r="F213" s="28" t="s">
        <v>877</v>
      </c>
      <c r="G213" s="28" t="s">
        <v>223</v>
      </c>
      <c r="H213" s="3">
        <f t="shared" si="4"/>
        <v>15767.5</v>
      </c>
      <c r="I213" s="3">
        <v>2522.8000000000002</v>
      </c>
      <c r="J213" s="14" t="e">
        <f>+H213-#REF!</f>
        <v>#REF!</v>
      </c>
      <c r="K213" s="14" t="e">
        <f>+I213-#REF!</f>
        <v>#REF!</v>
      </c>
      <c r="L213" t="s">
        <v>900</v>
      </c>
    </row>
    <row r="214" spans="1:12">
      <c r="A214" t="s">
        <v>479</v>
      </c>
      <c r="B214" s="1">
        <v>41547</v>
      </c>
      <c r="C214">
        <v>9057</v>
      </c>
      <c r="D214">
        <v>1</v>
      </c>
      <c r="E214" t="s">
        <v>4986</v>
      </c>
      <c r="F214" s="11" t="s">
        <v>5195</v>
      </c>
      <c r="G214" s="11" t="s">
        <v>4986</v>
      </c>
      <c r="H214" s="3">
        <f t="shared" si="4"/>
        <v>300</v>
      </c>
      <c r="I214" s="3">
        <v>48</v>
      </c>
    </row>
    <row r="215" spans="1:12">
      <c r="A215" t="s">
        <v>470</v>
      </c>
      <c r="B215" s="1">
        <v>41547</v>
      </c>
      <c r="C215">
        <v>9053</v>
      </c>
      <c r="D215">
        <v>1</v>
      </c>
      <c r="E215" t="s">
        <v>4983</v>
      </c>
      <c r="F215" s="11" t="s">
        <v>2322</v>
      </c>
      <c r="G215" s="11" t="s">
        <v>4983</v>
      </c>
      <c r="H215" s="3">
        <f t="shared" si="4"/>
        <v>201.75</v>
      </c>
      <c r="I215" s="3">
        <v>32.28</v>
      </c>
    </row>
    <row r="216" spans="1:12">
      <c r="A216" t="s">
        <v>476</v>
      </c>
      <c r="B216" s="1">
        <v>41547</v>
      </c>
      <c r="C216">
        <v>9056</v>
      </c>
      <c r="D216">
        <v>1</v>
      </c>
      <c r="E216" t="s">
        <v>4985</v>
      </c>
      <c r="F216" s="28" t="s">
        <v>5196</v>
      </c>
      <c r="G216" s="28" t="s">
        <v>4981</v>
      </c>
      <c r="H216" s="3">
        <f t="shared" si="4"/>
        <v>167.375</v>
      </c>
      <c r="I216" s="3">
        <v>26.78</v>
      </c>
    </row>
    <row r="217" spans="1:12">
      <c r="A217" t="s">
        <v>4980</v>
      </c>
      <c r="B217" s="1">
        <v>41547</v>
      </c>
      <c r="C217">
        <v>9049</v>
      </c>
      <c r="D217">
        <v>1</v>
      </c>
      <c r="E217" t="s">
        <v>4981</v>
      </c>
      <c r="F217" s="28" t="s">
        <v>5196</v>
      </c>
      <c r="G217" s="28" t="s">
        <v>4985</v>
      </c>
      <c r="H217" s="3">
        <f t="shared" si="4"/>
        <v>167.125</v>
      </c>
      <c r="I217" s="3">
        <v>26.74</v>
      </c>
    </row>
    <row r="218" spans="1:12">
      <c r="A218" t="s">
        <v>84</v>
      </c>
      <c r="B218" s="1">
        <v>41527</v>
      </c>
      <c r="C218" t="s">
        <v>5059</v>
      </c>
      <c r="D218">
        <v>1</v>
      </c>
      <c r="E218" t="s">
        <v>52</v>
      </c>
      <c r="F218" s="11" t="s">
        <v>879</v>
      </c>
      <c r="G218" s="11" t="s">
        <v>52</v>
      </c>
      <c r="H218" s="3">
        <f t="shared" si="4"/>
        <v>1897.4374999999998</v>
      </c>
      <c r="I218" s="3">
        <v>303.58999999999997</v>
      </c>
    </row>
    <row r="219" spans="1:12">
      <c r="A219" t="s">
        <v>395</v>
      </c>
      <c r="B219" s="1">
        <v>41547</v>
      </c>
      <c r="C219" t="s">
        <v>5144</v>
      </c>
      <c r="D219">
        <v>1</v>
      </c>
      <c r="E219" t="s">
        <v>968</v>
      </c>
      <c r="F219" s="33" t="s">
        <v>1632</v>
      </c>
      <c r="G219" t="s">
        <v>968</v>
      </c>
      <c r="H219" s="3">
        <f t="shared" si="4"/>
        <v>6445</v>
      </c>
      <c r="I219" s="3">
        <v>1031.2</v>
      </c>
    </row>
    <row r="220" spans="1:12">
      <c r="A220" t="s">
        <v>1564</v>
      </c>
      <c r="B220" s="1">
        <v>41547</v>
      </c>
      <c r="C220" t="s">
        <v>5145</v>
      </c>
      <c r="D220">
        <v>1</v>
      </c>
      <c r="E220" t="s">
        <v>968</v>
      </c>
      <c r="F220" s="33" t="s">
        <v>1632</v>
      </c>
      <c r="G220" t="s">
        <v>968</v>
      </c>
      <c r="H220" s="3">
        <f t="shared" si="4"/>
        <v>13875.125</v>
      </c>
      <c r="I220" s="3">
        <v>2220.02</v>
      </c>
    </row>
    <row r="221" spans="1:12">
      <c r="A221" t="s">
        <v>3059</v>
      </c>
      <c r="B221" s="1">
        <v>41544</v>
      </c>
      <c r="C221">
        <v>8982</v>
      </c>
      <c r="D221">
        <v>1</v>
      </c>
      <c r="E221" t="s">
        <v>590</v>
      </c>
      <c r="F221" s="11" t="s">
        <v>882</v>
      </c>
      <c r="G221" s="11" t="s">
        <v>590</v>
      </c>
      <c r="H221" s="3">
        <f t="shared" si="4"/>
        <v>202.99999999999997</v>
      </c>
      <c r="I221" s="3">
        <v>32.479999999999997</v>
      </c>
    </row>
    <row r="222" spans="1:12">
      <c r="A222" t="s">
        <v>550</v>
      </c>
      <c r="B222" s="1">
        <v>41547</v>
      </c>
      <c r="C222">
        <v>9091</v>
      </c>
      <c r="D222">
        <v>1</v>
      </c>
      <c r="E222" t="s">
        <v>590</v>
      </c>
      <c r="F222" s="11" t="s">
        <v>882</v>
      </c>
      <c r="G222" s="11" t="s">
        <v>590</v>
      </c>
      <c r="H222" s="3">
        <f t="shared" si="4"/>
        <v>49.125</v>
      </c>
      <c r="I222" s="3">
        <v>7.86</v>
      </c>
    </row>
    <row r="223" spans="1:12">
      <c r="A223" t="s">
        <v>553</v>
      </c>
      <c r="B223" s="1">
        <v>41547</v>
      </c>
      <c r="C223">
        <v>9092</v>
      </c>
      <c r="D223">
        <v>1</v>
      </c>
      <c r="E223" t="s">
        <v>590</v>
      </c>
      <c r="F223" s="11" t="s">
        <v>882</v>
      </c>
      <c r="G223" s="11" t="s">
        <v>590</v>
      </c>
      <c r="H223" s="3">
        <f t="shared" si="4"/>
        <v>120.68749999999999</v>
      </c>
      <c r="I223" s="3">
        <v>19.309999999999999</v>
      </c>
    </row>
    <row r="224" spans="1:12">
      <c r="A224" t="s">
        <v>2678</v>
      </c>
      <c r="B224" s="1">
        <v>41547</v>
      </c>
      <c r="C224">
        <v>9094</v>
      </c>
      <c r="D224">
        <v>1</v>
      </c>
      <c r="E224" t="s">
        <v>590</v>
      </c>
      <c r="F224" s="11" t="s">
        <v>882</v>
      </c>
      <c r="G224" s="11" t="s">
        <v>590</v>
      </c>
      <c r="H224" s="3">
        <f t="shared" si="4"/>
        <v>117.68749999999999</v>
      </c>
      <c r="I224" s="3">
        <v>18.829999999999998</v>
      </c>
    </row>
    <row r="225" spans="1:11">
      <c r="A225" t="s">
        <v>4977</v>
      </c>
      <c r="B225" s="1">
        <v>41547</v>
      </c>
      <c r="C225">
        <v>9043</v>
      </c>
      <c r="D225">
        <v>1</v>
      </c>
      <c r="E225" t="s">
        <v>535</v>
      </c>
      <c r="F225" s="11" t="s">
        <v>884</v>
      </c>
      <c r="G225" s="11" t="s">
        <v>535</v>
      </c>
      <c r="H225" s="3">
        <f t="shared" si="4"/>
        <v>344.8125</v>
      </c>
      <c r="I225" s="3">
        <v>55.17</v>
      </c>
    </row>
    <row r="226" spans="1:11">
      <c r="A226" t="s">
        <v>4891</v>
      </c>
      <c r="B226" s="1">
        <v>41544</v>
      </c>
      <c r="C226">
        <v>8971</v>
      </c>
      <c r="D226">
        <v>1</v>
      </c>
      <c r="E226" t="s">
        <v>4892</v>
      </c>
      <c r="F226" s="11" t="s">
        <v>884</v>
      </c>
      <c r="G226" s="11" t="s">
        <v>4892</v>
      </c>
      <c r="H226" s="3">
        <f t="shared" si="4"/>
        <v>344.8125</v>
      </c>
      <c r="I226" s="3">
        <v>55.17</v>
      </c>
    </row>
    <row r="227" spans="1:11">
      <c r="A227" t="s">
        <v>352</v>
      </c>
      <c r="B227" s="1">
        <v>41543</v>
      </c>
      <c r="C227" t="s">
        <v>4876</v>
      </c>
      <c r="D227">
        <v>1</v>
      </c>
      <c r="E227" t="s">
        <v>4877</v>
      </c>
      <c r="F227" s="33" t="s">
        <v>1633</v>
      </c>
      <c r="G227" s="33" t="s">
        <v>1634</v>
      </c>
      <c r="H227" s="3">
        <f t="shared" si="4"/>
        <v>288927.5</v>
      </c>
      <c r="I227" s="3">
        <v>46228.4</v>
      </c>
    </row>
    <row r="228" spans="1:11">
      <c r="A228" t="s">
        <v>4786</v>
      </c>
      <c r="B228" s="1">
        <v>41520</v>
      </c>
      <c r="C228" t="s">
        <v>3423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4"/>
        <v>-307931.25</v>
      </c>
      <c r="I228" s="3">
        <v>-49269</v>
      </c>
      <c r="J228" s="46"/>
      <c r="K228" s="50"/>
    </row>
    <row r="229" spans="1:11">
      <c r="A229" t="s">
        <v>4787</v>
      </c>
      <c r="B229" s="1">
        <v>41520</v>
      </c>
      <c r="C229" t="s">
        <v>4788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4"/>
        <v>309184.5625</v>
      </c>
      <c r="I229" s="3">
        <v>49469.53</v>
      </c>
      <c r="J229" s="46"/>
      <c r="K229" s="46"/>
    </row>
    <row r="230" spans="1:11">
      <c r="A230" t="s">
        <v>4792</v>
      </c>
      <c r="B230" s="1">
        <v>41523</v>
      </c>
      <c r="C230" t="s">
        <v>4793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4"/>
        <v>259060.125</v>
      </c>
      <c r="I230" s="3">
        <v>41449.620000000003</v>
      </c>
      <c r="J230" s="46"/>
      <c r="K230" s="46"/>
    </row>
    <row r="231" spans="1:11">
      <c r="A231" t="s">
        <v>4794</v>
      </c>
      <c r="B231" s="1">
        <v>41523</v>
      </c>
      <c r="C231" t="s">
        <v>4795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4"/>
        <v>259060.125</v>
      </c>
      <c r="I231" s="3">
        <v>41449.620000000003</v>
      </c>
      <c r="J231" s="46"/>
      <c r="K231" s="46"/>
    </row>
    <row r="232" spans="1:11">
      <c r="A232" t="s">
        <v>4796</v>
      </c>
      <c r="B232" s="1">
        <v>41523</v>
      </c>
      <c r="C232" t="s">
        <v>4797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4"/>
        <v>259060.125</v>
      </c>
      <c r="I232" s="3">
        <v>41449.620000000003</v>
      </c>
      <c r="J232" s="46"/>
      <c r="K232" s="46"/>
    </row>
    <row r="233" spans="1:11">
      <c r="A233" t="s">
        <v>4798</v>
      </c>
      <c r="B233" s="1">
        <v>41523</v>
      </c>
      <c r="C233" t="s">
        <v>4799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4"/>
        <v>277624.5625</v>
      </c>
      <c r="I233" s="3">
        <v>44419.93</v>
      </c>
      <c r="J233" s="46"/>
      <c r="K233" s="46"/>
    </row>
    <row r="234" spans="1:11">
      <c r="A234" t="s">
        <v>4806</v>
      </c>
      <c r="B234" s="1">
        <v>41527</v>
      </c>
      <c r="C234" t="s">
        <v>4469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4"/>
        <v>-314431.625</v>
      </c>
      <c r="I234" s="3">
        <v>-50309.06</v>
      </c>
      <c r="J234" s="46"/>
      <c r="K234" s="50"/>
    </row>
    <row r="235" spans="1:11">
      <c r="A235" t="s">
        <v>4807</v>
      </c>
      <c r="B235" s="1">
        <v>41527</v>
      </c>
      <c r="C235" t="s">
        <v>4402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4"/>
        <v>-161302.0625</v>
      </c>
      <c r="I235" s="3">
        <v>-25808.33</v>
      </c>
      <c r="J235" s="46"/>
      <c r="K235" s="50"/>
    </row>
    <row r="236" spans="1:11">
      <c r="A236" t="s">
        <v>4809</v>
      </c>
      <c r="B236" s="1">
        <v>41528</v>
      </c>
      <c r="C236" t="s">
        <v>4810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4"/>
        <v>168129.625</v>
      </c>
      <c r="I236" s="3">
        <v>26900.74</v>
      </c>
      <c r="J236" s="46"/>
      <c r="K236" s="46"/>
    </row>
    <row r="237" spans="1:11">
      <c r="A237" t="s">
        <v>4745</v>
      </c>
      <c r="B237" s="1">
        <v>41530</v>
      </c>
      <c r="C237" t="s">
        <v>4812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4"/>
        <v>168750.3125</v>
      </c>
      <c r="I237" s="3">
        <v>27000.05</v>
      </c>
    </row>
    <row r="238" spans="1:11">
      <c r="A238" t="s">
        <v>178</v>
      </c>
      <c r="B238" s="1">
        <v>41531</v>
      </c>
      <c r="C238" t="s">
        <v>4816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4"/>
        <v>210084.93749999997</v>
      </c>
      <c r="I238" s="3">
        <v>33613.589999999997</v>
      </c>
    </row>
    <row r="239" spans="1:11">
      <c r="A239" t="s">
        <v>3882</v>
      </c>
      <c r="B239" s="1">
        <v>41534</v>
      </c>
      <c r="C239" t="s">
        <v>4475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4"/>
        <v>-180602.62499999997</v>
      </c>
      <c r="I239" s="3">
        <v>-28896.42</v>
      </c>
      <c r="J239" s="2"/>
    </row>
    <row r="240" spans="1:11">
      <c r="A240" t="s">
        <v>4819</v>
      </c>
      <c r="B240" s="1">
        <v>41534</v>
      </c>
      <c r="C240" t="s">
        <v>4820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4"/>
        <v>202461.875</v>
      </c>
      <c r="I240" s="3">
        <v>32393.9</v>
      </c>
    </row>
    <row r="241" spans="1:11">
      <c r="A241" t="s">
        <v>3455</v>
      </c>
      <c r="B241" s="1">
        <v>41534</v>
      </c>
      <c r="C241" t="s">
        <v>4821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4"/>
        <v>202461.875</v>
      </c>
      <c r="I241" s="3">
        <v>32393.9</v>
      </c>
    </row>
    <row r="242" spans="1:11">
      <c r="A242" t="s">
        <v>3458</v>
      </c>
      <c r="B242" s="1">
        <v>41534</v>
      </c>
      <c r="C242" t="s">
        <v>4822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4"/>
        <v>202461.875</v>
      </c>
      <c r="I242" s="3">
        <v>32393.9</v>
      </c>
    </row>
    <row r="243" spans="1:11">
      <c r="A243" t="s">
        <v>194</v>
      </c>
      <c r="B243" s="1">
        <v>41535</v>
      </c>
      <c r="C243" t="s">
        <v>4826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4"/>
        <v>210084.93749999997</v>
      </c>
      <c r="I243" s="3">
        <v>33613.589999999997</v>
      </c>
    </row>
    <row r="244" spans="1:11">
      <c r="A244" t="s">
        <v>197</v>
      </c>
      <c r="B244" s="1">
        <v>41535</v>
      </c>
      <c r="C244" t="s">
        <v>4827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4"/>
        <v>233454.37499999997</v>
      </c>
      <c r="I244" s="3">
        <v>37352.699999999997</v>
      </c>
    </row>
    <row r="245" spans="1:11">
      <c r="A245" t="s">
        <v>4833</v>
      </c>
      <c r="B245" s="1">
        <v>41536</v>
      </c>
      <c r="C245" t="s">
        <v>4536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4"/>
        <v>-212747.3125</v>
      </c>
      <c r="I245" s="3">
        <v>-34039.57</v>
      </c>
      <c r="J245" s="2"/>
    </row>
    <row r="246" spans="1:11">
      <c r="A246" t="s">
        <v>4834</v>
      </c>
      <c r="B246" s="1">
        <v>41536</v>
      </c>
      <c r="C246" t="s">
        <v>4835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4"/>
        <v>202461.875</v>
      </c>
      <c r="I246" s="3">
        <v>32393.9</v>
      </c>
    </row>
    <row r="247" spans="1:11">
      <c r="A247" t="s">
        <v>4836</v>
      </c>
      <c r="B247" s="1">
        <v>41536</v>
      </c>
      <c r="C247" t="s">
        <v>4837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4"/>
        <v>202461.875</v>
      </c>
      <c r="I247" s="3">
        <v>32393.9</v>
      </c>
    </row>
    <row r="248" spans="1:11">
      <c r="A248" t="s">
        <v>4838</v>
      </c>
      <c r="B248" s="1">
        <v>41536</v>
      </c>
      <c r="C248" t="s">
        <v>4839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4"/>
        <v>309184.5625</v>
      </c>
      <c r="I248" s="3">
        <v>49469.53</v>
      </c>
    </row>
    <row r="249" spans="1:11">
      <c r="A249" t="s">
        <v>1242</v>
      </c>
      <c r="B249" s="1">
        <v>41537</v>
      </c>
      <c r="C249" t="s">
        <v>4532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4"/>
        <v>-212747.3125</v>
      </c>
      <c r="I249" s="3">
        <v>-34039.57</v>
      </c>
      <c r="J249" s="2"/>
    </row>
    <row r="250" spans="1:11">
      <c r="A250" t="s">
        <v>4845</v>
      </c>
      <c r="B250" s="1">
        <v>41537</v>
      </c>
      <c r="C250" t="s">
        <v>4839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4"/>
        <v>-309184.5625</v>
      </c>
      <c r="I250" s="3">
        <v>-49469.53</v>
      </c>
      <c r="J250" s="60"/>
      <c r="K250" s="33"/>
    </row>
    <row r="251" spans="1:11">
      <c r="A251" t="s">
        <v>2449</v>
      </c>
      <c r="B251" s="1">
        <v>41537</v>
      </c>
      <c r="C251" t="s">
        <v>4824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4"/>
        <v>233190.4375</v>
      </c>
      <c r="I251" s="3">
        <v>37310.47</v>
      </c>
      <c r="J251" s="46"/>
      <c r="K251" s="46"/>
    </row>
    <row r="252" spans="1:11">
      <c r="A252" t="s">
        <v>4848</v>
      </c>
      <c r="B252" s="1">
        <v>41538</v>
      </c>
      <c r="C252" t="s">
        <v>4825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4"/>
        <v>209821</v>
      </c>
      <c r="I252" s="3">
        <v>33571.360000000001</v>
      </c>
      <c r="J252" s="46"/>
      <c r="K252" s="46"/>
    </row>
    <row r="253" spans="1:11">
      <c r="A253" t="s">
        <v>4850</v>
      </c>
      <c r="B253" s="1">
        <v>41538</v>
      </c>
      <c r="C253" t="s">
        <v>4851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4"/>
        <v>259060.125</v>
      </c>
      <c r="I253" s="3">
        <v>41449.620000000003</v>
      </c>
      <c r="J253" s="46"/>
      <c r="K253" s="46"/>
    </row>
    <row r="254" spans="1:11">
      <c r="A254" t="s">
        <v>4852</v>
      </c>
      <c r="B254" s="1">
        <v>41538</v>
      </c>
      <c r="C254" t="s">
        <v>4853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si="4"/>
        <v>277624.5625</v>
      </c>
      <c r="I254" s="3">
        <v>44419.93</v>
      </c>
      <c r="J254" s="46"/>
      <c r="K254" s="46"/>
    </row>
    <row r="255" spans="1:11">
      <c r="A255" t="s">
        <v>4854</v>
      </c>
      <c r="B255" s="1">
        <v>41538</v>
      </c>
      <c r="C255" t="s">
        <v>4855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4"/>
        <v>277624.5625</v>
      </c>
      <c r="I255" s="3">
        <v>44419.93</v>
      </c>
      <c r="J255" s="46"/>
      <c r="K255" s="46"/>
    </row>
    <row r="256" spans="1:11">
      <c r="A256" t="s">
        <v>4856</v>
      </c>
      <c r="B256" s="1">
        <v>41538</v>
      </c>
      <c r="C256" t="s">
        <v>4857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4"/>
        <v>209820.87499999997</v>
      </c>
      <c r="I256" s="3">
        <v>33571.339999999997</v>
      </c>
      <c r="J256" s="46"/>
      <c r="K256" s="46"/>
    </row>
    <row r="257" spans="1:11">
      <c r="A257" t="s">
        <v>4858</v>
      </c>
      <c r="B257" s="1">
        <v>41538</v>
      </c>
      <c r="C257" t="s">
        <v>4859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4"/>
        <v>259060.125</v>
      </c>
      <c r="I257" s="3">
        <v>41449.620000000003</v>
      </c>
      <c r="J257" s="46"/>
      <c r="K257" s="46"/>
    </row>
    <row r="258" spans="1:11">
      <c r="A258" t="s">
        <v>3032</v>
      </c>
      <c r="B258" s="1">
        <v>41538</v>
      </c>
      <c r="C258" t="s">
        <v>4860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4"/>
        <v>259060.125</v>
      </c>
      <c r="I258" s="3">
        <v>41449.620000000003</v>
      </c>
      <c r="J258" s="46"/>
      <c r="K258" s="46"/>
    </row>
    <row r="259" spans="1:11">
      <c r="A259" t="s">
        <v>4861</v>
      </c>
      <c r="B259" s="1">
        <v>41538</v>
      </c>
      <c r="C259" t="s">
        <v>4862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4"/>
        <v>259060.125</v>
      </c>
      <c r="I259" s="3">
        <v>41449.620000000003</v>
      </c>
      <c r="J259" s="46"/>
      <c r="K259" s="46"/>
    </row>
    <row r="260" spans="1:11">
      <c r="A260" t="s">
        <v>1270</v>
      </c>
      <c r="B260" s="1">
        <v>41538</v>
      </c>
      <c r="C260" t="s">
        <v>4863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4"/>
        <v>277624.5625</v>
      </c>
      <c r="I260" s="3">
        <v>44419.93</v>
      </c>
      <c r="J260" s="46"/>
      <c r="K260" s="46"/>
    </row>
    <row r="261" spans="1:11">
      <c r="A261" t="s">
        <v>4864</v>
      </c>
      <c r="B261" s="1">
        <v>41538</v>
      </c>
      <c r="C261" t="s">
        <v>4865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4"/>
        <v>277624.5625</v>
      </c>
      <c r="I261" s="3">
        <v>44419.93</v>
      </c>
      <c r="J261" s="46"/>
      <c r="K261" s="46"/>
    </row>
    <row r="262" spans="1:11">
      <c r="A262" t="s">
        <v>4866</v>
      </c>
      <c r="B262" s="1">
        <v>41538</v>
      </c>
      <c r="C262" t="s">
        <v>4867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4"/>
        <v>277624.5625</v>
      </c>
      <c r="I262" s="3">
        <v>44419.93</v>
      </c>
      <c r="J262" s="46"/>
      <c r="K262" s="46"/>
    </row>
    <row r="263" spans="1:11">
      <c r="A263" t="s">
        <v>1311</v>
      </c>
      <c r="B263" s="1">
        <v>41542</v>
      </c>
      <c r="C263" t="s">
        <v>4875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4"/>
        <v>476941.625</v>
      </c>
      <c r="I263" s="3">
        <v>76310.66</v>
      </c>
      <c r="J263" s="33"/>
      <c r="K263" s="33"/>
    </row>
    <row r="264" spans="1:11">
      <c r="A264" t="s">
        <v>1354</v>
      </c>
      <c r="B264" s="1">
        <v>41544</v>
      </c>
      <c r="C264" t="s">
        <v>4886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4"/>
        <v>217444.0625</v>
      </c>
      <c r="I264" s="3">
        <v>34791.050000000003</v>
      </c>
    </row>
    <row r="265" spans="1:11">
      <c r="A265" t="s">
        <v>3078</v>
      </c>
      <c r="B265" s="1">
        <v>41547</v>
      </c>
      <c r="C265" t="s">
        <v>4933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4"/>
        <v>169608.1875</v>
      </c>
      <c r="I265" s="3">
        <v>27137.31</v>
      </c>
    </row>
    <row r="266" spans="1:11">
      <c r="A266" t="s">
        <v>3557</v>
      </c>
      <c r="B266" s="1">
        <v>41547</v>
      </c>
      <c r="C266" t="s">
        <v>4935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4"/>
        <v>202461.875</v>
      </c>
      <c r="I266" s="3">
        <v>32393.9</v>
      </c>
    </row>
    <row r="267" spans="1:11">
      <c r="A267" t="s">
        <v>3091</v>
      </c>
      <c r="B267" s="1">
        <v>41547</v>
      </c>
      <c r="C267" t="s">
        <v>4939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4"/>
        <v>233190.4375</v>
      </c>
      <c r="I267" s="3">
        <v>37310.47</v>
      </c>
    </row>
    <row r="268" spans="1:11">
      <c r="A268" t="s">
        <v>1031</v>
      </c>
      <c r="B268" s="1">
        <v>41526</v>
      </c>
      <c r="C268" t="s">
        <v>5054</v>
      </c>
      <c r="D268">
        <v>1</v>
      </c>
      <c r="E268" t="s">
        <v>6</v>
      </c>
      <c r="F268" s="67" t="s">
        <v>829</v>
      </c>
      <c r="G268" s="68" t="s">
        <v>6</v>
      </c>
      <c r="H268" s="3">
        <f t="shared" si="4"/>
        <v>329988.5</v>
      </c>
      <c r="I268" s="3">
        <v>52798.16</v>
      </c>
    </row>
    <row r="269" spans="1:11">
      <c r="A269" t="s">
        <v>5019</v>
      </c>
      <c r="B269" s="1">
        <v>41547</v>
      </c>
      <c r="C269" t="s">
        <v>5020</v>
      </c>
      <c r="D269">
        <v>1</v>
      </c>
      <c r="E269" t="s">
        <v>5021</v>
      </c>
      <c r="F269" t="s">
        <v>946</v>
      </c>
      <c r="G269" t="s">
        <v>947</v>
      </c>
      <c r="H269" s="46">
        <f t="shared" ref="H269:H332" si="5">I269/0.16</f>
        <v>395.8125</v>
      </c>
      <c r="I269" s="46">
        <v>63.33</v>
      </c>
      <c r="J269" s="3"/>
      <c r="K269" s="3"/>
    </row>
    <row r="270" spans="1:11">
      <c r="A270" t="s">
        <v>5019</v>
      </c>
      <c r="B270" s="1">
        <v>41547</v>
      </c>
      <c r="C270" t="s">
        <v>5020</v>
      </c>
      <c r="D270">
        <v>1</v>
      </c>
      <c r="E270" t="s">
        <v>5021</v>
      </c>
      <c r="F270" s="28" t="s">
        <v>1684</v>
      </c>
      <c r="G270" s="28" t="s">
        <v>1685</v>
      </c>
      <c r="H270" s="47">
        <f t="shared" si="5"/>
        <v>334.3125</v>
      </c>
      <c r="I270" s="47">
        <v>53.49</v>
      </c>
      <c r="J270" s="3"/>
      <c r="K270" s="3"/>
    </row>
    <row r="271" spans="1:11">
      <c r="A271" t="s">
        <v>5019</v>
      </c>
      <c r="B271" s="1">
        <v>41547</v>
      </c>
      <c r="C271" t="s">
        <v>5020</v>
      </c>
      <c r="D271">
        <v>1</v>
      </c>
      <c r="E271" t="s">
        <v>5021</v>
      </c>
      <c r="F271" s="11" t="s">
        <v>933</v>
      </c>
      <c r="G271" s="11" t="s">
        <v>934</v>
      </c>
      <c r="H271" s="85">
        <f t="shared" si="5"/>
        <v>65</v>
      </c>
      <c r="I271" s="85">
        <v>10.4</v>
      </c>
      <c r="J271" s="14">
        <f>795.13-H269-H270-H271</f>
        <v>4.9999999999954525E-3</v>
      </c>
      <c r="K271" s="14">
        <f>127.22-I269-I270-I271</f>
        <v>0</v>
      </c>
    </row>
    <row r="272" spans="1:11">
      <c r="A272" t="s">
        <v>597</v>
      </c>
      <c r="B272" s="1">
        <v>41547</v>
      </c>
      <c r="C272" t="s">
        <v>5006</v>
      </c>
      <c r="D272">
        <v>1</v>
      </c>
      <c r="E272" t="s">
        <v>5007</v>
      </c>
      <c r="F272" s="28" t="s">
        <v>913</v>
      </c>
      <c r="G272" s="28" t="s">
        <v>914</v>
      </c>
      <c r="H272" s="47">
        <f t="shared" si="5"/>
        <v>453.625</v>
      </c>
      <c r="I272" s="47">
        <v>72.58</v>
      </c>
      <c r="J272" s="3"/>
      <c r="K272" s="3"/>
    </row>
    <row r="273" spans="1:12">
      <c r="A273" t="s">
        <v>597</v>
      </c>
      <c r="B273" s="1">
        <v>41547</v>
      </c>
      <c r="C273" t="s">
        <v>5006</v>
      </c>
      <c r="D273">
        <v>1</v>
      </c>
      <c r="E273" t="s">
        <v>5007</v>
      </c>
      <c r="F273" t="s">
        <v>946</v>
      </c>
      <c r="G273" t="s">
        <v>947</v>
      </c>
      <c r="H273" s="46">
        <f t="shared" si="5"/>
        <v>663.125</v>
      </c>
      <c r="I273" s="46">
        <v>106.1</v>
      </c>
    </row>
    <row r="274" spans="1:12">
      <c r="A274" t="s">
        <v>597</v>
      </c>
      <c r="B274" s="1">
        <v>41547</v>
      </c>
      <c r="C274" t="s">
        <v>5006</v>
      </c>
      <c r="D274">
        <v>1</v>
      </c>
      <c r="E274" t="s">
        <v>5007</v>
      </c>
      <c r="F274" s="28" t="s">
        <v>939</v>
      </c>
      <c r="G274" s="28" t="s">
        <v>940</v>
      </c>
      <c r="H274" s="47">
        <f t="shared" si="5"/>
        <v>250.74999999999997</v>
      </c>
      <c r="I274" s="47">
        <v>40.119999999999997</v>
      </c>
    </row>
    <row r="275" spans="1:12">
      <c r="A275" t="s">
        <v>597</v>
      </c>
      <c r="B275" s="1">
        <v>41547</v>
      </c>
      <c r="C275" t="s">
        <v>5006</v>
      </c>
      <c r="D275">
        <v>1</v>
      </c>
      <c r="E275" t="s">
        <v>5007</v>
      </c>
      <c r="F275" s="11" t="s">
        <v>5197</v>
      </c>
      <c r="G275" s="11" t="s">
        <v>5198</v>
      </c>
      <c r="H275" s="85">
        <f t="shared" si="5"/>
        <v>86.187499999999986</v>
      </c>
      <c r="I275" s="85">
        <v>13.79</v>
      </c>
      <c r="J275" s="14">
        <f>1453.69-H272-H273-H274-H275</f>
        <v>2.5000000000972022E-3</v>
      </c>
      <c r="K275" s="14">
        <f>232.59-I272-I273-I274-I275</f>
        <v>0</v>
      </c>
    </row>
    <row r="276" spans="1:12">
      <c r="A276" t="s">
        <v>4921</v>
      </c>
      <c r="B276" s="1">
        <v>41545</v>
      </c>
      <c r="C276" t="s">
        <v>4922</v>
      </c>
      <c r="D276">
        <v>1</v>
      </c>
      <c r="E276" t="s">
        <v>4923</v>
      </c>
      <c r="F276" s="11" t="s">
        <v>905</v>
      </c>
      <c r="G276" s="11" t="s">
        <v>906</v>
      </c>
      <c r="H276" s="85">
        <f t="shared" si="5"/>
        <v>401.5625</v>
      </c>
      <c r="I276" s="85">
        <v>64.25</v>
      </c>
      <c r="J276" s="3"/>
      <c r="K276" s="3"/>
    </row>
    <row r="277" spans="1:12">
      <c r="A277" t="s">
        <v>4921</v>
      </c>
      <c r="B277" s="1">
        <v>41545</v>
      </c>
      <c r="C277" t="s">
        <v>4922</v>
      </c>
      <c r="D277">
        <v>1</v>
      </c>
      <c r="E277" t="s">
        <v>4923</v>
      </c>
      <c r="F277" s="28" t="s">
        <v>1704</v>
      </c>
      <c r="G277" s="28" t="s">
        <v>5199</v>
      </c>
      <c r="H277" s="47">
        <f t="shared" si="5"/>
        <v>208.9375</v>
      </c>
      <c r="I277" s="47">
        <v>33.43</v>
      </c>
      <c r="J277" s="3"/>
      <c r="K277" s="3"/>
    </row>
    <row r="278" spans="1:12">
      <c r="A278" t="s">
        <v>4921</v>
      </c>
      <c r="B278" s="1">
        <v>41545</v>
      </c>
      <c r="C278" t="s">
        <v>4922</v>
      </c>
      <c r="D278">
        <v>1</v>
      </c>
      <c r="E278" t="s">
        <v>4923</v>
      </c>
      <c r="F278" t="s">
        <v>946</v>
      </c>
      <c r="G278" t="s">
        <v>947</v>
      </c>
      <c r="H278" s="3">
        <f t="shared" si="5"/>
        <v>123.3125</v>
      </c>
      <c r="I278" s="46">
        <v>19.73</v>
      </c>
    </row>
    <row r="279" spans="1:12">
      <c r="A279" t="s">
        <v>4921</v>
      </c>
      <c r="B279" s="1">
        <v>41545</v>
      </c>
      <c r="C279" t="s">
        <v>4922</v>
      </c>
      <c r="D279">
        <v>1</v>
      </c>
      <c r="E279" t="s">
        <v>4923</v>
      </c>
      <c r="F279" s="11" t="s">
        <v>847</v>
      </c>
      <c r="G279" s="11" t="s">
        <v>848</v>
      </c>
      <c r="H279" s="85">
        <f t="shared" si="5"/>
        <v>62.749999999999993</v>
      </c>
      <c r="I279" s="85">
        <v>10.039999999999999</v>
      </c>
      <c r="J279" s="14">
        <f>796.56-H276-H277-H278-H279</f>
        <v>-2.5000000000474643E-3</v>
      </c>
      <c r="K279" s="14">
        <f>127.45-I276-I277-I278-I279</f>
        <v>0</v>
      </c>
    </row>
    <row r="280" spans="1:12">
      <c r="A280" t="s">
        <v>4974</v>
      </c>
      <c r="B280" s="1">
        <v>41547</v>
      </c>
      <c r="C280" t="s">
        <v>4975</v>
      </c>
      <c r="D280">
        <v>1</v>
      </c>
      <c r="E280" t="s">
        <v>4976</v>
      </c>
      <c r="F280" s="28" t="s">
        <v>2343</v>
      </c>
      <c r="G280" s="28" t="s">
        <v>2344</v>
      </c>
      <c r="H280" s="47">
        <f t="shared" si="5"/>
        <v>293</v>
      </c>
      <c r="I280" s="47">
        <v>46.88</v>
      </c>
      <c r="J280" s="3"/>
      <c r="K280" s="3"/>
    </row>
    <row r="281" spans="1:12">
      <c r="A281" t="s">
        <v>4974</v>
      </c>
      <c r="B281" s="1">
        <v>41547</v>
      </c>
      <c r="C281" t="s">
        <v>4975</v>
      </c>
      <c r="D281">
        <v>1</v>
      </c>
      <c r="E281" t="s">
        <v>4976</v>
      </c>
      <c r="F281" t="s">
        <v>946</v>
      </c>
      <c r="G281" t="s">
        <v>947</v>
      </c>
      <c r="H281" s="3">
        <f t="shared" si="5"/>
        <v>114.5</v>
      </c>
      <c r="I281" s="46">
        <f>19.32-1</f>
        <v>18.32</v>
      </c>
      <c r="J281" s="3"/>
      <c r="K281" s="3"/>
    </row>
    <row r="282" spans="1:12">
      <c r="A282" t="s">
        <v>4974</v>
      </c>
      <c r="B282" s="1">
        <v>41547</v>
      </c>
      <c r="C282" t="s">
        <v>4975</v>
      </c>
      <c r="D282">
        <v>1</v>
      </c>
      <c r="E282" t="s">
        <v>4976</v>
      </c>
      <c r="F282" s="11" t="s">
        <v>1649</v>
      </c>
      <c r="G282" s="11" t="s">
        <v>1650</v>
      </c>
      <c r="H282" s="85">
        <f t="shared" si="5"/>
        <v>76.75</v>
      </c>
      <c r="I282" s="85">
        <v>12.28</v>
      </c>
      <c r="J282" s="14">
        <f>484.25-H280-H281-H282</f>
        <v>0</v>
      </c>
      <c r="K282" s="14">
        <f>77.48-I280-I281-I282</f>
        <v>0</v>
      </c>
      <c r="L282" t="s">
        <v>900</v>
      </c>
    </row>
    <row r="283" spans="1:12">
      <c r="A283" t="s">
        <v>4924</v>
      </c>
      <c r="B283" s="1">
        <v>41545</v>
      </c>
      <c r="C283" t="s">
        <v>4925</v>
      </c>
      <c r="D283">
        <v>1</v>
      </c>
      <c r="E283" t="s">
        <v>4926</v>
      </c>
      <c r="F283" s="33" t="s">
        <v>946</v>
      </c>
      <c r="G283" s="33" t="s">
        <v>947</v>
      </c>
      <c r="H283" s="46">
        <f t="shared" si="5"/>
        <v>187.99999999999997</v>
      </c>
      <c r="I283" s="46">
        <v>30.08</v>
      </c>
      <c r="J283" s="3"/>
      <c r="K283" s="3"/>
    </row>
    <row r="284" spans="1:12">
      <c r="A284" t="s">
        <v>4924</v>
      </c>
      <c r="B284" s="1">
        <v>41545</v>
      </c>
      <c r="C284" t="s">
        <v>4925</v>
      </c>
      <c r="D284">
        <v>1</v>
      </c>
      <c r="E284" t="s">
        <v>4926</v>
      </c>
      <c r="F284" s="11" t="s">
        <v>1671</v>
      </c>
      <c r="G284" s="11" t="s">
        <v>5201</v>
      </c>
      <c r="H284" s="85">
        <f t="shared" si="5"/>
        <v>334.1875</v>
      </c>
      <c r="I284" s="85">
        <v>53.47</v>
      </c>
      <c r="J284" s="14">
        <f>522.19-H283-H284</f>
        <v>2.5000000000545697E-3</v>
      </c>
      <c r="K284" s="14">
        <f>83.55-I283-I284</f>
        <v>0</v>
      </c>
    </row>
    <row r="285" spans="1:12">
      <c r="A285" t="s">
        <v>4927</v>
      </c>
      <c r="B285" s="1">
        <v>41545</v>
      </c>
      <c r="C285" t="s">
        <v>4928</v>
      </c>
      <c r="D285">
        <v>1</v>
      </c>
      <c r="E285" t="s">
        <v>4929</v>
      </c>
      <c r="F285" s="11" t="s">
        <v>905</v>
      </c>
      <c r="G285" s="11" t="s">
        <v>906</v>
      </c>
      <c r="H285" s="85">
        <f t="shared" si="5"/>
        <v>326.625</v>
      </c>
      <c r="I285" s="85">
        <v>52.26</v>
      </c>
      <c r="J285" s="3"/>
      <c r="K285" s="3"/>
    </row>
    <row r="286" spans="1:12">
      <c r="A286" t="s">
        <v>4927</v>
      </c>
      <c r="B286" s="1">
        <v>41545</v>
      </c>
      <c r="C286" t="s">
        <v>4928</v>
      </c>
      <c r="D286">
        <v>1</v>
      </c>
      <c r="E286" t="s">
        <v>4929</v>
      </c>
      <c r="F286" s="11" t="s">
        <v>933</v>
      </c>
      <c r="G286" s="11" t="s">
        <v>934</v>
      </c>
      <c r="H286" s="85">
        <f t="shared" si="5"/>
        <v>75</v>
      </c>
      <c r="I286" s="85">
        <v>12</v>
      </c>
      <c r="J286" s="3"/>
      <c r="K286" s="3"/>
    </row>
    <row r="287" spans="1:12">
      <c r="A287" t="s">
        <v>4927</v>
      </c>
      <c r="B287" s="1">
        <v>41545</v>
      </c>
      <c r="C287" t="s">
        <v>4928</v>
      </c>
      <c r="D287">
        <v>1</v>
      </c>
      <c r="E287" t="s">
        <v>4929</v>
      </c>
      <c r="F287" t="s">
        <v>946</v>
      </c>
      <c r="G287" t="s">
        <v>947</v>
      </c>
      <c r="H287" s="46">
        <f t="shared" si="5"/>
        <v>188.8125</v>
      </c>
      <c r="I287" s="46">
        <v>30.21</v>
      </c>
      <c r="J287" s="14">
        <f>590.44-H285-H286-H287</f>
        <v>2.5000000000545697E-3</v>
      </c>
      <c r="K287" s="14">
        <f>94.47-I285-I286-I287</f>
        <v>0</v>
      </c>
    </row>
    <row r="288" spans="1:12">
      <c r="A288" t="s">
        <v>2624</v>
      </c>
      <c r="B288" s="1">
        <v>41547</v>
      </c>
      <c r="C288" t="s">
        <v>4965</v>
      </c>
      <c r="D288">
        <v>1</v>
      </c>
      <c r="E288" t="s">
        <v>4966</v>
      </c>
      <c r="F288" t="s">
        <v>946</v>
      </c>
      <c r="G288" t="s">
        <v>947</v>
      </c>
      <c r="H288" s="46">
        <f t="shared" si="5"/>
        <v>395.8125</v>
      </c>
      <c r="I288" s="46">
        <v>63.33</v>
      </c>
      <c r="J288" s="3"/>
      <c r="K288" s="3"/>
    </row>
    <row r="289" spans="1:11">
      <c r="A289" t="s">
        <v>2624</v>
      </c>
      <c r="B289" s="1">
        <v>41547</v>
      </c>
      <c r="C289" t="s">
        <v>4965</v>
      </c>
      <c r="D289">
        <v>1</v>
      </c>
      <c r="E289" t="s">
        <v>4966</v>
      </c>
      <c r="F289" s="11" t="s">
        <v>5203</v>
      </c>
      <c r="G289" s="11" t="s">
        <v>5204</v>
      </c>
      <c r="H289" s="85">
        <f t="shared" si="5"/>
        <v>103.4375</v>
      </c>
      <c r="I289" s="85">
        <v>16.55</v>
      </c>
    </row>
    <row r="290" spans="1:11">
      <c r="A290" t="s">
        <v>2624</v>
      </c>
      <c r="B290" s="1">
        <v>41547</v>
      </c>
      <c r="C290" t="s">
        <v>4965</v>
      </c>
      <c r="D290">
        <v>1</v>
      </c>
      <c r="E290" t="s">
        <v>4966</v>
      </c>
      <c r="F290" s="28" t="s">
        <v>1684</v>
      </c>
      <c r="G290" s="28" t="s">
        <v>1685</v>
      </c>
      <c r="H290" s="47">
        <f t="shared" si="5"/>
        <v>334.1875</v>
      </c>
      <c r="I290" s="47">
        <v>53.47</v>
      </c>
      <c r="J290" s="14">
        <f>833.44-H288-H289-H290</f>
        <v>2.5000000000545697E-3</v>
      </c>
      <c r="K290" s="14">
        <f>133.35-I288-I289-I290</f>
        <v>0</v>
      </c>
    </row>
    <row r="291" spans="1:11">
      <c r="A291" t="s">
        <v>4930</v>
      </c>
      <c r="B291" s="1">
        <v>41545</v>
      </c>
      <c r="C291" t="s">
        <v>4931</v>
      </c>
      <c r="D291">
        <v>1</v>
      </c>
      <c r="E291" t="s">
        <v>4932</v>
      </c>
      <c r="F291" t="s">
        <v>946</v>
      </c>
      <c r="G291" t="s">
        <v>947</v>
      </c>
      <c r="H291" s="46">
        <f t="shared" si="5"/>
        <v>176.8125</v>
      </c>
      <c r="I291" s="46">
        <v>28.29</v>
      </c>
      <c r="J291" s="3"/>
      <c r="K291" s="3"/>
    </row>
    <row r="292" spans="1:11">
      <c r="A292" t="s">
        <v>4930</v>
      </c>
      <c r="B292" s="1">
        <v>41545</v>
      </c>
      <c r="C292" t="s">
        <v>4931</v>
      </c>
      <c r="D292">
        <v>1</v>
      </c>
      <c r="E292" t="s">
        <v>4932</v>
      </c>
      <c r="F292" s="28" t="s">
        <v>5205</v>
      </c>
      <c r="G292" s="28" t="s">
        <v>5206</v>
      </c>
      <c r="H292" s="47">
        <f t="shared" si="5"/>
        <v>375.99999999999994</v>
      </c>
      <c r="I292" s="47">
        <v>60.16</v>
      </c>
    </row>
    <row r="293" spans="1:11">
      <c r="A293" t="s">
        <v>4930</v>
      </c>
      <c r="B293" s="1">
        <v>41545</v>
      </c>
      <c r="C293" t="s">
        <v>4931</v>
      </c>
      <c r="D293">
        <v>1</v>
      </c>
      <c r="E293" t="s">
        <v>4932</v>
      </c>
      <c r="F293" s="11" t="s">
        <v>2277</v>
      </c>
      <c r="G293" s="11" t="s">
        <v>2278</v>
      </c>
      <c r="H293" s="85">
        <f t="shared" si="5"/>
        <v>81.875</v>
      </c>
      <c r="I293" s="85">
        <v>13.1</v>
      </c>
      <c r="J293" s="14">
        <f>634.69-H291-H292-H293</f>
        <v>2.5000000001114131E-3</v>
      </c>
      <c r="K293" s="14">
        <f>101.55-I291-I292-I293</f>
        <v>0</v>
      </c>
    </row>
    <row r="294" spans="1:11">
      <c r="A294" t="s">
        <v>2621</v>
      </c>
      <c r="B294" s="1">
        <v>41547</v>
      </c>
      <c r="C294" t="s">
        <v>4963</v>
      </c>
      <c r="D294">
        <v>1</v>
      </c>
      <c r="E294" t="s">
        <v>4964</v>
      </c>
      <c r="F294" t="s">
        <v>946</v>
      </c>
      <c r="G294" t="s">
        <v>947</v>
      </c>
      <c r="H294" s="46">
        <f t="shared" si="5"/>
        <v>176.8125</v>
      </c>
      <c r="I294" s="46">
        <v>28.29</v>
      </c>
      <c r="J294" s="3"/>
      <c r="K294" s="3"/>
    </row>
    <row r="295" spans="1:11">
      <c r="A295" t="s">
        <v>2621</v>
      </c>
      <c r="B295" s="1">
        <v>41547</v>
      </c>
      <c r="C295" t="s">
        <v>4963</v>
      </c>
      <c r="D295">
        <v>1</v>
      </c>
      <c r="E295" t="s">
        <v>4964</v>
      </c>
      <c r="F295" s="11" t="s">
        <v>1649</v>
      </c>
      <c r="G295" s="11" t="s">
        <v>1650</v>
      </c>
      <c r="H295" s="85">
        <f t="shared" si="5"/>
        <v>76.75</v>
      </c>
      <c r="I295" s="85">
        <v>12.28</v>
      </c>
    </row>
    <row r="296" spans="1:11">
      <c r="A296" t="s">
        <v>2621</v>
      </c>
      <c r="B296" s="1">
        <v>41547</v>
      </c>
      <c r="C296" t="s">
        <v>4963</v>
      </c>
      <c r="D296">
        <v>1</v>
      </c>
      <c r="E296" t="s">
        <v>4964</v>
      </c>
      <c r="F296" s="28" t="s">
        <v>5205</v>
      </c>
      <c r="G296" s="28" t="s">
        <v>5207</v>
      </c>
      <c r="H296" s="47">
        <f t="shared" si="5"/>
        <v>390.8125</v>
      </c>
      <c r="I296" s="47">
        <v>62.53</v>
      </c>
      <c r="J296" s="14">
        <f>644.38-H294-H295-H296</f>
        <v>4.9999999999954525E-3</v>
      </c>
      <c r="K296" s="14">
        <f>103.1-I294-I295-I296</f>
        <v>0</v>
      </c>
    </row>
    <row r="297" spans="1:11">
      <c r="A297" t="s">
        <v>5010</v>
      </c>
      <c r="B297" s="1">
        <v>41547</v>
      </c>
      <c r="C297" t="s">
        <v>5011</v>
      </c>
      <c r="D297">
        <v>1</v>
      </c>
      <c r="E297" t="s">
        <v>5012</v>
      </c>
      <c r="F297" s="28" t="s">
        <v>1655</v>
      </c>
      <c r="G297" s="28" t="s">
        <v>3772</v>
      </c>
      <c r="H297" s="47">
        <f t="shared" si="5"/>
        <v>722.75</v>
      </c>
      <c r="I297" s="47">
        <v>115.64</v>
      </c>
      <c r="J297" s="3"/>
      <c r="K297" s="3"/>
    </row>
    <row r="298" spans="1:11">
      <c r="A298" t="s">
        <v>5010</v>
      </c>
      <c r="B298" s="1">
        <v>41547</v>
      </c>
      <c r="C298" t="s">
        <v>5011</v>
      </c>
      <c r="D298">
        <v>1</v>
      </c>
      <c r="E298" t="s">
        <v>5012</v>
      </c>
      <c r="F298" s="28" t="s">
        <v>5208</v>
      </c>
      <c r="G298" s="28" t="s">
        <v>5209</v>
      </c>
      <c r="H298" s="47">
        <f t="shared" si="5"/>
        <v>732.5625</v>
      </c>
      <c r="I298" s="47">
        <v>117.21</v>
      </c>
    </row>
    <row r="299" spans="1:11">
      <c r="A299" t="s">
        <v>5010</v>
      </c>
      <c r="B299" s="1">
        <v>41547</v>
      </c>
      <c r="C299" t="s">
        <v>5011</v>
      </c>
      <c r="D299">
        <v>1</v>
      </c>
      <c r="E299" t="s">
        <v>5012</v>
      </c>
      <c r="F299" s="28" t="s">
        <v>5210</v>
      </c>
      <c r="G299" s="28" t="s">
        <v>5211</v>
      </c>
      <c r="H299" s="47">
        <f t="shared" si="5"/>
        <v>296.625</v>
      </c>
      <c r="I299" s="47">
        <v>47.46</v>
      </c>
    </row>
    <row r="300" spans="1:11">
      <c r="A300" t="s">
        <v>5010</v>
      </c>
      <c r="B300" s="1">
        <v>41547</v>
      </c>
      <c r="C300" t="s">
        <v>5011</v>
      </c>
      <c r="D300">
        <v>1</v>
      </c>
      <c r="E300" t="s">
        <v>5012</v>
      </c>
      <c r="F300" s="28" t="s">
        <v>5212</v>
      </c>
      <c r="G300" s="28" t="s">
        <v>5213</v>
      </c>
      <c r="H300" s="47">
        <f t="shared" si="5"/>
        <v>742.3125</v>
      </c>
      <c r="I300" s="47">
        <v>118.77</v>
      </c>
    </row>
    <row r="301" spans="1:11">
      <c r="A301" t="s">
        <v>5010</v>
      </c>
      <c r="B301" s="1">
        <v>41547</v>
      </c>
      <c r="C301" t="s">
        <v>5011</v>
      </c>
      <c r="D301">
        <v>1</v>
      </c>
      <c r="E301" t="s">
        <v>5012</v>
      </c>
      <c r="F301" s="11" t="s">
        <v>2871</v>
      </c>
      <c r="G301" s="11" t="s">
        <v>2872</v>
      </c>
      <c r="H301" s="85">
        <f t="shared" si="5"/>
        <v>98</v>
      </c>
      <c r="I301" s="85">
        <v>15.68</v>
      </c>
    </row>
    <row r="302" spans="1:11">
      <c r="A302" t="s">
        <v>5010</v>
      </c>
      <c r="B302" s="1">
        <v>41547</v>
      </c>
      <c r="C302" t="s">
        <v>5011</v>
      </c>
      <c r="D302">
        <v>1</v>
      </c>
      <c r="E302" t="s">
        <v>5012</v>
      </c>
      <c r="F302" s="28" t="s">
        <v>2880</v>
      </c>
      <c r="G302" s="28" t="s">
        <v>2881</v>
      </c>
      <c r="H302" s="47">
        <f t="shared" si="5"/>
        <v>732.5625</v>
      </c>
      <c r="I302" s="47">
        <v>117.21</v>
      </c>
    </row>
    <row r="303" spans="1:11">
      <c r="A303" t="s">
        <v>5010</v>
      </c>
      <c r="B303" s="1">
        <v>41547</v>
      </c>
      <c r="C303" t="s">
        <v>5011</v>
      </c>
      <c r="D303">
        <v>1</v>
      </c>
      <c r="E303" t="s">
        <v>5012</v>
      </c>
      <c r="F303" s="33" t="s">
        <v>946</v>
      </c>
      <c r="G303" s="33" t="s">
        <v>947</v>
      </c>
      <c r="H303" s="46">
        <f t="shared" si="5"/>
        <v>888.8125</v>
      </c>
      <c r="I303" s="46">
        <v>142.21</v>
      </c>
      <c r="J303" s="14">
        <f>4213.63-H297-H298-H299-H300-H301-H302-H303</f>
        <v>5.0000000001091394E-3</v>
      </c>
      <c r="K303" s="14">
        <f>674.18-I297-I298-I299-I300-I301-I302-I303</f>
        <v>0</v>
      </c>
    </row>
    <row r="304" spans="1:11">
      <c r="A304" t="s">
        <v>4914</v>
      </c>
      <c r="B304" s="1">
        <v>41545</v>
      </c>
      <c r="C304" t="s">
        <v>4915</v>
      </c>
      <c r="D304">
        <v>1</v>
      </c>
      <c r="E304" t="s">
        <v>4916</v>
      </c>
      <c r="F304" s="28" t="s">
        <v>2880</v>
      </c>
      <c r="G304" s="28" t="s">
        <v>2881</v>
      </c>
      <c r="H304" s="47">
        <f t="shared" si="5"/>
        <v>800.9375</v>
      </c>
      <c r="I304" s="47">
        <v>128.15</v>
      </c>
      <c r="J304" s="3"/>
      <c r="K304" s="3"/>
    </row>
    <row r="305" spans="1:11">
      <c r="A305" t="s">
        <v>4914</v>
      </c>
      <c r="B305" s="1">
        <v>41545</v>
      </c>
      <c r="C305" t="s">
        <v>4915</v>
      </c>
      <c r="D305">
        <v>1</v>
      </c>
      <c r="E305" t="s">
        <v>4916</v>
      </c>
      <c r="F305" s="33" t="s">
        <v>946</v>
      </c>
      <c r="G305" s="33" t="s">
        <v>947</v>
      </c>
      <c r="H305" s="46">
        <f t="shared" si="5"/>
        <v>34.5</v>
      </c>
      <c r="I305" s="46">
        <v>5.52</v>
      </c>
    </row>
    <row r="306" spans="1:11">
      <c r="A306" t="s">
        <v>4914</v>
      </c>
      <c r="B306" s="1">
        <v>41545</v>
      </c>
      <c r="C306" t="s">
        <v>4915</v>
      </c>
      <c r="D306">
        <v>1</v>
      </c>
      <c r="E306" t="s">
        <v>4916</v>
      </c>
      <c r="F306" s="33" t="s">
        <v>946</v>
      </c>
      <c r="G306" s="33" t="s">
        <v>947</v>
      </c>
      <c r="H306" s="46">
        <f t="shared" si="5"/>
        <v>200</v>
      </c>
      <c r="I306" s="46">
        <v>32</v>
      </c>
    </row>
    <row r="307" spans="1:11">
      <c r="A307" t="s">
        <v>4914</v>
      </c>
      <c r="B307" s="1">
        <v>41545</v>
      </c>
      <c r="C307" t="s">
        <v>4915</v>
      </c>
      <c r="D307">
        <v>1</v>
      </c>
      <c r="E307" t="s">
        <v>4916</v>
      </c>
      <c r="F307" s="33" t="s">
        <v>946</v>
      </c>
      <c r="G307" s="33" t="s">
        <v>947</v>
      </c>
      <c r="H307" s="46">
        <f t="shared" si="5"/>
        <v>770.8125</v>
      </c>
      <c r="I307" s="46">
        <v>123.33</v>
      </c>
    </row>
    <row r="308" spans="1:11">
      <c r="A308" t="s">
        <v>4914</v>
      </c>
      <c r="B308" s="1">
        <v>41545</v>
      </c>
      <c r="C308" t="s">
        <v>4915</v>
      </c>
      <c r="D308">
        <v>1</v>
      </c>
      <c r="E308" t="s">
        <v>4916</v>
      </c>
      <c r="F308" s="11" t="s">
        <v>5214</v>
      </c>
      <c r="G308" s="11" t="s">
        <v>5215</v>
      </c>
      <c r="H308" s="85">
        <f t="shared" si="5"/>
        <v>313.4375</v>
      </c>
      <c r="I308" s="85">
        <v>50.15</v>
      </c>
    </row>
    <row r="309" spans="1:11">
      <c r="A309" t="s">
        <v>4914</v>
      </c>
      <c r="B309" s="1">
        <v>41545</v>
      </c>
      <c r="C309" t="s">
        <v>4915</v>
      </c>
      <c r="D309">
        <v>1</v>
      </c>
      <c r="E309" t="s">
        <v>4916</v>
      </c>
      <c r="F309" s="11" t="s">
        <v>5218</v>
      </c>
      <c r="G309" s="11" t="s">
        <v>5219</v>
      </c>
      <c r="H309" s="85">
        <f t="shared" si="5"/>
        <v>601.5625</v>
      </c>
      <c r="I309" s="85">
        <v>96.25</v>
      </c>
    </row>
    <row r="310" spans="1:11">
      <c r="A310" t="s">
        <v>4914</v>
      </c>
      <c r="B310" s="1">
        <v>41545</v>
      </c>
      <c r="C310" t="s">
        <v>4915</v>
      </c>
      <c r="D310">
        <v>1</v>
      </c>
      <c r="E310" t="s">
        <v>4916</v>
      </c>
      <c r="F310" s="11" t="s">
        <v>4709</v>
      </c>
      <c r="G310" s="11" t="s">
        <v>4710</v>
      </c>
      <c r="H310" s="85">
        <f t="shared" si="5"/>
        <v>93.125</v>
      </c>
      <c r="I310" s="85">
        <v>14.9</v>
      </c>
      <c r="J310" s="14">
        <f>2814.38-H304-H305-H306-H307-H308-H309-H310</f>
        <v>5.0000000001091394E-3</v>
      </c>
      <c r="K310" s="14">
        <f>450.3-I304-I305-I306-I307-I308-I309-I310</f>
        <v>0</v>
      </c>
    </row>
    <row r="311" spans="1:11">
      <c r="A311" t="s">
        <v>4914</v>
      </c>
      <c r="B311" s="1">
        <v>41545</v>
      </c>
      <c r="C311" t="s">
        <v>4915</v>
      </c>
      <c r="D311">
        <v>1</v>
      </c>
      <c r="E311" t="s">
        <v>4917</v>
      </c>
      <c r="F311" s="28" t="s">
        <v>5216</v>
      </c>
      <c r="G311" s="28" t="s">
        <v>5217</v>
      </c>
      <c r="H311" s="47">
        <f t="shared" si="5"/>
        <v>554.6875</v>
      </c>
      <c r="I311" s="47">
        <v>88.75</v>
      </c>
      <c r="J311" s="3"/>
      <c r="K311" s="3"/>
    </row>
    <row r="312" spans="1:11">
      <c r="A312" t="s">
        <v>4914</v>
      </c>
      <c r="B312" s="1">
        <v>41545</v>
      </c>
      <c r="C312" t="s">
        <v>4915</v>
      </c>
      <c r="D312">
        <v>1</v>
      </c>
      <c r="E312" t="s">
        <v>4917</v>
      </c>
      <c r="F312" s="28" t="s">
        <v>5222</v>
      </c>
      <c r="G312" s="28" t="s">
        <v>5223</v>
      </c>
      <c r="H312" s="47">
        <f t="shared" si="5"/>
        <v>493.31250000000006</v>
      </c>
      <c r="I312" s="47">
        <v>78.930000000000007</v>
      </c>
      <c r="J312" s="14">
        <f>1048-H311-H312</f>
        <v>0</v>
      </c>
      <c r="K312" s="14">
        <f>167.68-I311-I312</f>
        <v>0</v>
      </c>
    </row>
    <row r="313" spans="1:11">
      <c r="A313" t="s">
        <v>2630</v>
      </c>
      <c r="B313" s="1">
        <v>41547</v>
      </c>
      <c r="C313" t="s">
        <v>4972</v>
      </c>
      <c r="D313">
        <v>1</v>
      </c>
      <c r="E313" t="s">
        <v>4973</v>
      </c>
      <c r="F313" s="28" t="s">
        <v>913</v>
      </c>
      <c r="G313" s="28" t="s">
        <v>914</v>
      </c>
      <c r="H313" s="47">
        <f t="shared" si="5"/>
        <v>489.4375</v>
      </c>
      <c r="I313" s="47">
        <v>78.31</v>
      </c>
      <c r="J313" s="3"/>
      <c r="K313" s="3"/>
    </row>
    <row r="314" spans="1:11">
      <c r="A314" t="s">
        <v>2630</v>
      </c>
      <c r="B314" s="1">
        <v>41547</v>
      </c>
      <c r="C314" t="s">
        <v>4972</v>
      </c>
      <c r="D314">
        <v>1</v>
      </c>
      <c r="E314" t="s">
        <v>4973</v>
      </c>
      <c r="F314" t="s">
        <v>946</v>
      </c>
      <c r="G314" t="s">
        <v>947</v>
      </c>
      <c r="H314" s="46">
        <f t="shared" si="5"/>
        <v>663.125</v>
      </c>
      <c r="I314" s="46">
        <v>106.1</v>
      </c>
    </row>
    <row r="315" spans="1:11">
      <c r="A315" t="s">
        <v>2630</v>
      </c>
      <c r="B315" s="1">
        <v>41547</v>
      </c>
      <c r="C315" t="s">
        <v>4972</v>
      </c>
      <c r="D315">
        <v>1</v>
      </c>
      <c r="E315" t="s">
        <v>4973</v>
      </c>
      <c r="F315" s="28" t="s">
        <v>939</v>
      </c>
      <c r="G315" s="28" t="s">
        <v>940</v>
      </c>
      <c r="H315" s="47">
        <f t="shared" si="5"/>
        <v>334.1875</v>
      </c>
      <c r="I315" s="47">
        <v>53.47</v>
      </c>
      <c r="J315" s="14">
        <f>1486.75-H313-H314-H315</f>
        <v>0</v>
      </c>
      <c r="K315" s="14">
        <f>237.88-I313-I314-I315</f>
        <v>0</v>
      </c>
    </row>
    <row r="316" spans="1:11">
      <c r="A316" t="s">
        <v>1920</v>
      </c>
      <c r="B316" s="1">
        <v>41545</v>
      </c>
      <c r="C316" t="s">
        <v>4909</v>
      </c>
      <c r="D316">
        <v>1</v>
      </c>
      <c r="E316" t="s">
        <v>4910</v>
      </c>
      <c r="F316" s="113" t="s">
        <v>5224</v>
      </c>
      <c r="G316" s="11" t="s">
        <v>5225</v>
      </c>
      <c r="H316" s="85">
        <f t="shared" si="5"/>
        <v>90.5</v>
      </c>
      <c r="I316" s="85">
        <v>14.48</v>
      </c>
      <c r="J316" s="3"/>
      <c r="K316" s="3"/>
    </row>
    <row r="317" spans="1:11">
      <c r="A317" t="s">
        <v>1920</v>
      </c>
      <c r="B317" s="1">
        <v>41545</v>
      </c>
      <c r="C317" t="s">
        <v>4909</v>
      </c>
      <c r="D317">
        <v>1</v>
      </c>
      <c r="E317" t="s">
        <v>4910</v>
      </c>
      <c r="F317" s="113" t="s">
        <v>3389</v>
      </c>
      <c r="G317" s="11" t="s">
        <v>4336</v>
      </c>
      <c r="H317" s="85">
        <f t="shared" si="5"/>
        <v>55.937499999999993</v>
      </c>
      <c r="I317" s="85">
        <v>8.9499999999999993</v>
      </c>
    </row>
    <row r="318" spans="1:11">
      <c r="A318" t="s">
        <v>1920</v>
      </c>
      <c r="B318" s="1">
        <v>41545</v>
      </c>
      <c r="C318" t="s">
        <v>4909</v>
      </c>
      <c r="D318">
        <v>1</v>
      </c>
      <c r="E318" t="s">
        <v>4910</v>
      </c>
      <c r="F318" s="70" t="s">
        <v>937</v>
      </c>
      <c r="G318" s="28" t="s">
        <v>938</v>
      </c>
      <c r="H318" s="47">
        <f t="shared" si="5"/>
        <v>275.8125</v>
      </c>
      <c r="I318" s="47">
        <v>44.13</v>
      </c>
    </row>
    <row r="319" spans="1:11">
      <c r="A319" t="s">
        <v>1920</v>
      </c>
      <c r="B319" s="1">
        <v>41545</v>
      </c>
      <c r="C319" t="s">
        <v>4909</v>
      </c>
      <c r="D319">
        <v>1</v>
      </c>
      <c r="E319" t="s">
        <v>4910</v>
      </c>
      <c r="F319" s="70" t="s">
        <v>1655</v>
      </c>
      <c r="G319" s="28" t="s">
        <v>3772</v>
      </c>
      <c r="H319" s="47">
        <f t="shared" si="5"/>
        <v>726.99999999999989</v>
      </c>
      <c r="I319" s="47">
        <v>116.32</v>
      </c>
    </row>
    <row r="320" spans="1:11">
      <c r="A320" t="s">
        <v>1920</v>
      </c>
      <c r="B320" s="1">
        <v>41545</v>
      </c>
      <c r="C320" t="s">
        <v>4909</v>
      </c>
      <c r="D320">
        <v>1</v>
      </c>
      <c r="E320" t="s">
        <v>4910</v>
      </c>
      <c r="F320" s="115" t="s">
        <v>946</v>
      </c>
      <c r="G320" t="s">
        <v>947</v>
      </c>
      <c r="H320" s="46">
        <f t="shared" si="5"/>
        <v>1005.25</v>
      </c>
      <c r="I320" s="46">
        <v>160.84</v>
      </c>
    </row>
    <row r="321" spans="1:11">
      <c r="A321" t="s">
        <v>1920</v>
      </c>
      <c r="B321" s="1">
        <v>41545</v>
      </c>
      <c r="C321" t="s">
        <v>4909</v>
      </c>
      <c r="D321">
        <v>1</v>
      </c>
      <c r="E321" t="s">
        <v>4910</v>
      </c>
      <c r="F321" s="70" t="s">
        <v>5226</v>
      </c>
      <c r="G321" s="28" t="s">
        <v>5227</v>
      </c>
      <c r="H321" s="47">
        <f t="shared" si="5"/>
        <v>530.5</v>
      </c>
      <c r="I321" s="47">
        <v>84.88</v>
      </c>
      <c r="J321" s="14">
        <f>2685-H316-H317-H318-H319-H320-H321</f>
        <v>0</v>
      </c>
      <c r="K321" s="14">
        <f>429.6-I316-I317-I318-I319-I320-I321</f>
        <v>0</v>
      </c>
    </row>
    <row r="322" spans="1:11">
      <c r="A322" t="s">
        <v>1920</v>
      </c>
      <c r="B322" s="1">
        <v>41545</v>
      </c>
      <c r="C322" t="s">
        <v>4909</v>
      </c>
      <c r="D322">
        <v>1</v>
      </c>
      <c r="E322" t="s">
        <v>4911</v>
      </c>
      <c r="F322" s="70" t="s">
        <v>5222</v>
      </c>
      <c r="G322" s="28" t="s">
        <v>5223</v>
      </c>
      <c r="H322" s="47">
        <f t="shared" si="5"/>
        <v>498.25</v>
      </c>
      <c r="I322" s="47">
        <v>79.72</v>
      </c>
      <c r="J322" s="3"/>
      <c r="K322" s="3"/>
    </row>
    <row r="323" spans="1:11">
      <c r="A323" t="s">
        <v>1920</v>
      </c>
      <c r="B323" s="1">
        <v>41545</v>
      </c>
      <c r="C323" t="s">
        <v>4909</v>
      </c>
      <c r="D323">
        <v>1</v>
      </c>
      <c r="E323" t="s">
        <v>4911</v>
      </c>
      <c r="F323" s="70" t="s">
        <v>5228</v>
      </c>
      <c r="G323" s="28" t="s">
        <v>5229</v>
      </c>
      <c r="H323" s="47">
        <f t="shared" si="5"/>
        <v>518.8125</v>
      </c>
      <c r="I323" s="47">
        <v>83.01</v>
      </c>
      <c r="J323" s="14">
        <f>1017.06-H322-H323</f>
        <v>-2.5000000000545697E-3</v>
      </c>
      <c r="K323" s="14">
        <f>162.73-I322-I323</f>
        <v>0</v>
      </c>
    </row>
    <row r="324" spans="1:11">
      <c r="A324" t="s">
        <v>1922</v>
      </c>
      <c r="B324" s="1">
        <v>41545</v>
      </c>
      <c r="C324" t="s">
        <v>4912</v>
      </c>
      <c r="D324">
        <v>1</v>
      </c>
      <c r="E324" t="s">
        <v>4913</v>
      </c>
      <c r="F324" s="28" t="s">
        <v>2343</v>
      </c>
      <c r="G324" s="28" t="s">
        <v>2344</v>
      </c>
      <c r="H324" s="47">
        <f t="shared" si="5"/>
        <v>334.3125</v>
      </c>
      <c r="I324" s="47">
        <v>53.49</v>
      </c>
      <c r="J324" s="3"/>
      <c r="K324" s="3"/>
    </row>
    <row r="325" spans="1:11">
      <c r="A325" t="s">
        <v>1922</v>
      </c>
      <c r="B325" s="1">
        <v>41545</v>
      </c>
      <c r="C325" t="s">
        <v>4912</v>
      </c>
      <c r="D325">
        <v>1</v>
      </c>
      <c r="E325" t="s">
        <v>4913</v>
      </c>
      <c r="F325" s="115" t="s">
        <v>946</v>
      </c>
      <c r="G325" s="33" t="s">
        <v>947</v>
      </c>
      <c r="H325" s="46">
        <f t="shared" si="5"/>
        <v>271.625</v>
      </c>
      <c r="I325" s="46">
        <v>43.46</v>
      </c>
    </row>
    <row r="326" spans="1:11">
      <c r="A326" t="s">
        <v>1922</v>
      </c>
      <c r="B326" s="1">
        <v>41545</v>
      </c>
      <c r="C326" t="s">
        <v>4912</v>
      </c>
      <c r="D326">
        <v>1</v>
      </c>
      <c r="E326" t="s">
        <v>4913</v>
      </c>
      <c r="F326" s="113" t="s">
        <v>941</v>
      </c>
      <c r="G326" s="11" t="s">
        <v>942</v>
      </c>
      <c r="H326" s="85">
        <f t="shared" si="5"/>
        <v>68.9375</v>
      </c>
      <c r="I326" s="85">
        <v>11.03</v>
      </c>
      <c r="J326" s="14">
        <f>674.88-H324-H325-H326</f>
        <v>4.9999999999954525E-3</v>
      </c>
      <c r="K326" s="14">
        <f>107.98-I324-I325-I326</f>
        <v>0</v>
      </c>
    </row>
    <row r="327" spans="1:11">
      <c r="A327" t="s">
        <v>4918</v>
      </c>
      <c r="B327" s="1">
        <v>41545</v>
      </c>
      <c r="C327" t="s">
        <v>4919</v>
      </c>
      <c r="D327">
        <v>1</v>
      </c>
      <c r="E327" t="s">
        <v>4920</v>
      </c>
      <c r="F327" s="28" t="s">
        <v>3395</v>
      </c>
      <c r="G327" s="28" t="s">
        <v>4340</v>
      </c>
      <c r="H327" s="47">
        <f t="shared" si="5"/>
        <v>334.1875</v>
      </c>
      <c r="I327" s="47">
        <v>53.47</v>
      </c>
      <c r="J327" s="3"/>
      <c r="K327" s="3"/>
    </row>
    <row r="328" spans="1:11">
      <c r="A328" t="s">
        <v>4918</v>
      </c>
      <c r="B328" s="1">
        <v>41545</v>
      </c>
      <c r="C328" t="s">
        <v>4919</v>
      </c>
      <c r="D328">
        <v>1</v>
      </c>
      <c r="E328" t="s">
        <v>4920</v>
      </c>
      <c r="F328" s="33" t="s">
        <v>946</v>
      </c>
      <c r="G328" s="33" t="s">
        <v>947</v>
      </c>
      <c r="H328" s="46">
        <f t="shared" si="5"/>
        <v>73.3125</v>
      </c>
      <c r="I328" s="46">
        <v>11.73</v>
      </c>
    </row>
    <row r="329" spans="1:11">
      <c r="A329" t="s">
        <v>4918</v>
      </c>
      <c r="B329" s="1">
        <v>41545</v>
      </c>
      <c r="C329" t="s">
        <v>4919</v>
      </c>
      <c r="D329">
        <v>1</v>
      </c>
      <c r="E329" t="s">
        <v>4920</v>
      </c>
      <c r="F329" s="33" t="s">
        <v>946</v>
      </c>
      <c r="G329" s="33" t="s">
        <v>947</v>
      </c>
      <c r="H329" s="46">
        <f t="shared" si="5"/>
        <v>133.625</v>
      </c>
      <c r="I329" s="46">
        <v>21.38</v>
      </c>
      <c r="J329" s="14">
        <f>541.13-H327-H328-H329</f>
        <v>4.9999999999954525E-3</v>
      </c>
      <c r="K329" s="14">
        <f>86.58-I327-I328-I329</f>
        <v>0</v>
      </c>
    </row>
    <row r="330" spans="1:11">
      <c r="A330" t="s">
        <v>616</v>
      </c>
      <c r="B330" s="1">
        <v>41547</v>
      </c>
      <c r="C330" t="s">
        <v>5017</v>
      </c>
      <c r="D330">
        <v>1</v>
      </c>
      <c r="E330" t="s">
        <v>5018</v>
      </c>
      <c r="F330" t="s">
        <v>946</v>
      </c>
      <c r="G330" t="s">
        <v>947</v>
      </c>
      <c r="H330" s="3">
        <f t="shared" si="5"/>
        <v>370.75</v>
      </c>
      <c r="I330" s="46">
        <v>59.32</v>
      </c>
      <c r="J330" s="3"/>
      <c r="K330" s="3"/>
    </row>
    <row r="331" spans="1:11">
      <c r="A331" t="s">
        <v>616</v>
      </c>
      <c r="B331" s="1">
        <v>41547</v>
      </c>
      <c r="C331" t="s">
        <v>5017</v>
      </c>
      <c r="D331">
        <v>1</v>
      </c>
      <c r="E331" t="s">
        <v>5018</v>
      </c>
      <c r="F331" s="11" t="s">
        <v>5231</v>
      </c>
      <c r="G331" s="11" t="s">
        <v>5232</v>
      </c>
      <c r="H331" s="85">
        <f t="shared" si="5"/>
        <v>108.62499999999999</v>
      </c>
      <c r="I331" s="85">
        <v>17.38</v>
      </c>
    </row>
    <row r="332" spans="1:11">
      <c r="A332" t="s">
        <v>616</v>
      </c>
      <c r="B332" s="1">
        <v>41547</v>
      </c>
      <c r="C332" t="s">
        <v>5017</v>
      </c>
      <c r="D332">
        <v>1</v>
      </c>
      <c r="E332" t="s">
        <v>5018</v>
      </c>
      <c r="F332" t="s">
        <v>1676</v>
      </c>
      <c r="G332" t="s">
        <v>1677</v>
      </c>
      <c r="H332" s="3">
        <f t="shared" si="5"/>
        <v>591.8125</v>
      </c>
      <c r="I332" s="46">
        <v>94.69</v>
      </c>
      <c r="J332" s="14">
        <f>1071.19-H330-H331-H332</f>
        <v>2.5000000000545697E-3</v>
      </c>
      <c r="K332" s="14">
        <f>171.39-I330-I331-I332</f>
        <v>0</v>
      </c>
    </row>
    <row r="333" spans="1:11">
      <c r="A333" t="s">
        <v>2629</v>
      </c>
      <c r="B333" s="1">
        <v>41547</v>
      </c>
      <c r="C333" t="s">
        <v>4967</v>
      </c>
      <c r="D333">
        <v>1</v>
      </c>
      <c r="E333" t="s">
        <v>4968</v>
      </c>
      <c r="F333" t="s">
        <v>2899</v>
      </c>
      <c r="G333" t="s">
        <v>2900</v>
      </c>
      <c r="H333" s="46">
        <f t="shared" ref="H333:H359" si="6">I333/0.16</f>
        <v>518.1875</v>
      </c>
      <c r="I333" s="46">
        <v>82.91</v>
      </c>
      <c r="J333" s="3"/>
      <c r="K333" s="3"/>
    </row>
    <row r="334" spans="1:11">
      <c r="A334" t="s">
        <v>2629</v>
      </c>
      <c r="B334" s="1">
        <v>41547</v>
      </c>
      <c r="C334" t="s">
        <v>4967</v>
      </c>
      <c r="D334">
        <v>1</v>
      </c>
      <c r="E334" t="s">
        <v>4968</v>
      </c>
      <c r="F334" t="s">
        <v>946</v>
      </c>
      <c r="G334" t="s">
        <v>947</v>
      </c>
      <c r="H334" s="46">
        <f t="shared" si="6"/>
        <v>261.1875</v>
      </c>
      <c r="I334" s="46">
        <v>41.79</v>
      </c>
      <c r="J334" s="3"/>
      <c r="K334" s="3"/>
    </row>
    <row r="335" spans="1:11">
      <c r="A335" t="s">
        <v>2629</v>
      </c>
      <c r="B335" s="1">
        <v>41547</v>
      </c>
      <c r="C335" t="s">
        <v>4967</v>
      </c>
      <c r="D335">
        <v>1</v>
      </c>
      <c r="E335" t="s">
        <v>4968</v>
      </c>
      <c r="F335" t="s">
        <v>946</v>
      </c>
      <c r="G335" t="s">
        <v>947</v>
      </c>
      <c r="H335" s="46">
        <f t="shared" si="6"/>
        <v>379.375</v>
      </c>
      <c r="I335" s="46">
        <v>60.7</v>
      </c>
    </row>
    <row r="336" spans="1:11">
      <c r="A336" t="s">
        <v>2629</v>
      </c>
      <c r="B336" s="1">
        <v>41547</v>
      </c>
      <c r="C336" t="s">
        <v>4967</v>
      </c>
      <c r="D336">
        <v>1</v>
      </c>
      <c r="E336" t="s">
        <v>4968</v>
      </c>
      <c r="F336" s="11" t="s">
        <v>2896</v>
      </c>
      <c r="G336" s="11" t="s">
        <v>5233</v>
      </c>
      <c r="H336" s="85">
        <f t="shared" si="6"/>
        <v>569</v>
      </c>
      <c r="I336" s="85">
        <v>91.04</v>
      </c>
    </row>
    <row r="337" spans="1:11">
      <c r="A337" t="s">
        <v>2629</v>
      </c>
      <c r="B337" s="1">
        <v>41547</v>
      </c>
      <c r="C337" t="s">
        <v>4967</v>
      </c>
      <c r="D337">
        <v>1</v>
      </c>
      <c r="E337" t="s">
        <v>4968</v>
      </c>
      <c r="F337" s="11" t="s">
        <v>3768</v>
      </c>
      <c r="G337" s="11" t="s">
        <v>3769</v>
      </c>
      <c r="H337" s="85">
        <f t="shared" si="6"/>
        <v>292.5</v>
      </c>
      <c r="I337" s="85">
        <v>46.8</v>
      </c>
      <c r="J337" s="14">
        <f>2020.25-H333-H334-H335-H336-H337</f>
        <v>0</v>
      </c>
      <c r="K337" s="14">
        <f>323.24-I333-I334-I335-I336-I337</f>
        <v>0</v>
      </c>
    </row>
    <row r="338" spans="1:11">
      <c r="A338" t="s">
        <v>4960</v>
      </c>
      <c r="B338" s="1">
        <v>41547</v>
      </c>
      <c r="C338" t="s">
        <v>4961</v>
      </c>
      <c r="D338">
        <v>1</v>
      </c>
      <c r="E338" t="s">
        <v>4962</v>
      </c>
      <c r="F338" s="11" t="s">
        <v>1649</v>
      </c>
      <c r="G338" s="11" t="s">
        <v>1650</v>
      </c>
      <c r="H338" s="85">
        <f t="shared" si="6"/>
        <v>76.75</v>
      </c>
      <c r="I338" s="85">
        <v>12.28</v>
      </c>
      <c r="J338" s="3"/>
      <c r="K338" s="3"/>
    </row>
    <row r="339" spans="1:11">
      <c r="A339" t="s">
        <v>4960</v>
      </c>
      <c r="B339" s="1">
        <v>41547</v>
      </c>
      <c r="C339" t="s">
        <v>4961</v>
      </c>
      <c r="D339">
        <v>1</v>
      </c>
      <c r="E339" t="s">
        <v>4962</v>
      </c>
      <c r="F339" s="11" t="s">
        <v>1689</v>
      </c>
      <c r="G339" s="11" t="s">
        <v>5236</v>
      </c>
      <c r="H339" s="85">
        <f t="shared" si="6"/>
        <v>334.3125</v>
      </c>
      <c r="I339" s="85">
        <v>53.49</v>
      </c>
    </row>
    <row r="340" spans="1:11">
      <c r="A340" t="s">
        <v>4960</v>
      </c>
      <c r="B340" s="1">
        <v>41547</v>
      </c>
      <c r="C340" t="s">
        <v>4961</v>
      </c>
      <c r="D340">
        <v>1</v>
      </c>
      <c r="E340" t="s">
        <v>4962</v>
      </c>
      <c r="F340" s="33" t="s">
        <v>946</v>
      </c>
      <c r="G340" s="33" t="s">
        <v>947</v>
      </c>
      <c r="H340" s="46">
        <f t="shared" si="6"/>
        <v>120.75</v>
      </c>
      <c r="I340" s="46">
        <v>19.32</v>
      </c>
      <c r="J340" s="14">
        <f>531.81-H338-H339-H340</f>
        <v>-2.5000000000545697E-3</v>
      </c>
      <c r="K340" s="14">
        <f>85.09-I338-I339-I340</f>
        <v>0</v>
      </c>
    </row>
    <row r="341" spans="1:11">
      <c r="A341" t="s">
        <v>591</v>
      </c>
      <c r="B341" s="1">
        <v>41547</v>
      </c>
      <c r="C341" t="s">
        <v>5001</v>
      </c>
      <c r="D341">
        <v>1</v>
      </c>
      <c r="E341" t="s">
        <v>5002</v>
      </c>
      <c r="F341" s="28" t="s">
        <v>1684</v>
      </c>
      <c r="G341" s="28" t="s">
        <v>1685</v>
      </c>
      <c r="H341" s="47">
        <f t="shared" si="6"/>
        <v>459.6875</v>
      </c>
      <c r="I341" s="47">
        <v>73.55</v>
      </c>
      <c r="J341" s="3"/>
      <c r="K341" s="3"/>
    </row>
    <row r="342" spans="1:11">
      <c r="A342" t="s">
        <v>591</v>
      </c>
      <c r="B342" s="1">
        <v>41547</v>
      </c>
      <c r="C342" t="s">
        <v>5001</v>
      </c>
      <c r="D342">
        <v>1</v>
      </c>
      <c r="E342" t="s">
        <v>5002</v>
      </c>
      <c r="F342" s="11" t="s">
        <v>933</v>
      </c>
      <c r="G342" s="11" t="s">
        <v>934</v>
      </c>
      <c r="H342" s="85">
        <f t="shared" si="6"/>
        <v>65</v>
      </c>
      <c r="I342" s="85">
        <v>10.4</v>
      </c>
    </row>
    <row r="343" spans="1:11">
      <c r="A343" t="s">
        <v>591</v>
      </c>
      <c r="B343" s="1">
        <v>41547</v>
      </c>
      <c r="C343" t="s">
        <v>5001</v>
      </c>
      <c r="D343">
        <v>1</v>
      </c>
      <c r="E343" t="s">
        <v>5002</v>
      </c>
      <c r="F343" t="s">
        <v>946</v>
      </c>
      <c r="G343" t="s">
        <v>947</v>
      </c>
      <c r="H343" s="46">
        <f t="shared" si="6"/>
        <v>395.8125</v>
      </c>
      <c r="I343" s="46">
        <v>63.33</v>
      </c>
      <c r="J343" s="14">
        <f>920.5-H341-H342-H343</f>
        <v>0</v>
      </c>
      <c r="K343" s="14">
        <f>147.28-I341-I342-I343</f>
        <v>0</v>
      </c>
    </row>
    <row r="344" spans="1:11">
      <c r="A344" t="s">
        <v>5003</v>
      </c>
      <c r="B344" s="1">
        <v>41547</v>
      </c>
      <c r="C344" t="s">
        <v>5004</v>
      </c>
      <c r="D344">
        <v>1</v>
      </c>
      <c r="E344" t="s">
        <v>5005</v>
      </c>
      <c r="F344" s="28" t="s">
        <v>1644</v>
      </c>
      <c r="G344" s="28" t="s">
        <v>4908</v>
      </c>
      <c r="H344" s="47">
        <f t="shared" si="6"/>
        <v>334.3125</v>
      </c>
      <c r="I344" s="47">
        <v>53.49</v>
      </c>
      <c r="J344" s="3"/>
      <c r="K344" s="3"/>
    </row>
    <row r="345" spans="1:11">
      <c r="A345" t="s">
        <v>5003</v>
      </c>
      <c r="B345" s="1">
        <v>41547</v>
      </c>
      <c r="C345" t="s">
        <v>5004</v>
      </c>
      <c r="D345">
        <v>1</v>
      </c>
      <c r="E345" t="s">
        <v>5005</v>
      </c>
      <c r="F345" s="11" t="s">
        <v>933</v>
      </c>
      <c r="G345" s="11" t="s">
        <v>934</v>
      </c>
      <c r="H345" s="85">
        <f t="shared" si="6"/>
        <v>65</v>
      </c>
      <c r="I345" s="85">
        <v>10.4</v>
      </c>
    </row>
    <row r="346" spans="1:11">
      <c r="A346" t="s">
        <v>5003</v>
      </c>
      <c r="B346" s="1">
        <v>41547</v>
      </c>
      <c r="C346" t="s">
        <v>5004</v>
      </c>
      <c r="D346">
        <v>1</v>
      </c>
      <c r="E346" t="s">
        <v>5005</v>
      </c>
      <c r="F346" t="s">
        <v>946</v>
      </c>
      <c r="G346" t="s">
        <v>947</v>
      </c>
      <c r="H346" s="46">
        <f t="shared" si="6"/>
        <v>395.8125</v>
      </c>
      <c r="I346" s="46">
        <v>63.33</v>
      </c>
      <c r="J346" s="14">
        <f>795.13-H344-H345-H346</f>
        <v>4.9999999999954525E-3</v>
      </c>
      <c r="K346" s="14">
        <f>127.22-I344-I345-I346</f>
        <v>0</v>
      </c>
    </row>
    <row r="347" spans="1:11">
      <c r="A347" t="s">
        <v>588</v>
      </c>
      <c r="B347" s="1">
        <v>41547</v>
      </c>
      <c r="C347" t="s">
        <v>4999</v>
      </c>
      <c r="D347">
        <v>1</v>
      </c>
      <c r="E347" t="s">
        <v>5000</v>
      </c>
      <c r="F347" s="28" t="s">
        <v>5237</v>
      </c>
      <c r="G347" s="28" t="s">
        <v>5238</v>
      </c>
      <c r="H347" s="47">
        <f t="shared" si="6"/>
        <v>543.25</v>
      </c>
      <c r="I347" s="47">
        <v>86.92</v>
      </c>
      <c r="J347" s="3"/>
      <c r="K347" s="3"/>
    </row>
    <row r="348" spans="1:11">
      <c r="A348" t="s">
        <v>588</v>
      </c>
      <c r="B348" s="1">
        <v>41547</v>
      </c>
      <c r="C348" t="s">
        <v>4999</v>
      </c>
      <c r="D348">
        <v>1</v>
      </c>
      <c r="E348" t="s">
        <v>5000</v>
      </c>
      <c r="F348" s="28" t="s">
        <v>5239</v>
      </c>
      <c r="G348" s="28" t="s">
        <v>5240</v>
      </c>
      <c r="H348" s="47">
        <f t="shared" si="6"/>
        <v>568.375</v>
      </c>
      <c r="I348" s="47">
        <v>90.94</v>
      </c>
    </row>
    <row r="349" spans="1:11">
      <c r="A349" t="s">
        <v>588</v>
      </c>
      <c r="B349" s="1">
        <v>41547</v>
      </c>
      <c r="C349" t="s">
        <v>4999</v>
      </c>
      <c r="D349">
        <v>1</v>
      </c>
      <c r="E349" t="s">
        <v>5000</v>
      </c>
      <c r="F349" t="s">
        <v>946</v>
      </c>
      <c r="G349" s="33" t="s">
        <v>947</v>
      </c>
      <c r="H349" s="46">
        <f t="shared" si="6"/>
        <v>667.25</v>
      </c>
      <c r="I349" s="46">
        <v>106.76</v>
      </c>
    </row>
    <row r="350" spans="1:11">
      <c r="A350" t="s">
        <v>588</v>
      </c>
      <c r="B350" s="1">
        <v>41547</v>
      </c>
      <c r="C350" t="s">
        <v>4999</v>
      </c>
      <c r="D350">
        <v>1</v>
      </c>
      <c r="E350" t="s">
        <v>5000</v>
      </c>
      <c r="F350" s="33" t="s">
        <v>946</v>
      </c>
      <c r="G350" s="33" t="s">
        <v>947</v>
      </c>
      <c r="H350" s="46">
        <f t="shared" si="6"/>
        <v>116.43749999999999</v>
      </c>
      <c r="I350" s="46">
        <v>18.63</v>
      </c>
    </row>
    <row r="351" spans="1:11">
      <c r="A351" t="s">
        <v>588</v>
      </c>
      <c r="B351" s="1">
        <v>41547</v>
      </c>
      <c r="C351" t="s">
        <v>4999</v>
      </c>
      <c r="D351">
        <v>1</v>
      </c>
      <c r="E351" t="s">
        <v>5000</v>
      </c>
      <c r="F351" s="11" t="s">
        <v>5241</v>
      </c>
      <c r="G351" s="11" t="s">
        <v>5242</v>
      </c>
      <c r="H351" s="85">
        <f t="shared" si="6"/>
        <v>120</v>
      </c>
      <c r="I351" s="85">
        <v>19.2</v>
      </c>
      <c r="J351" s="14">
        <f>2015.31-H347-H348-H349-H350-H351</f>
        <v>-2.5000000000403588E-3</v>
      </c>
      <c r="K351" s="14">
        <f>322.45-I347-I348-I349-I350-I351</f>
        <v>-2.8421709430404007E-14</v>
      </c>
    </row>
    <row r="352" spans="1:11">
      <c r="A352" t="s">
        <v>4569</v>
      </c>
      <c r="B352" s="1">
        <v>41547</v>
      </c>
      <c r="C352" t="s">
        <v>4997</v>
      </c>
      <c r="D352">
        <v>1</v>
      </c>
      <c r="E352" t="s">
        <v>4998</v>
      </c>
      <c r="F352" s="28" t="s">
        <v>925</v>
      </c>
      <c r="G352" s="28" t="s">
        <v>926</v>
      </c>
      <c r="H352" s="47">
        <f t="shared" si="6"/>
        <v>292.5</v>
      </c>
      <c r="I352" s="47">
        <v>46.8</v>
      </c>
      <c r="J352" s="3"/>
      <c r="K352" s="3"/>
    </row>
    <row r="353" spans="1:11">
      <c r="A353" t="s">
        <v>4569</v>
      </c>
      <c r="B353" s="1">
        <v>41547</v>
      </c>
      <c r="C353" t="s">
        <v>4997</v>
      </c>
      <c r="D353">
        <v>1</v>
      </c>
      <c r="E353" t="s">
        <v>4998</v>
      </c>
      <c r="F353" t="s">
        <v>946</v>
      </c>
      <c r="G353" t="s">
        <v>947</v>
      </c>
      <c r="H353" s="3">
        <f t="shared" si="6"/>
        <v>112.9375</v>
      </c>
      <c r="I353" s="46">
        <v>18.07</v>
      </c>
      <c r="J353" s="14">
        <f>405.44-H352-H353</f>
        <v>2.4999999999977263E-3</v>
      </c>
      <c r="K353" s="14">
        <f>64.87-I352-I353</f>
        <v>0</v>
      </c>
    </row>
    <row r="354" spans="1:11">
      <c r="A354" t="s">
        <v>4957</v>
      </c>
      <c r="B354" s="1">
        <v>41547</v>
      </c>
      <c r="C354" t="s">
        <v>4958</v>
      </c>
      <c r="D354">
        <v>1</v>
      </c>
      <c r="E354" t="s">
        <v>4959</v>
      </c>
      <c r="F354" s="28" t="s">
        <v>923</v>
      </c>
      <c r="G354" s="28" t="s">
        <v>924</v>
      </c>
      <c r="H354" s="47">
        <f t="shared" si="6"/>
        <v>208.9375</v>
      </c>
      <c r="I354" s="47">
        <v>33.43</v>
      </c>
      <c r="J354" s="3"/>
      <c r="K354" s="3"/>
    </row>
    <row r="355" spans="1:11">
      <c r="A355" t="s">
        <v>4957</v>
      </c>
      <c r="B355" s="1">
        <v>41547</v>
      </c>
      <c r="C355" t="s">
        <v>4958</v>
      </c>
      <c r="D355">
        <v>1</v>
      </c>
      <c r="E355" t="s">
        <v>4959</v>
      </c>
      <c r="F355" s="11" t="s">
        <v>4717</v>
      </c>
      <c r="G355" s="11" t="s">
        <v>4718</v>
      </c>
      <c r="H355" s="85">
        <f t="shared" si="6"/>
        <v>66.375</v>
      </c>
      <c r="I355" s="85">
        <v>10.62</v>
      </c>
    </row>
    <row r="356" spans="1:11">
      <c r="A356" t="s">
        <v>4957</v>
      </c>
      <c r="B356" s="1">
        <v>41547</v>
      </c>
      <c r="C356" t="s">
        <v>4958</v>
      </c>
      <c r="D356">
        <v>1</v>
      </c>
      <c r="E356" t="s">
        <v>4959</v>
      </c>
      <c r="F356" t="s">
        <v>946</v>
      </c>
      <c r="G356" t="s">
        <v>947</v>
      </c>
      <c r="H356" s="46">
        <f t="shared" si="6"/>
        <v>599.3125</v>
      </c>
      <c r="I356" s="46">
        <v>95.89</v>
      </c>
    </row>
    <row r="357" spans="1:11">
      <c r="A357" t="s">
        <v>4957</v>
      </c>
      <c r="B357" s="1">
        <v>41547</v>
      </c>
      <c r="C357" t="s">
        <v>4958</v>
      </c>
      <c r="D357">
        <v>1</v>
      </c>
      <c r="E357" t="s">
        <v>4959</v>
      </c>
      <c r="F357" s="11" t="s">
        <v>2878</v>
      </c>
      <c r="G357" s="11" t="s">
        <v>2879</v>
      </c>
      <c r="H357" s="85">
        <f t="shared" si="6"/>
        <v>79.25</v>
      </c>
      <c r="I357" s="85">
        <v>12.68</v>
      </c>
    </row>
    <row r="358" spans="1:11">
      <c r="A358" t="s">
        <v>4957</v>
      </c>
      <c r="B358" s="1">
        <v>41547</v>
      </c>
      <c r="C358" t="s">
        <v>4958</v>
      </c>
      <c r="D358">
        <v>1</v>
      </c>
      <c r="E358" t="s">
        <v>4959</v>
      </c>
      <c r="F358" s="28" t="s">
        <v>1653</v>
      </c>
      <c r="G358" s="28" t="s">
        <v>5243</v>
      </c>
      <c r="H358" s="47">
        <f t="shared" si="6"/>
        <v>739.625</v>
      </c>
      <c r="I358" s="47">
        <v>118.34</v>
      </c>
    </row>
    <row r="359" spans="1:11">
      <c r="A359" t="s">
        <v>4957</v>
      </c>
      <c r="B359" s="1">
        <v>41547</v>
      </c>
      <c r="C359" t="s">
        <v>4958</v>
      </c>
      <c r="D359">
        <v>1</v>
      </c>
      <c r="E359" t="s">
        <v>4959</v>
      </c>
      <c r="F359" s="28" t="s">
        <v>1655</v>
      </c>
      <c r="G359" s="28" t="s">
        <v>3772</v>
      </c>
      <c r="H359" s="47">
        <f t="shared" si="6"/>
        <v>759.375</v>
      </c>
      <c r="I359" s="47">
        <v>121.5</v>
      </c>
      <c r="J359" s="14">
        <f>2452.88-H354-H355-H356-H357-H358-H359</f>
        <v>5.0000000001091394E-3</v>
      </c>
      <c r="K359" s="14">
        <f>392.46-I354-I355-I356-I357-I358-I359</f>
        <v>0</v>
      </c>
    </row>
    <row r="360" spans="1:11">
      <c r="A360" t="s">
        <v>122</v>
      </c>
      <c r="B360" s="1">
        <v>41528</v>
      </c>
      <c r="C360" t="s">
        <v>5071</v>
      </c>
      <c r="D360">
        <v>1</v>
      </c>
      <c r="E360" t="s">
        <v>5072</v>
      </c>
      <c r="F360" t="s">
        <v>5244</v>
      </c>
      <c r="G360" t="s">
        <v>5072</v>
      </c>
      <c r="H360" s="3">
        <f>+I360/0.16</f>
        <v>2100</v>
      </c>
      <c r="I360" s="3">
        <v>336</v>
      </c>
    </row>
    <row r="361" spans="1:11">
      <c r="A361" t="s">
        <v>4969</v>
      </c>
      <c r="B361" s="1">
        <v>41547</v>
      </c>
      <c r="C361" t="s">
        <v>4970</v>
      </c>
      <c r="D361">
        <v>1</v>
      </c>
      <c r="E361" t="s">
        <v>4971</v>
      </c>
      <c r="F361" t="s">
        <v>946</v>
      </c>
      <c r="G361" t="s">
        <v>947</v>
      </c>
      <c r="H361" s="46">
        <f t="shared" ref="H361:H363" si="7">I361/0.16</f>
        <v>120.68749999999999</v>
      </c>
      <c r="I361" s="46">
        <v>19.309999999999999</v>
      </c>
      <c r="J361" s="3"/>
      <c r="K361" s="3"/>
    </row>
    <row r="362" spans="1:11">
      <c r="A362" t="s">
        <v>4969</v>
      </c>
      <c r="B362" s="1">
        <v>41547</v>
      </c>
      <c r="C362" t="s">
        <v>4970</v>
      </c>
      <c r="D362">
        <v>1</v>
      </c>
      <c r="E362" t="s">
        <v>4971</v>
      </c>
      <c r="F362" s="11" t="s">
        <v>5245</v>
      </c>
      <c r="G362" s="11" t="s">
        <v>5246</v>
      </c>
      <c r="H362" s="85">
        <f t="shared" si="7"/>
        <v>417.875</v>
      </c>
      <c r="I362" s="85">
        <v>66.86</v>
      </c>
    </row>
    <row r="363" spans="1:11">
      <c r="A363" t="s">
        <v>4969</v>
      </c>
      <c r="B363" s="1">
        <v>41547</v>
      </c>
      <c r="C363" t="s">
        <v>4970</v>
      </c>
      <c r="D363">
        <v>1</v>
      </c>
      <c r="E363" t="s">
        <v>4971</v>
      </c>
      <c r="F363" s="11" t="s">
        <v>5247</v>
      </c>
      <c r="G363" s="11" t="s">
        <v>5248</v>
      </c>
      <c r="H363" s="85">
        <f t="shared" si="7"/>
        <v>86.25</v>
      </c>
      <c r="I363" s="85">
        <v>13.8</v>
      </c>
      <c r="J363" s="14">
        <f>624.81-H361-H362-H363</f>
        <v>-2.5000000000545697E-3</v>
      </c>
      <c r="K363" s="14">
        <f>99.97-I361-I362-I363</f>
        <v>0</v>
      </c>
    </row>
    <row r="364" spans="1:11">
      <c r="A364" t="s">
        <v>4800</v>
      </c>
      <c r="B364" s="1">
        <v>41523</v>
      </c>
      <c r="C364" t="s">
        <v>4801</v>
      </c>
      <c r="D364">
        <v>1</v>
      </c>
      <c r="E364" t="s">
        <v>4802</v>
      </c>
      <c r="F364" s="10" t="s">
        <v>890</v>
      </c>
      <c r="G364" s="11" t="s">
        <v>891</v>
      </c>
      <c r="H364" s="3">
        <f t="shared" ref="H364:H380" si="8">+I364/0.16</f>
        <v>176668.5625</v>
      </c>
      <c r="I364" s="3">
        <v>28266.97</v>
      </c>
    </row>
    <row r="365" spans="1:11">
      <c r="A365" t="s">
        <v>4780</v>
      </c>
      <c r="B365" s="1">
        <v>41519</v>
      </c>
      <c r="C365" t="s">
        <v>4781</v>
      </c>
      <c r="D365">
        <v>1</v>
      </c>
      <c r="E365" t="s">
        <v>4782</v>
      </c>
      <c r="F365" s="109" t="s">
        <v>4377</v>
      </c>
      <c r="G365" s="11" t="s">
        <v>4006</v>
      </c>
      <c r="H365" s="3">
        <f t="shared" si="8"/>
        <v>212748.31250000003</v>
      </c>
      <c r="I365" s="3">
        <v>34039.730000000003</v>
      </c>
    </row>
    <row r="366" spans="1:11">
      <c r="A366" t="s">
        <v>2217</v>
      </c>
      <c r="B366" s="1">
        <v>41542</v>
      </c>
      <c r="C366" t="s">
        <v>5122</v>
      </c>
      <c r="D366">
        <v>1</v>
      </c>
      <c r="E366" t="s">
        <v>118</v>
      </c>
      <c r="F366" s="10" t="s">
        <v>889</v>
      </c>
      <c r="G366" s="11" t="s">
        <v>118</v>
      </c>
      <c r="H366" s="3">
        <f t="shared" si="8"/>
        <v>1800</v>
      </c>
      <c r="I366" s="3">
        <v>288</v>
      </c>
    </row>
    <row r="367" spans="1:11">
      <c r="A367" t="s">
        <v>2477</v>
      </c>
      <c r="B367" s="1">
        <v>41544</v>
      </c>
      <c r="C367">
        <v>8980</v>
      </c>
      <c r="D367">
        <v>1</v>
      </c>
      <c r="E367" t="s">
        <v>4040</v>
      </c>
      <c r="F367" s="11" t="s">
        <v>4376</v>
      </c>
      <c r="G367" s="11" t="s">
        <v>4040</v>
      </c>
      <c r="H367" s="3">
        <f t="shared" si="8"/>
        <v>148.3125</v>
      </c>
      <c r="I367" s="3">
        <v>23.73</v>
      </c>
    </row>
    <row r="368" spans="1:11">
      <c r="A368" t="s">
        <v>2577</v>
      </c>
      <c r="B368" s="1">
        <v>41547</v>
      </c>
      <c r="C368" t="s">
        <v>4953</v>
      </c>
      <c r="D368">
        <v>1</v>
      </c>
      <c r="E368" t="s">
        <v>4954</v>
      </c>
      <c r="F368" s="109" t="s">
        <v>5249</v>
      </c>
      <c r="G368" s="116" t="s">
        <v>5250</v>
      </c>
      <c r="H368" s="3">
        <f t="shared" si="8"/>
        <v>125</v>
      </c>
      <c r="I368" s="3">
        <v>20</v>
      </c>
    </row>
    <row r="369" spans="1:12">
      <c r="A369" t="s">
        <v>1411</v>
      </c>
      <c r="B369" s="1">
        <v>41547</v>
      </c>
      <c r="C369" t="s">
        <v>4937</v>
      </c>
      <c r="D369">
        <v>1</v>
      </c>
      <c r="E369" t="s">
        <v>4938</v>
      </c>
      <c r="F369" s="28" t="s">
        <v>954</v>
      </c>
      <c r="G369" s="28" t="s">
        <v>2276</v>
      </c>
      <c r="H369" s="47">
        <f t="shared" ref="H369" si="9">I369/0.16</f>
        <v>330.1875</v>
      </c>
      <c r="I369" s="47">
        <v>52.83</v>
      </c>
      <c r="J369" s="3"/>
      <c r="K369" s="3"/>
    </row>
    <row r="370" spans="1:12">
      <c r="A370" t="s">
        <v>1411</v>
      </c>
      <c r="B370" s="1">
        <v>41547</v>
      </c>
      <c r="C370" t="s">
        <v>4937</v>
      </c>
      <c r="D370">
        <v>1</v>
      </c>
      <c r="E370" t="s">
        <v>4938</v>
      </c>
      <c r="F370" s="11" t="s">
        <v>5251</v>
      </c>
      <c r="G370" s="11" t="s">
        <v>5252</v>
      </c>
      <c r="H370" s="85">
        <f t="shared" ref="H370:H376" si="10">I370/0.16</f>
        <v>167.125</v>
      </c>
      <c r="I370" s="85">
        <v>26.74</v>
      </c>
    </row>
    <row r="371" spans="1:12">
      <c r="A371" t="s">
        <v>1411</v>
      </c>
      <c r="B371" s="1">
        <v>41547</v>
      </c>
      <c r="C371" t="s">
        <v>4937</v>
      </c>
      <c r="D371">
        <v>1</v>
      </c>
      <c r="E371" t="s">
        <v>4938</v>
      </c>
      <c r="F371" s="11" t="s">
        <v>2329</v>
      </c>
      <c r="G371" s="11" t="s">
        <v>4387</v>
      </c>
      <c r="H371" s="85">
        <f t="shared" si="10"/>
        <v>1955.875</v>
      </c>
      <c r="I371" s="85">
        <v>312.94</v>
      </c>
    </row>
    <row r="372" spans="1:12">
      <c r="A372" t="s">
        <v>1411</v>
      </c>
      <c r="B372" s="1">
        <v>41547</v>
      </c>
      <c r="C372" t="s">
        <v>4937</v>
      </c>
      <c r="D372">
        <v>1</v>
      </c>
      <c r="E372" t="s">
        <v>4938</v>
      </c>
      <c r="F372" s="11" t="s">
        <v>5253</v>
      </c>
      <c r="G372" s="11" t="s">
        <v>5254</v>
      </c>
      <c r="H372" s="85">
        <f t="shared" si="10"/>
        <v>85.375</v>
      </c>
      <c r="I372" s="85">
        <v>13.66</v>
      </c>
    </row>
    <row r="373" spans="1:12">
      <c r="A373" t="s">
        <v>1411</v>
      </c>
      <c r="B373" s="1">
        <v>41547</v>
      </c>
      <c r="C373" t="s">
        <v>4937</v>
      </c>
      <c r="D373">
        <v>1</v>
      </c>
      <c r="E373" t="s">
        <v>4938</v>
      </c>
      <c r="F373" s="11" t="s">
        <v>2331</v>
      </c>
      <c r="G373" s="11" t="s">
        <v>4388</v>
      </c>
      <c r="H373" s="85">
        <f t="shared" si="10"/>
        <v>127.5625</v>
      </c>
      <c r="I373" s="85">
        <v>20.41</v>
      </c>
    </row>
    <row r="374" spans="1:12">
      <c r="A374" t="s">
        <v>1411</v>
      </c>
      <c r="B374" s="1">
        <v>41547</v>
      </c>
      <c r="C374" t="s">
        <v>4937</v>
      </c>
      <c r="D374">
        <v>1</v>
      </c>
      <c r="E374" t="s">
        <v>4938</v>
      </c>
      <c r="F374" s="11" t="s">
        <v>2331</v>
      </c>
      <c r="G374" s="11" t="s">
        <v>4388</v>
      </c>
      <c r="H374" s="85">
        <f t="shared" si="10"/>
        <v>127.5625</v>
      </c>
      <c r="I374" s="85">
        <v>20.41</v>
      </c>
    </row>
    <row r="375" spans="1:12">
      <c r="A375" t="s">
        <v>1411</v>
      </c>
      <c r="B375" s="1">
        <v>41547</v>
      </c>
      <c r="C375" t="s">
        <v>4937</v>
      </c>
      <c r="D375">
        <v>1</v>
      </c>
      <c r="E375" t="s">
        <v>4938</v>
      </c>
      <c r="F375" s="11" t="s">
        <v>4364</v>
      </c>
      <c r="G375" s="11" t="s">
        <v>5255</v>
      </c>
      <c r="H375" s="85">
        <f t="shared" si="10"/>
        <v>124.5625</v>
      </c>
      <c r="I375" s="85">
        <v>19.93</v>
      </c>
      <c r="J375" s="14">
        <f>2918.25-H369-H370-H371-H372-H373-H374-H375</f>
        <v>0</v>
      </c>
      <c r="K375" s="14">
        <f>466.92-I369-I370-I371-I372-I373-I374-I375</f>
        <v>3.1974423109204508E-14</v>
      </c>
    </row>
    <row r="376" spans="1:12">
      <c r="A376" t="s">
        <v>4906</v>
      </c>
      <c r="B376" s="1">
        <v>41544</v>
      </c>
      <c r="C376" t="s">
        <v>4907</v>
      </c>
      <c r="D376">
        <v>1</v>
      </c>
      <c r="E376" t="s">
        <v>4908</v>
      </c>
      <c r="F376" s="11" t="s">
        <v>933</v>
      </c>
      <c r="G376" s="11" t="s">
        <v>934</v>
      </c>
      <c r="H376" s="85">
        <f t="shared" si="10"/>
        <v>65</v>
      </c>
      <c r="I376" s="85">
        <v>10.4</v>
      </c>
      <c r="J376" s="3"/>
      <c r="K376" s="3"/>
    </row>
    <row r="377" spans="1:12">
      <c r="A377" t="s">
        <v>4906</v>
      </c>
      <c r="B377" s="1">
        <v>41544</v>
      </c>
      <c r="C377" t="s">
        <v>4907</v>
      </c>
      <c r="D377">
        <v>1</v>
      </c>
      <c r="E377" t="s">
        <v>4908</v>
      </c>
      <c r="F377" s="11" t="s">
        <v>4364</v>
      </c>
      <c r="G377" s="11" t="s">
        <v>5255</v>
      </c>
      <c r="H377" s="85">
        <f t="shared" ref="H377:H379" si="11">I377/0.16</f>
        <v>124.5625</v>
      </c>
      <c r="I377" s="85">
        <v>19.93</v>
      </c>
    </row>
    <row r="378" spans="1:12">
      <c r="A378" t="s">
        <v>4906</v>
      </c>
      <c r="B378" s="1">
        <v>41544</v>
      </c>
      <c r="C378" t="s">
        <v>4907</v>
      </c>
      <c r="D378">
        <v>1</v>
      </c>
      <c r="E378" t="s">
        <v>4908</v>
      </c>
      <c r="F378" t="s">
        <v>946</v>
      </c>
      <c r="G378" t="s">
        <v>947</v>
      </c>
      <c r="H378" s="3">
        <f t="shared" si="11"/>
        <v>215.1875</v>
      </c>
      <c r="I378" s="3">
        <f>54.36-19.93</f>
        <v>34.43</v>
      </c>
    </row>
    <row r="379" spans="1:12">
      <c r="A379" t="s">
        <v>4906</v>
      </c>
      <c r="B379" s="1">
        <v>41544</v>
      </c>
      <c r="C379" t="s">
        <v>4907</v>
      </c>
      <c r="D379">
        <v>1</v>
      </c>
      <c r="E379" t="s">
        <v>4908</v>
      </c>
      <c r="F379" s="28" t="s">
        <v>1644</v>
      </c>
      <c r="G379" s="28" t="s">
        <v>4908</v>
      </c>
      <c r="H379" s="47">
        <f t="shared" si="11"/>
        <v>459.5625</v>
      </c>
      <c r="I379" s="47">
        <v>73.53</v>
      </c>
      <c r="J379" s="14">
        <f>864.31-H376-H377-H378-H379</f>
        <v>-2.5000000000545697E-3</v>
      </c>
      <c r="K379" s="14">
        <f>138.29-I376-I377-I378-I379</f>
        <v>0</v>
      </c>
      <c r="L379" t="s">
        <v>900</v>
      </c>
    </row>
    <row r="380" spans="1:12">
      <c r="A380" t="s">
        <v>98</v>
      </c>
      <c r="B380" s="1">
        <v>41528</v>
      </c>
      <c r="C380" t="s">
        <v>5062</v>
      </c>
      <c r="D380">
        <v>1</v>
      </c>
      <c r="E380" t="s">
        <v>1287</v>
      </c>
      <c r="F380" s="11" t="s">
        <v>1728</v>
      </c>
      <c r="G380" s="11" t="s">
        <v>1287</v>
      </c>
      <c r="H380" s="3">
        <f t="shared" si="8"/>
        <v>1821.6249999999998</v>
      </c>
      <c r="I380" s="3">
        <v>291.45999999999998</v>
      </c>
    </row>
    <row r="381" spans="1:12" hidden="1">
      <c r="H381" s="3">
        <f>SUM(H8:H380)</f>
        <v>15097472.5</v>
      </c>
      <c r="I381" s="3">
        <f>SUM(I8:I380)</f>
        <v>2415595.600000001</v>
      </c>
      <c r="J381" s="2"/>
    </row>
    <row r="382" spans="1:12" hidden="1">
      <c r="H382" s="3">
        <f>3368014.29-952418.69</f>
        <v>2415595.6</v>
      </c>
      <c r="I382" s="3">
        <f>+H382-I381</f>
        <v>0</v>
      </c>
    </row>
    <row r="384" spans="1:12">
      <c r="H384" s="3">
        <f>SUBTOTAL(9,H8:H383)</f>
        <v>15097472.5</v>
      </c>
      <c r="I384" s="3">
        <f>+I381+J381</f>
        <v>2415595.600000001</v>
      </c>
    </row>
    <row r="385" spans="1:10">
      <c r="H385" s="3">
        <f>3368014.29-952418.69</f>
        <v>2415595.6</v>
      </c>
      <c r="I385" s="3">
        <f>+H385-I384</f>
        <v>0</v>
      </c>
    </row>
    <row r="387" spans="1:10">
      <c r="A387" s="151"/>
      <c r="B387" s="151"/>
      <c r="C387" s="151"/>
      <c r="D387" s="151"/>
      <c r="E387" s="151"/>
      <c r="F387" s="151" t="s">
        <v>724</v>
      </c>
      <c r="G387" s="151" t="s">
        <v>725</v>
      </c>
      <c r="H387" s="152" t="s">
        <v>732</v>
      </c>
      <c r="I387" s="151" t="s">
        <v>726</v>
      </c>
      <c r="J387" s="151" t="s">
        <v>7073</v>
      </c>
    </row>
    <row r="388" spans="1:10">
      <c r="A388" s="174" t="s">
        <v>7099</v>
      </c>
      <c r="B388">
        <v>85</v>
      </c>
      <c r="F388" s="11" t="s">
        <v>5195</v>
      </c>
      <c r="G388" s="11" t="s">
        <v>4986</v>
      </c>
      <c r="H388" s="3">
        <f>+I388/0.16</f>
        <v>300</v>
      </c>
      <c r="I388" s="3">
        <f>+SUMIF($F$8:$F$380,F388,$I$8:$I$380)</f>
        <v>48</v>
      </c>
    </row>
    <row r="389" spans="1:10">
      <c r="A389" s="174" t="s">
        <v>7099</v>
      </c>
      <c r="B389">
        <v>85</v>
      </c>
      <c r="F389" s="11" t="s">
        <v>5214</v>
      </c>
      <c r="G389" s="11" t="s">
        <v>5215</v>
      </c>
      <c r="H389" s="3">
        <f t="shared" ref="H389:H452" si="12">+I389/0.16</f>
        <v>313.4375</v>
      </c>
      <c r="I389" s="3">
        <f t="shared" ref="I389:I452" si="13">+SUMIF($F$8:$F$380,F389,$I$8:$I$380)</f>
        <v>50.15</v>
      </c>
    </row>
    <row r="390" spans="1:10">
      <c r="A390" s="174" t="s">
        <v>7099</v>
      </c>
      <c r="B390">
        <v>85</v>
      </c>
      <c r="F390" s="11" t="s">
        <v>1574</v>
      </c>
      <c r="G390" s="11" t="s">
        <v>991</v>
      </c>
      <c r="H390" s="3">
        <f t="shared" si="12"/>
        <v>175582.31249999997</v>
      </c>
      <c r="I390" s="3">
        <f t="shared" si="13"/>
        <v>28093.17</v>
      </c>
    </row>
    <row r="391" spans="1:10">
      <c r="A391" s="174" t="s">
        <v>7099</v>
      </c>
      <c r="B391">
        <v>85</v>
      </c>
      <c r="F391" s="110" t="s">
        <v>1578</v>
      </c>
      <c r="G391" s="79" t="s">
        <v>1579</v>
      </c>
      <c r="H391" s="3">
        <f t="shared" si="12"/>
        <v>2662.25</v>
      </c>
      <c r="I391" s="3">
        <f t="shared" si="13"/>
        <v>425.96</v>
      </c>
    </row>
    <row r="392" spans="1:10">
      <c r="A392" s="174" t="s">
        <v>7099</v>
      </c>
      <c r="B392">
        <v>85</v>
      </c>
      <c r="F392" s="28" t="s">
        <v>939</v>
      </c>
      <c r="G392" s="28" t="s">
        <v>940</v>
      </c>
      <c r="H392" s="3">
        <f t="shared" si="12"/>
        <v>584.9375</v>
      </c>
      <c r="I392" s="3">
        <f t="shared" si="13"/>
        <v>93.59</v>
      </c>
    </row>
    <row r="393" spans="1:10">
      <c r="A393" s="174" t="s">
        <v>7099</v>
      </c>
      <c r="B393">
        <v>85</v>
      </c>
      <c r="F393" s="11" t="s">
        <v>1671</v>
      </c>
      <c r="G393" s="11" t="s">
        <v>5201</v>
      </c>
      <c r="H393" s="3">
        <f t="shared" si="12"/>
        <v>334.1875</v>
      </c>
      <c r="I393" s="3">
        <f t="shared" si="13"/>
        <v>53.47</v>
      </c>
    </row>
    <row r="394" spans="1:10">
      <c r="A394" s="174" t="s">
        <v>7099</v>
      </c>
      <c r="B394">
        <v>85</v>
      </c>
      <c r="F394" s="11" t="s">
        <v>1649</v>
      </c>
      <c r="G394" s="11" t="s">
        <v>1650</v>
      </c>
      <c r="H394" s="3">
        <f t="shared" si="12"/>
        <v>230.24999999999997</v>
      </c>
      <c r="I394" s="3">
        <f t="shared" si="13"/>
        <v>36.839999999999996</v>
      </c>
    </row>
    <row r="395" spans="1:10">
      <c r="A395" s="174" t="s">
        <v>7099</v>
      </c>
      <c r="B395">
        <v>85</v>
      </c>
      <c r="F395" s="11" t="s">
        <v>2269</v>
      </c>
      <c r="G395" s="11" t="s">
        <v>2080</v>
      </c>
      <c r="H395" s="3">
        <f t="shared" si="12"/>
        <v>275</v>
      </c>
      <c r="I395" s="3">
        <f t="shared" si="13"/>
        <v>44</v>
      </c>
    </row>
    <row r="396" spans="1:10">
      <c r="A396" s="174" t="s">
        <v>7099</v>
      </c>
      <c r="B396">
        <v>85</v>
      </c>
      <c r="F396" s="11" t="s">
        <v>748</v>
      </c>
      <c r="G396" s="11" t="s">
        <v>481</v>
      </c>
      <c r="H396" s="3">
        <f t="shared" si="12"/>
        <v>973.49999999999989</v>
      </c>
      <c r="I396" s="3">
        <f t="shared" si="13"/>
        <v>155.76</v>
      </c>
    </row>
    <row r="397" spans="1:10">
      <c r="A397" s="174" t="s">
        <v>7099</v>
      </c>
      <c r="B397">
        <v>85</v>
      </c>
      <c r="F397" s="113" t="s">
        <v>941</v>
      </c>
      <c r="G397" s="11" t="s">
        <v>942</v>
      </c>
      <c r="H397" s="3">
        <f t="shared" si="12"/>
        <v>68.9375</v>
      </c>
      <c r="I397" s="3">
        <f t="shared" si="13"/>
        <v>11.03</v>
      </c>
    </row>
    <row r="398" spans="1:10">
      <c r="A398" s="174" t="s">
        <v>7099</v>
      </c>
      <c r="B398">
        <v>85</v>
      </c>
      <c r="F398" s="109" t="s">
        <v>745</v>
      </c>
      <c r="G398" s="110" t="s">
        <v>746</v>
      </c>
      <c r="H398" s="3">
        <f t="shared" si="12"/>
        <v>180602.62499999997</v>
      </c>
      <c r="I398" s="3">
        <f t="shared" si="13"/>
        <v>28896.42</v>
      </c>
    </row>
    <row r="399" spans="1:10">
      <c r="A399" s="174" t="s">
        <v>7099</v>
      </c>
      <c r="B399">
        <v>85</v>
      </c>
      <c r="F399" s="11" t="s">
        <v>734</v>
      </c>
      <c r="G399" s="11" t="s">
        <v>735</v>
      </c>
      <c r="H399" s="3">
        <f t="shared" si="12"/>
        <v>290.75</v>
      </c>
      <c r="I399" s="3">
        <f t="shared" si="13"/>
        <v>46.52</v>
      </c>
    </row>
    <row r="400" spans="1:10">
      <c r="A400" s="174" t="s">
        <v>7099</v>
      </c>
      <c r="B400">
        <v>85</v>
      </c>
      <c r="F400" s="11" t="s">
        <v>2267</v>
      </c>
      <c r="G400" s="11" t="s">
        <v>1757</v>
      </c>
      <c r="H400" s="3">
        <f t="shared" si="12"/>
        <v>176668.5625</v>
      </c>
      <c r="I400" s="3">
        <f t="shared" si="13"/>
        <v>28266.97</v>
      </c>
    </row>
    <row r="401" spans="1:10">
      <c r="A401" s="174" t="s">
        <v>7099</v>
      </c>
      <c r="B401">
        <v>85</v>
      </c>
      <c r="F401" s="28" t="s">
        <v>4730</v>
      </c>
      <c r="G401" s="28" t="s">
        <v>5174</v>
      </c>
      <c r="H401" s="3">
        <f t="shared" si="12"/>
        <v>1240.4375</v>
      </c>
      <c r="I401" s="3">
        <f t="shared" si="13"/>
        <v>198.47</v>
      </c>
    </row>
    <row r="402" spans="1:10">
      <c r="A402" s="174" t="s">
        <v>7099</v>
      </c>
      <c r="B402">
        <v>85</v>
      </c>
      <c r="F402" s="109" t="s">
        <v>4697</v>
      </c>
      <c r="G402" s="11" t="s">
        <v>4639</v>
      </c>
      <c r="H402" s="3">
        <f t="shared" si="12"/>
        <v>25936.5</v>
      </c>
      <c r="I402" s="3">
        <f t="shared" si="13"/>
        <v>4149.84</v>
      </c>
    </row>
    <row r="403" spans="1:10">
      <c r="A403" s="174" t="s">
        <v>7099</v>
      </c>
      <c r="B403">
        <v>85</v>
      </c>
      <c r="F403" s="111" t="s">
        <v>1572</v>
      </c>
      <c r="G403" s="111" t="s">
        <v>1573</v>
      </c>
      <c r="H403" s="3">
        <f t="shared" si="12"/>
        <v>176482.31249999997</v>
      </c>
      <c r="I403" s="3">
        <f t="shared" si="13"/>
        <v>28237.17</v>
      </c>
    </row>
    <row r="404" spans="1:10">
      <c r="A404" s="174" t="s">
        <v>7099</v>
      </c>
      <c r="B404">
        <v>6</v>
      </c>
      <c r="F404" s="11" t="s">
        <v>5161</v>
      </c>
      <c r="G404" s="11" t="s">
        <v>5151</v>
      </c>
      <c r="H404" s="3">
        <f t="shared" si="12"/>
        <v>16071.437499999998</v>
      </c>
      <c r="I404" s="3">
        <f t="shared" si="13"/>
        <v>2571.4299999999998</v>
      </c>
      <c r="J404">
        <v>1714.29</v>
      </c>
    </row>
    <row r="405" spans="1:10">
      <c r="A405" s="174" t="s">
        <v>7099</v>
      </c>
      <c r="B405">
        <v>85</v>
      </c>
      <c r="F405" s="109" t="s">
        <v>4377</v>
      </c>
      <c r="G405" s="11" t="s">
        <v>4006</v>
      </c>
      <c r="H405" s="3">
        <f t="shared" si="12"/>
        <v>212748.31250000003</v>
      </c>
      <c r="I405" s="3">
        <f t="shared" si="13"/>
        <v>34039.730000000003</v>
      </c>
    </row>
    <row r="406" spans="1:10">
      <c r="A406" s="174" t="s">
        <v>7099</v>
      </c>
      <c r="B406">
        <v>85</v>
      </c>
      <c r="F406" s="11" t="s">
        <v>3753</v>
      </c>
      <c r="G406" s="11" t="s">
        <v>3597</v>
      </c>
      <c r="H406" s="3">
        <f t="shared" si="12"/>
        <v>100</v>
      </c>
      <c r="I406" s="3">
        <f t="shared" si="13"/>
        <v>16</v>
      </c>
    </row>
    <row r="407" spans="1:10">
      <c r="A407" s="174" t="s">
        <v>7099</v>
      </c>
      <c r="B407">
        <v>85</v>
      </c>
      <c r="F407" s="109" t="s">
        <v>4715</v>
      </c>
      <c r="G407" s="11" t="s">
        <v>828</v>
      </c>
      <c r="H407" s="3">
        <f t="shared" si="12"/>
        <v>13739.5</v>
      </c>
      <c r="I407" s="3">
        <f t="shared" si="13"/>
        <v>2198.3200000000002</v>
      </c>
    </row>
    <row r="408" spans="1:10">
      <c r="A408" s="174" t="s">
        <v>7099</v>
      </c>
      <c r="B408">
        <v>85</v>
      </c>
      <c r="F408" s="109" t="s">
        <v>821</v>
      </c>
      <c r="G408" s="109" t="s">
        <v>2272</v>
      </c>
      <c r="H408" s="3">
        <f t="shared" si="12"/>
        <v>689.99999999999989</v>
      </c>
      <c r="I408" s="3">
        <f t="shared" si="13"/>
        <v>110.39999999999999</v>
      </c>
    </row>
    <row r="409" spans="1:10">
      <c r="A409" s="174" t="s">
        <v>7099</v>
      </c>
      <c r="B409">
        <v>85</v>
      </c>
      <c r="F409" s="11" t="s">
        <v>5175</v>
      </c>
      <c r="G409" s="11" t="s">
        <v>5176</v>
      </c>
      <c r="H409" s="3">
        <f t="shared" si="12"/>
        <v>125</v>
      </c>
      <c r="I409" s="3">
        <f t="shared" si="13"/>
        <v>20</v>
      </c>
    </row>
    <row r="410" spans="1:10">
      <c r="A410" s="174" t="s">
        <v>7099</v>
      </c>
      <c r="B410">
        <v>85</v>
      </c>
      <c r="F410" s="11" t="s">
        <v>3351</v>
      </c>
      <c r="G410" s="11" t="s">
        <v>3323</v>
      </c>
      <c r="H410" s="3">
        <f t="shared" si="12"/>
        <v>8000</v>
      </c>
      <c r="I410" s="3">
        <f t="shared" si="13"/>
        <v>1280</v>
      </c>
    </row>
    <row r="411" spans="1:10">
      <c r="A411" s="174" t="s">
        <v>7099</v>
      </c>
      <c r="B411">
        <v>85</v>
      </c>
      <c r="F411" s="11" t="s">
        <v>2855</v>
      </c>
      <c r="G411" s="11" t="s">
        <v>2724</v>
      </c>
      <c r="H411" s="3">
        <f t="shared" si="12"/>
        <v>3500</v>
      </c>
      <c r="I411" s="3">
        <f t="shared" si="13"/>
        <v>560</v>
      </c>
    </row>
    <row r="412" spans="1:10">
      <c r="A412" s="174" t="s">
        <v>7099</v>
      </c>
      <c r="B412">
        <v>85</v>
      </c>
      <c r="F412" s="109" t="s">
        <v>823</v>
      </c>
      <c r="G412" s="112" t="s">
        <v>824</v>
      </c>
      <c r="H412" s="3">
        <f t="shared" si="12"/>
        <v>206</v>
      </c>
      <c r="I412" s="3">
        <f t="shared" si="13"/>
        <v>32.96</v>
      </c>
    </row>
    <row r="413" spans="1:10">
      <c r="A413" s="174" t="s">
        <v>7099</v>
      </c>
      <c r="B413">
        <v>85</v>
      </c>
      <c r="F413" s="109" t="s">
        <v>950</v>
      </c>
      <c r="G413" s="112" t="s">
        <v>951</v>
      </c>
      <c r="H413" s="3">
        <f t="shared" si="12"/>
        <v>12784.3125</v>
      </c>
      <c r="I413" s="3">
        <f t="shared" si="13"/>
        <v>2045.49</v>
      </c>
    </row>
    <row r="414" spans="1:10">
      <c r="A414" s="174" t="s">
        <v>7099</v>
      </c>
      <c r="B414">
        <v>85</v>
      </c>
      <c r="F414" s="11" t="s">
        <v>5162</v>
      </c>
      <c r="G414" s="11" t="s">
        <v>4899</v>
      </c>
      <c r="H414" s="3">
        <f t="shared" si="12"/>
        <v>536.1875</v>
      </c>
      <c r="I414" s="3">
        <f t="shared" si="13"/>
        <v>85.79</v>
      </c>
    </row>
    <row r="415" spans="1:10">
      <c r="A415" s="174" t="s">
        <v>7099</v>
      </c>
      <c r="B415">
        <v>85</v>
      </c>
      <c r="F415" s="109" t="s">
        <v>825</v>
      </c>
      <c r="G415" s="112" t="s">
        <v>826</v>
      </c>
      <c r="H415" s="3">
        <f t="shared" si="12"/>
        <v>200</v>
      </c>
      <c r="I415" s="3">
        <f t="shared" si="13"/>
        <v>32</v>
      </c>
    </row>
    <row r="416" spans="1:10">
      <c r="A416" s="174" t="s">
        <v>7099</v>
      </c>
      <c r="B416">
        <v>85</v>
      </c>
      <c r="F416" s="113" t="s">
        <v>772</v>
      </c>
      <c r="G416" s="11" t="s">
        <v>29</v>
      </c>
      <c r="H416" s="3">
        <f t="shared" si="12"/>
        <v>1007371.6249999998</v>
      </c>
      <c r="I416" s="3">
        <f t="shared" si="13"/>
        <v>161179.45999999996</v>
      </c>
    </row>
    <row r="417" spans="1:9">
      <c r="A417" s="174" t="s">
        <v>7099</v>
      </c>
      <c r="B417">
        <v>85</v>
      </c>
      <c r="F417" s="113" t="s">
        <v>5224</v>
      </c>
      <c r="G417" s="11" t="s">
        <v>5225</v>
      </c>
      <c r="H417" s="3">
        <f t="shared" si="12"/>
        <v>90.5</v>
      </c>
      <c r="I417" s="3">
        <f t="shared" si="13"/>
        <v>14.48</v>
      </c>
    </row>
    <row r="418" spans="1:9">
      <c r="A418" s="174" t="s">
        <v>7099</v>
      </c>
      <c r="B418">
        <v>85</v>
      </c>
      <c r="F418" s="28" t="s">
        <v>3395</v>
      </c>
      <c r="G418" s="28" t="s">
        <v>4340</v>
      </c>
      <c r="H418" s="3">
        <f t="shared" si="12"/>
        <v>334.1875</v>
      </c>
      <c r="I418" s="3">
        <f t="shared" si="13"/>
        <v>53.47</v>
      </c>
    </row>
    <row r="419" spans="1:9">
      <c r="A419" s="174" t="s">
        <v>7099</v>
      </c>
      <c r="B419">
        <v>85</v>
      </c>
      <c r="F419" s="11" t="s">
        <v>5241</v>
      </c>
      <c r="G419" s="11" t="s">
        <v>5242</v>
      </c>
      <c r="H419" s="3">
        <f t="shared" si="12"/>
        <v>120</v>
      </c>
      <c r="I419" s="3">
        <f t="shared" si="13"/>
        <v>19.2</v>
      </c>
    </row>
    <row r="420" spans="1:9">
      <c r="A420" s="174" t="s">
        <v>7099</v>
      </c>
      <c r="B420">
        <v>85</v>
      </c>
      <c r="F420" s="109" t="s">
        <v>755</v>
      </c>
      <c r="G420" s="11" t="s">
        <v>756</v>
      </c>
      <c r="H420" s="3">
        <f t="shared" si="12"/>
        <v>1030080.1875000001</v>
      </c>
      <c r="I420" s="3">
        <f t="shared" si="13"/>
        <v>164812.83000000002</v>
      </c>
    </row>
    <row r="421" spans="1:9">
      <c r="A421" s="174" t="s">
        <v>7099</v>
      </c>
      <c r="B421">
        <v>85</v>
      </c>
      <c r="F421" s="11" t="s">
        <v>2878</v>
      </c>
      <c r="G421" s="11" t="s">
        <v>2879</v>
      </c>
      <c r="H421" s="3">
        <f t="shared" si="12"/>
        <v>79.25</v>
      </c>
      <c r="I421" s="3">
        <f t="shared" si="13"/>
        <v>12.68</v>
      </c>
    </row>
    <row r="422" spans="1:9">
      <c r="A422" s="174" t="s">
        <v>7099</v>
      </c>
      <c r="B422">
        <v>85</v>
      </c>
      <c r="F422" s="113" t="s">
        <v>3389</v>
      </c>
      <c r="G422" s="11" t="s">
        <v>4336</v>
      </c>
      <c r="H422" s="3">
        <f t="shared" si="12"/>
        <v>55.937499999999993</v>
      </c>
      <c r="I422" s="3">
        <f t="shared" si="13"/>
        <v>8.9499999999999993</v>
      </c>
    </row>
    <row r="423" spans="1:9">
      <c r="A423" s="174" t="s">
        <v>7099</v>
      </c>
      <c r="B423">
        <v>85</v>
      </c>
      <c r="F423" s="11" t="s">
        <v>1577</v>
      </c>
      <c r="G423" s="11" t="s">
        <v>1062</v>
      </c>
      <c r="H423" s="3">
        <f t="shared" si="12"/>
        <v>11137.9375</v>
      </c>
      <c r="I423" s="3">
        <f t="shared" si="13"/>
        <v>1782.07</v>
      </c>
    </row>
    <row r="424" spans="1:9">
      <c r="A424" s="174" t="s">
        <v>7099</v>
      </c>
      <c r="B424">
        <v>85</v>
      </c>
      <c r="F424" s="11" t="s">
        <v>764</v>
      </c>
      <c r="G424" s="11" t="s">
        <v>100</v>
      </c>
      <c r="H424" s="3">
        <f t="shared" si="12"/>
        <v>20537.9375</v>
      </c>
      <c r="I424" s="3">
        <f t="shared" si="13"/>
        <v>3286.07</v>
      </c>
    </row>
    <row r="425" spans="1:9">
      <c r="A425" s="174" t="s">
        <v>7099</v>
      </c>
      <c r="B425">
        <v>85</v>
      </c>
      <c r="F425" s="11" t="s">
        <v>1689</v>
      </c>
      <c r="G425" s="11" t="s">
        <v>5236</v>
      </c>
      <c r="H425" s="3">
        <f t="shared" si="12"/>
        <v>334.3125</v>
      </c>
      <c r="I425" s="3">
        <f t="shared" si="13"/>
        <v>53.49</v>
      </c>
    </row>
    <row r="426" spans="1:9">
      <c r="A426" s="174" t="s">
        <v>7099</v>
      </c>
      <c r="B426">
        <v>85</v>
      </c>
      <c r="F426" s="11" t="s">
        <v>773</v>
      </c>
      <c r="G426" s="11" t="s">
        <v>514</v>
      </c>
      <c r="H426" s="3">
        <f t="shared" si="12"/>
        <v>513.74999999999989</v>
      </c>
      <c r="I426" s="3">
        <f t="shared" si="13"/>
        <v>82.199999999999989</v>
      </c>
    </row>
    <row r="427" spans="1:9">
      <c r="A427" s="174" t="s">
        <v>7099</v>
      </c>
      <c r="B427">
        <v>85</v>
      </c>
      <c r="F427" s="28" t="s">
        <v>1653</v>
      </c>
      <c r="G427" s="28" t="s">
        <v>5243</v>
      </c>
      <c r="H427" s="3">
        <f t="shared" si="12"/>
        <v>739.625</v>
      </c>
      <c r="I427" s="3">
        <f t="shared" si="13"/>
        <v>118.34</v>
      </c>
    </row>
    <row r="428" spans="1:9">
      <c r="A428" s="174" t="s">
        <v>7099</v>
      </c>
      <c r="B428">
        <v>85</v>
      </c>
      <c r="F428" s="11" t="s">
        <v>767</v>
      </c>
      <c r="G428" s="11" t="s">
        <v>4956</v>
      </c>
      <c r="H428" s="3">
        <f t="shared" si="12"/>
        <v>994.81249999999989</v>
      </c>
      <c r="I428" s="3">
        <f t="shared" si="13"/>
        <v>159.16999999999999</v>
      </c>
    </row>
    <row r="429" spans="1:9">
      <c r="A429" s="174" t="s">
        <v>7099</v>
      </c>
      <c r="B429">
        <v>85</v>
      </c>
      <c r="F429" s="11" t="s">
        <v>1601</v>
      </c>
      <c r="G429" s="11" t="s">
        <v>2109</v>
      </c>
      <c r="H429" s="3">
        <f t="shared" si="12"/>
        <v>2711.25</v>
      </c>
      <c r="I429" s="3">
        <f t="shared" si="13"/>
        <v>433.8</v>
      </c>
    </row>
    <row r="430" spans="1:9">
      <c r="A430" s="174" t="s">
        <v>7099</v>
      </c>
      <c r="B430">
        <v>85</v>
      </c>
      <c r="F430" s="11" t="s">
        <v>5251</v>
      </c>
      <c r="G430" s="11" t="s">
        <v>5252</v>
      </c>
      <c r="H430" s="3">
        <f t="shared" si="12"/>
        <v>167.125</v>
      </c>
      <c r="I430" s="3">
        <f t="shared" si="13"/>
        <v>26.74</v>
      </c>
    </row>
    <row r="431" spans="1:9">
      <c r="A431" s="174" t="s">
        <v>7099</v>
      </c>
      <c r="B431">
        <v>85</v>
      </c>
      <c r="F431" s="70" t="s">
        <v>937</v>
      </c>
      <c r="G431" s="28" t="s">
        <v>938</v>
      </c>
      <c r="H431" s="3">
        <f t="shared" si="12"/>
        <v>275.8125</v>
      </c>
      <c r="I431" s="3">
        <f t="shared" si="13"/>
        <v>44.13</v>
      </c>
    </row>
    <row r="432" spans="1:9">
      <c r="A432" s="174" t="s">
        <v>7099</v>
      </c>
      <c r="B432">
        <v>85</v>
      </c>
      <c r="F432" s="11" t="s">
        <v>1576</v>
      </c>
      <c r="G432" s="11" t="s">
        <v>1059</v>
      </c>
      <c r="H432" s="3">
        <f t="shared" si="12"/>
        <v>1582.75</v>
      </c>
      <c r="I432" s="3">
        <f t="shared" si="13"/>
        <v>253.24</v>
      </c>
    </row>
    <row r="433" spans="1:9">
      <c r="A433" s="174" t="s">
        <v>7099</v>
      </c>
      <c r="B433">
        <v>85</v>
      </c>
      <c r="F433" s="10" t="s">
        <v>761</v>
      </c>
      <c r="G433" s="11" t="s">
        <v>762</v>
      </c>
      <c r="H433" s="3">
        <f t="shared" si="12"/>
        <v>330512.6875</v>
      </c>
      <c r="I433" s="3">
        <f t="shared" si="13"/>
        <v>52882.03</v>
      </c>
    </row>
    <row r="434" spans="1:9">
      <c r="A434" s="174" t="s">
        <v>7099</v>
      </c>
      <c r="B434">
        <v>85</v>
      </c>
      <c r="F434" s="11" t="s">
        <v>2290</v>
      </c>
      <c r="G434" s="11" t="s">
        <v>2064</v>
      </c>
      <c r="H434" s="3">
        <f t="shared" si="12"/>
        <v>425</v>
      </c>
      <c r="I434" s="3">
        <f t="shared" si="13"/>
        <v>68</v>
      </c>
    </row>
    <row r="435" spans="1:9">
      <c r="A435" s="174" t="s">
        <v>7099</v>
      </c>
      <c r="B435">
        <v>85</v>
      </c>
      <c r="F435" s="109" t="s">
        <v>775</v>
      </c>
      <c r="G435" s="11" t="s">
        <v>776</v>
      </c>
      <c r="H435" s="3">
        <f t="shared" si="12"/>
        <v>24923.937500000011</v>
      </c>
      <c r="I435" s="3">
        <f t="shared" si="13"/>
        <v>3987.8300000000017</v>
      </c>
    </row>
    <row r="436" spans="1:9">
      <c r="A436" s="174" t="s">
        <v>7099</v>
      </c>
      <c r="B436">
        <v>85</v>
      </c>
      <c r="F436" s="11" t="s">
        <v>1595</v>
      </c>
      <c r="G436" s="11" t="s">
        <v>1596</v>
      </c>
      <c r="H436" s="3">
        <f t="shared" si="12"/>
        <v>330512.6875</v>
      </c>
      <c r="I436" s="3">
        <f t="shared" si="13"/>
        <v>52882.03</v>
      </c>
    </row>
    <row r="437" spans="1:9">
      <c r="A437" s="174" t="s">
        <v>7099</v>
      </c>
      <c r="B437">
        <v>85</v>
      </c>
      <c r="F437" s="11" t="s">
        <v>1594</v>
      </c>
      <c r="G437" s="11" t="s">
        <v>4739</v>
      </c>
      <c r="H437" s="3">
        <f t="shared" si="12"/>
        <v>4983.125</v>
      </c>
      <c r="I437" s="3">
        <f t="shared" si="13"/>
        <v>797.3</v>
      </c>
    </row>
    <row r="438" spans="1:9">
      <c r="A438" s="174" t="s">
        <v>7099</v>
      </c>
      <c r="B438">
        <v>85</v>
      </c>
      <c r="F438" s="109" t="s">
        <v>5163</v>
      </c>
      <c r="G438" s="11" t="s">
        <v>4847</v>
      </c>
      <c r="H438" s="3">
        <f t="shared" si="12"/>
        <v>311103.9375</v>
      </c>
      <c r="I438" s="3">
        <f t="shared" si="13"/>
        <v>49776.63</v>
      </c>
    </row>
    <row r="439" spans="1:9">
      <c r="A439" s="174" t="s">
        <v>7099</v>
      </c>
      <c r="B439">
        <v>85</v>
      </c>
      <c r="F439" s="11" t="s">
        <v>781</v>
      </c>
      <c r="G439" s="11" t="s">
        <v>80</v>
      </c>
      <c r="H439" s="3">
        <f t="shared" si="12"/>
        <v>6388.8125</v>
      </c>
      <c r="I439" s="3">
        <f t="shared" si="13"/>
        <v>1022.21</v>
      </c>
    </row>
    <row r="440" spans="1:9">
      <c r="A440" s="174" t="s">
        <v>7099</v>
      </c>
      <c r="B440">
        <v>85</v>
      </c>
      <c r="F440" s="11" t="s">
        <v>5183</v>
      </c>
      <c r="G440" s="11" t="s">
        <v>4993</v>
      </c>
      <c r="H440" s="3">
        <f t="shared" si="12"/>
        <v>38</v>
      </c>
      <c r="I440" s="3">
        <f t="shared" si="13"/>
        <v>6.08</v>
      </c>
    </row>
    <row r="441" spans="1:9">
      <c r="A441" s="174" t="s">
        <v>7099</v>
      </c>
      <c r="B441">
        <v>85</v>
      </c>
      <c r="F441" s="11" t="s">
        <v>780</v>
      </c>
      <c r="G441" s="11" t="s">
        <v>373</v>
      </c>
      <c r="H441" s="3">
        <f t="shared" si="12"/>
        <v>29834.625</v>
      </c>
      <c r="I441" s="3">
        <f t="shared" si="13"/>
        <v>4773.54</v>
      </c>
    </row>
    <row r="442" spans="1:9">
      <c r="A442" s="174" t="s">
        <v>7099</v>
      </c>
      <c r="B442">
        <v>85</v>
      </c>
      <c r="F442" s="109" t="s">
        <v>5164</v>
      </c>
      <c r="G442" s="11" t="s">
        <v>5117</v>
      </c>
      <c r="H442" s="3">
        <f t="shared" si="12"/>
        <v>358200</v>
      </c>
      <c r="I442" s="3">
        <f t="shared" si="13"/>
        <v>57312</v>
      </c>
    </row>
    <row r="443" spans="1:9">
      <c r="A443" s="174" t="s">
        <v>7099</v>
      </c>
      <c r="B443">
        <v>85</v>
      </c>
      <c r="F443" s="11" t="s">
        <v>739</v>
      </c>
      <c r="G443" s="11" t="s">
        <v>469</v>
      </c>
      <c r="H443" s="3">
        <f t="shared" si="12"/>
        <v>1293.0625</v>
      </c>
      <c r="I443" s="3">
        <f t="shared" si="13"/>
        <v>206.89</v>
      </c>
    </row>
    <row r="444" spans="1:9">
      <c r="A444" s="174" t="s">
        <v>7099</v>
      </c>
      <c r="B444">
        <v>85</v>
      </c>
      <c r="F444" s="11" t="s">
        <v>789</v>
      </c>
      <c r="G444" s="11" t="s">
        <v>1444</v>
      </c>
      <c r="H444" s="3">
        <f t="shared" si="12"/>
        <v>350</v>
      </c>
      <c r="I444" s="3">
        <f t="shared" si="13"/>
        <v>56</v>
      </c>
    </row>
    <row r="445" spans="1:9">
      <c r="A445" s="174" t="s">
        <v>7099</v>
      </c>
      <c r="B445">
        <v>85</v>
      </c>
      <c r="F445" s="28" t="s">
        <v>954</v>
      </c>
      <c r="G445" s="28" t="s">
        <v>2276</v>
      </c>
      <c r="H445" s="3">
        <f t="shared" si="12"/>
        <v>330.1875</v>
      </c>
      <c r="I445" s="3">
        <f t="shared" si="13"/>
        <v>52.83</v>
      </c>
    </row>
    <row r="446" spans="1:9">
      <c r="A446" s="174" t="s">
        <v>7099</v>
      </c>
      <c r="B446">
        <v>85</v>
      </c>
      <c r="F446" s="28" t="s">
        <v>1655</v>
      </c>
      <c r="G446" s="28" t="s">
        <v>3772</v>
      </c>
      <c r="H446" s="3">
        <f t="shared" si="12"/>
        <v>2697.5</v>
      </c>
      <c r="I446" s="3">
        <f t="shared" si="13"/>
        <v>431.6</v>
      </c>
    </row>
    <row r="447" spans="1:9">
      <c r="A447" s="174" t="s">
        <v>7099</v>
      </c>
      <c r="B447">
        <v>85</v>
      </c>
      <c r="F447" s="28" t="s">
        <v>5216</v>
      </c>
      <c r="G447" s="28" t="s">
        <v>5217</v>
      </c>
      <c r="H447" s="3">
        <f t="shared" si="12"/>
        <v>554.6875</v>
      </c>
      <c r="I447" s="3">
        <f t="shared" si="13"/>
        <v>88.75</v>
      </c>
    </row>
    <row r="448" spans="1:9">
      <c r="A448" s="174" t="s">
        <v>7099</v>
      </c>
      <c r="B448">
        <v>85</v>
      </c>
      <c r="F448" s="11" t="s">
        <v>3763</v>
      </c>
      <c r="G448" s="11" t="s">
        <v>3624</v>
      </c>
      <c r="H448" s="3">
        <f t="shared" si="12"/>
        <v>137.9375</v>
      </c>
      <c r="I448" s="3">
        <f t="shared" si="13"/>
        <v>22.07</v>
      </c>
    </row>
    <row r="449" spans="1:9">
      <c r="A449" s="174" t="s">
        <v>7099</v>
      </c>
      <c r="B449">
        <v>85</v>
      </c>
      <c r="F449" s="11" t="s">
        <v>5166</v>
      </c>
      <c r="G449" s="11" t="s">
        <v>4897</v>
      </c>
      <c r="H449" s="3">
        <f t="shared" si="12"/>
        <v>139.12499999999997</v>
      </c>
      <c r="I449" s="3">
        <f t="shared" si="13"/>
        <v>22.259999999999998</v>
      </c>
    </row>
    <row r="450" spans="1:9">
      <c r="A450" s="174" t="s">
        <v>7099</v>
      </c>
      <c r="B450">
        <v>85</v>
      </c>
      <c r="F450" s="11" t="s">
        <v>794</v>
      </c>
      <c r="G450" s="11" t="s">
        <v>612</v>
      </c>
      <c r="H450" s="3">
        <f t="shared" si="12"/>
        <v>596.99999999999989</v>
      </c>
      <c r="I450" s="3">
        <f t="shared" si="13"/>
        <v>95.519999999999982</v>
      </c>
    </row>
    <row r="451" spans="1:9">
      <c r="A451" s="174" t="s">
        <v>7099</v>
      </c>
      <c r="B451">
        <v>85</v>
      </c>
      <c r="F451" s="11" t="s">
        <v>5189</v>
      </c>
      <c r="G451" s="11" t="s">
        <v>4902</v>
      </c>
      <c r="H451" s="3">
        <f t="shared" si="12"/>
        <v>139.6875</v>
      </c>
      <c r="I451" s="3">
        <f t="shared" si="13"/>
        <v>22.35</v>
      </c>
    </row>
    <row r="452" spans="1:9">
      <c r="A452" s="174" t="s">
        <v>7099</v>
      </c>
      <c r="B452">
        <v>85</v>
      </c>
      <c r="F452" s="110" t="s">
        <v>1598</v>
      </c>
      <c r="G452" s="11" t="s">
        <v>1599</v>
      </c>
      <c r="H452" s="3">
        <f t="shared" si="12"/>
        <v>260157.5625</v>
      </c>
      <c r="I452" s="3">
        <f t="shared" si="13"/>
        <v>41625.21</v>
      </c>
    </row>
    <row r="453" spans="1:9">
      <c r="A453" s="174" t="s">
        <v>7099</v>
      </c>
      <c r="B453">
        <v>85</v>
      </c>
      <c r="F453" s="11" t="s">
        <v>5165</v>
      </c>
      <c r="G453" s="11" t="s">
        <v>4994</v>
      </c>
      <c r="H453" s="3">
        <f t="shared" ref="H453:H516" si="14">+I453/0.16</f>
        <v>48.1875</v>
      </c>
      <c r="I453" s="3">
        <f t="shared" ref="I453:I516" si="15">+SUMIF($F$8:$F$380,F453,$I$8:$I$380)</f>
        <v>7.71</v>
      </c>
    </row>
    <row r="454" spans="1:9">
      <c r="A454" s="174" t="s">
        <v>7099</v>
      </c>
      <c r="B454">
        <v>85</v>
      </c>
      <c r="F454" s="11" t="s">
        <v>5197</v>
      </c>
      <c r="G454" s="11" t="s">
        <v>5198</v>
      </c>
      <c r="H454" s="3">
        <f t="shared" si="14"/>
        <v>86.187499999999986</v>
      </c>
      <c r="I454" s="3">
        <f t="shared" si="15"/>
        <v>13.79</v>
      </c>
    </row>
    <row r="455" spans="1:9">
      <c r="A455" s="174" t="s">
        <v>7099</v>
      </c>
      <c r="B455">
        <v>85</v>
      </c>
      <c r="F455" s="11" t="s">
        <v>5167</v>
      </c>
      <c r="G455" s="11" t="s">
        <v>5079</v>
      </c>
      <c r="H455" s="3">
        <f t="shared" si="14"/>
        <v>4800</v>
      </c>
      <c r="I455" s="3">
        <f t="shared" si="15"/>
        <v>768</v>
      </c>
    </row>
    <row r="456" spans="1:9">
      <c r="A456" s="174" t="s">
        <v>7099</v>
      </c>
      <c r="B456">
        <v>85</v>
      </c>
      <c r="F456" s="28" t="s">
        <v>5205</v>
      </c>
      <c r="G456" s="28" t="s">
        <v>5207</v>
      </c>
      <c r="H456" s="3">
        <f t="shared" si="14"/>
        <v>766.8125</v>
      </c>
      <c r="I456" s="3">
        <f t="shared" si="15"/>
        <v>122.69</v>
      </c>
    </row>
    <row r="457" spans="1:9">
      <c r="A457" s="174" t="s">
        <v>7099</v>
      </c>
      <c r="B457">
        <v>85</v>
      </c>
      <c r="F457" s="11" t="s">
        <v>2896</v>
      </c>
      <c r="G457" s="11" t="s">
        <v>5233</v>
      </c>
      <c r="H457" s="3">
        <f t="shared" si="14"/>
        <v>569</v>
      </c>
      <c r="I457" s="3">
        <f t="shared" si="15"/>
        <v>91.04</v>
      </c>
    </row>
    <row r="458" spans="1:9">
      <c r="A458" s="174" t="s">
        <v>7099</v>
      </c>
      <c r="B458">
        <v>85</v>
      </c>
      <c r="F458" s="11" t="s">
        <v>798</v>
      </c>
      <c r="G458" s="11" t="s">
        <v>77</v>
      </c>
      <c r="H458" s="3">
        <f t="shared" si="14"/>
        <v>5943.8125</v>
      </c>
      <c r="I458" s="3">
        <f t="shared" si="15"/>
        <v>951.01</v>
      </c>
    </row>
    <row r="459" spans="1:9">
      <c r="A459" s="174" t="s">
        <v>7099</v>
      </c>
      <c r="B459">
        <v>85</v>
      </c>
      <c r="F459" t="s">
        <v>946</v>
      </c>
      <c r="G459" t="s">
        <v>947</v>
      </c>
      <c r="H459" s="3">
        <f t="shared" si="14"/>
        <v>-6586.5000000000064</v>
      </c>
      <c r="I459" s="3">
        <f t="shared" si="15"/>
        <v>-1053.8400000000011</v>
      </c>
    </row>
    <row r="460" spans="1:9">
      <c r="A460" s="174" t="s">
        <v>7099</v>
      </c>
      <c r="B460">
        <v>85</v>
      </c>
      <c r="F460" s="11" t="s">
        <v>5245</v>
      </c>
      <c r="G460" s="11" t="s">
        <v>5246</v>
      </c>
      <c r="H460" s="3">
        <f t="shared" si="14"/>
        <v>417.875</v>
      </c>
      <c r="I460" s="3">
        <f t="shared" si="15"/>
        <v>66.86</v>
      </c>
    </row>
    <row r="461" spans="1:9">
      <c r="A461" s="174" t="s">
        <v>7099</v>
      </c>
      <c r="B461">
        <v>85</v>
      </c>
      <c r="F461" s="11" t="s">
        <v>797</v>
      </c>
      <c r="G461" s="11" t="s">
        <v>220</v>
      </c>
      <c r="H461" s="3">
        <f t="shared" si="14"/>
        <v>7995</v>
      </c>
      <c r="I461" s="3">
        <f t="shared" si="15"/>
        <v>1279.2</v>
      </c>
    </row>
    <row r="462" spans="1:9">
      <c r="A462" s="174" t="s">
        <v>7099</v>
      </c>
      <c r="B462">
        <v>85</v>
      </c>
      <c r="F462" s="11" t="s">
        <v>2285</v>
      </c>
      <c r="G462" s="11" t="s">
        <v>3820</v>
      </c>
      <c r="H462" s="3">
        <f t="shared" si="14"/>
        <v>168750.3125</v>
      </c>
      <c r="I462" s="3">
        <f t="shared" si="15"/>
        <v>27000.05</v>
      </c>
    </row>
    <row r="463" spans="1:9">
      <c r="A463" s="174" t="s">
        <v>7099</v>
      </c>
      <c r="B463">
        <v>85</v>
      </c>
      <c r="F463" s="11" t="s">
        <v>2277</v>
      </c>
      <c r="G463" s="11" t="s">
        <v>2278</v>
      </c>
      <c r="H463" s="3">
        <f t="shared" si="14"/>
        <v>81.875</v>
      </c>
      <c r="I463" s="3">
        <f t="shared" si="15"/>
        <v>13.1</v>
      </c>
    </row>
    <row r="464" spans="1:9">
      <c r="A464" s="174" t="s">
        <v>7099</v>
      </c>
      <c r="B464">
        <v>85</v>
      </c>
      <c r="F464" s="11" t="s">
        <v>4725</v>
      </c>
      <c r="G464" s="11" t="s">
        <v>4579</v>
      </c>
      <c r="H464" s="3">
        <f t="shared" si="14"/>
        <v>120.81249999999999</v>
      </c>
      <c r="I464" s="3">
        <f t="shared" si="15"/>
        <v>19.329999999999998</v>
      </c>
    </row>
    <row r="465" spans="1:10">
      <c r="A465" s="174" t="s">
        <v>7099</v>
      </c>
      <c r="B465">
        <v>85</v>
      </c>
      <c r="F465" s="109" t="s">
        <v>830</v>
      </c>
      <c r="G465" s="112" t="s">
        <v>831</v>
      </c>
      <c r="H465" s="3">
        <f t="shared" si="14"/>
        <v>488.99999999999994</v>
      </c>
      <c r="I465" s="3">
        <f t="shared" si="15"/>
        <v>78.239999999999995</v>
      </c>
    </row>
    <row r="466" spans="1:10">
      <c r="A466" s="174" t="s">
        <v>7099</v>
      </c>
      <c r="B466">
        <v>85</v>
      </c>
      <c r="F466" s="70" t="s">
        <v>5222</v>
      </c>
      <c r="G466" s="28" t="s">
        <v>5223</v>
      </c>
      <c r="H466" s="3">
        <f t="shared" si="14"/>
        <v>991.5625</v>
      </c>
      <c r="I466" s="3">
        <f t="shared" si="15"/>
        <v>158.65</v>
      </c>
    </row>
    <row r="467" spans="1:10">
      <c r="A467" s="174" t="s">
        <v>7099</v>
      </c>
      <c r="B467">
        <v>85</v>
      </c>
      <c r="F467" s="11" t="s">
        <v>803</v>
      </c>
      <c r="G467" s="11" t="s">
        <v>74</v>
      </c>
      <c r="H467" s="3">
        <f t="shared" si="14"/>
        <v>39742.312499999993</v>
      </c>
      <c r="I467" s="3">
        <f t="shared" si="15"/>
        <v>6358.7699999999995</v>
      </c>
    </row>
    <row r="468" spans="1:10">
      <c r="A468" s="174" t="s">
        <v>7099</v>
      </c>
      <c r="B468">
        <v>85</v>
      </c>
      <c r="F468" s="11" t="s">
        <v>2854</v>
      </c>
      <c r="G468" s="11" t="s">
        <v>2731</v>
      </c>
      <c r="H468" s="3">
        <f t="shared" si="14"/>
        <v>684.5</v>
      </c>
      <c r="I468" s="3">
        <f t="shared" si="15"/>
        <v>109.52</v>
      </c>
    </row>
    <row r="469" spans="1:10">
      <c r="A469" s="174" t="s">
        <v>7099</v>
      </c>
      <c r="B469">
        <v>85</v>
      </c>
      <c r="F469" s="11" t="s">
        <v>801</v>
      </c>
      <c r="G469" s="11" t="s">
        <v>215</v>
      </c>
      <c r="H469" s="3">
        <f t="shared" si="14"/>
        <v>11000</v>
      </c>
      <c r="I469" s="3">
        <f t="shared" si="15"/>
        <v>1760</v>
      </c>
    </row>
    <row r="470" spans="1:10">
      <c r="A470" s="174" t="s">
        <v>7099</v>
      </c>
      <c r="B470">
        <v>85</v>
      </c>
      <c r="F470" s="109" t="s">
        <v>805</v>
      </c>
      <c r="G470" s="11" t="s">
        <v>112</v>
      </c>
      <c r="H470" s="3">
        <f t="shared" si="14"/>
        <v>35000</v>
      </c>
      <c r="I470" s="3">
        <f t="shared" si="15"/>
        <v>5600</v>
      </c>
    </row>
    <row r="471" spans="1:10">
      <c r="A471" s="174" t="s">
        <v>7099</v>
      </c>
      <c r="B471">
        <v>85</v>
      </c>
      <c r="F471" s="28" t="s">
        <v>5170</v>
      </c>
      <c r="G471" s="28" t="s">
        <v>5171</v>
      </c>
      <c r="H471" s="3">
        <f t="shared" si="14"/>
        <v>543.125</v>
      </c>
      <c r="I471" s="3">
        <f t="shared" si="15"/>
        <v>86.9</v>
      </c>
    </row>
    <row r="472" spans="1:10">
      <c r="A472" s="174" t="s">
        <v>7099</v>
      </c>
      <c r="B472">
        <v>85</v>
      </c>
      <c r="F472" s="11" t="s">
        <v>2329</v>
      </c>
      <c r="G472" s="11" t="s">
        <v>4387</v>
      </c>
      <c r="H472" s="3">
        <f t="shared" si="14"/>
        <v>1955.875</v>
      </c>
      <c r="I472" s="3">
        <f t="shared" si="15"/>
        <v>312.94</v>
      </c>
    </row>
    <row r="473" spans="1:10">
      <c r="A473" s="174" t="s">
        <v>7099</v>
      </c>
      <c r="B473">
        <v>85</v>
      </c>
      <c r="F473" s="109" t="s">
        <v>5187</v>
      </c>
      <c r="G473" s="112" t="s">
        <v>5188</v>
      </c>
      <c r="H473" s="3">
        <f t="shared" si="14"/>
        <v>252.06249999999997</v>
      </c>
      <c r="I473" s="3">
        <f t="shared" si="15"/>
        <v>40.33</v>
      </c>
    </row>
    <row r="474" spans="1:10">
      <c r="A474" s="174" t="s">
        <v>7099</v>
      </c>
      <c r="B474">
        <v>85</v>
      </c>
      <c r="F474" s="11" t="s">
        <v>806</v>
      </c>
      <c r="G474" s="11" t="s">
        <v>207</v>
      </c>
      <c r="H474" s="3">
        <f t="shared" si="14"/>
        <v>5624.1250000000009</v>
      </c>
      <c r="I474" s="3">
        <f t="shared" si="15"/>
        <v>899.86000000000013</v>
      </c>
    </row>
    <row r="475" spans="1:10">
      <c r="A475" s="174" t="s">
        <v>7099</v>
      </c>
      <c r="B475">
        <v>85</v>
      </c>
      <c r="F475" s="11" t="s">
        <v>811</v>
      </c>
      <c r="G475" s="11" t="s">
        <v>5185</v>
      </c>
      <c r="H475" s="3">
        <f t="shared" si="14"/>
        <v>58.999999999999993</v>
      </c>
      <c r="I475" s="3">
        <f t="shared" si="15"/>
        <v>9.44</v>
      </c>
    </row>
    <row r="476" spans="1:10">
      <c r="A476" s="174" t="s">
        <v>7099</v>
      </c>
      <c r="B476">
        <v>85</v>
      </c>
      <c r="F476" s="114" t="s">
        <v>814</v>
      </c>
      <c r="G476" s="11" t="s">
        <v>815</v>
      </c>
      <c r="H476" s="3">
        <f t="shared" si="14"/>
        <v>574345.3125</v>
      </c>
      <c r="I476" s="3">
        <f t="shared" si="15"/>
        <v>91895.25</v>
      </c>
    </row>
    <row r="477" spans="1:10">
      <c r="A477" s="174" t="s">
        <v>7099</v>
      </c>
      <c r="B477">
        <v>6</v>
      </c>
      <c r="F477" s="18" t="s">
        <v>816</v>
      </c>
      <c r="G477" s="19" t="s">
        <v>817</v>
      </c>
      <c r="H477" s="3">
        <f t="shared" si="14"/>
        <v>107142.875</v>
      </c>
      <c r="I477" s="3">
        <f t="shared" si="15"/>
        <v>17142.86</v>
      </c>
      <c r="J477">
        <v>11428.57</v>
      </c>
    </row>
    <row r="478" spans="1:10">
      <c r="A478" s="174" t="s">
        <v>7099</v>
      </c>
      <c r="B478">
        <v>85</v>
      </c>
      <c r="F478" s="11" t="s">
        <v>2856</v>
      </c>
      <c r="G478" s="11" t="s">
        <v>2827</v>
      </c>
      <c r="H478" s="3">
        <f t="shared" si="14"/>
        <v>5630</v>
      </c>
      <c r="I478" s="3">
        <f t="shared" si="15"/>
        <v>900.8</v>
      </c>
    </row>
    <row r="479" spans="1:10">
      <c r="A479" s="174" t="s">
        <v>7099</v>
      </c>
      <c r="B479">
        <v>85</v>
      </c>
      <c r="F479" s="11" t="s">
        <v>738</v>
      </c>
      <c r="G479" s="11" t="s">
        <v>517</v>
      </c>
      <c r="H479" s="3">
        <f t="shared" si="14"/>
        <v>174.1875</v>
      </c>
      <c r="I479" s="3">
        <f t="shared" si="15"/>
        <v>27.87</v>
      </c>
    </row>
    <row r="480" spans="1:10">
      <c r="A480" s="174" t="s">
        <v>7099</v>
      </c>
      <c r="B480">
        <v>85</v>
      </c>
      <c r="F480" s="28" t="s">
        <v>1644</v>
      </c>
      <c r="G480" s="28" t="s">
        <v>4908</v>
      </c>
      <c r="H480" s="3">
        <f t="shared" si="14"/>
        <v>793.875</v>
      </c>
      <c r="I480" s="3">
        <f t="shared" si="15"/>
        <v>127.02000000000001</v>
      </c>
    </row>
    <row r="481" spans="1:10">
      <c r="A481" s="174" t="s">
        <v>7099</v>
      </c>
      <c r="B481">
        <v>85</v>
      </c>
      <c r="F481" s="11" t="s">
        <v>2305</v>
      </c>
      <c r="G481" s="11" t="s">
        <v>2157</v>
      </c>
      <c r="H481" s="3">
        <f t="shared" si="14"/>
        <v>1720</v>
      </c>
      <c r="I481" s="3">
        <f t="shared" si="15"/>
        <v>275.2</v>
      </c>
    </row>
    <row r="482" spans="1:10">
      <c r="A482" s="174" t="s">
        <v>7099</v>
      </c>
      <c r="B482">
        <v>85</v>
      </c>
      <c r="F482" s="11" t="s">
        <v>5172</v>
      </c>
      <c r="G482" s="11" t="s">
        <v>5173</v>
      </c>
      <c r="H482" s="3">
        <f t="shared" si="14"/>
        <v>211.1875</v>
      </c>
      <c r="I482" s="3">
        <f t="shared" si="15"/>
        <v>33.79</v>
      </c>
    </row>
    <row r="483" spans="1:10">
      <c r="A483" s="174" t="s">
        <v>7099</v>
      </c>
      <c r="B483">
        <v>85</v>
      </c>
      <c r="F483" s="11" t="s">
        <v>5190</v>
      </c>
      <c r="G483" s="11" t="s">
        <v>5149</v>
      </c>
      <c r="H483" s="3">
        <f t="shared" si="14"/>
        <v>8025</v>
      </c>
      <c r="I483" s="3">
        <f t="shared" si="15"/>
        <v>1284</v>
      </c>
    </row>
    <row r="484" spans="1:10">
      <c r="A484" s="174" t="s">
        <v>7099</v>
      </c>
      <c r="B484">
        <v>85</v>
      </c>
      <c r="F484" s="11" t="s">
        <v>1615</v>
      </c>
      <c r="G484" s="11" t="s">
        <v>1449</v>
      </c>
      <c r="H484" s="3">
        <f t="shared" si="14"/>
        <v>200.625</v>
      </c>
      <c r="I484" s="3">
        <f t="shared" si="15"/>
        <v>32.1</v>
      </c>
    </row>
    <row r="485" spans="1:10">
      <c r="A485" s="174" t="s">
        <v>7099</v>
      </c>
      <c r="B485">
        <v>85</v>
      </c>
      <c r="F485" s="11" t="s">
        <v>818</v>
      </c>
      <c r="G485" s="11" t="s">
        <v>584</v>
      </c>
      <c r="H485" s="3">
        <f t="shared" si="14"/>
        <v>387.375</v>
      </c>
      <c r="I485" s="3">
        <f t="shared" si="15"/>
        <v>61.98</v>
      </c>
    </row>
    <row r="486" spans="1:10">
      <c r="A486" s="174" t="s">
        <v>7099</v>
      </c>
      <c r="B486">
        <v>85</v>
      </c>
      <c r="F486" s="11" t="s">
        <v>733</v>
      </c>
      <c r="G486" s="11" t="s">
        <v>124</v>
      </c>
      <c r="H486" s="3">
        <f t="shared" si="14"/>
        <v>13229.374999999998</v>
      </c>
      <c r="I486" s="3">
        <f t="shared" si="15"/>
        <v>2116.6999999999998</v>
      </c>
    </row>
    <row r="487" spans="1:10">
      <c r="A487" s="174" t="s">
        <v>7099</v>
      </c>
      <c r="B487">
        <v>85</v>
      </c>
      <c r="F487" s="11" t="s">
        <v>839</v>
      </c>
      <c r="G487" s="11" t="s">
        <v>229</v>
      </c>
      <c r="H487" s="3">
        <f t="shared" si="14"/>
        <v>6015</v>
      </c>
      <c r="I487" s="3">
        <f t="shared" si="15"/>
        <v>962.40000000000009</v>
      </c>
    </row>
    <row r="488" spans="1:10">
      <c r="A488" s="174" t="s">
        <v>7099</v>
      </c>
      <c r="B488">
        <v>85</v>
      </c>
      <c r="F488" s="11" t="s">
        <v>2858</v>
      </c>
      <c r="G488" s="11" t="s">
        <v>2830</v>
      </c>
      <c r="H488" s="3">
        <f t="shared" si="14"/>
        <v>7175.8125000000009</v>
      </c>
      <c r="I488" s="3">
        <f t="shared" si="15"/>
        <v>1148.1300000000001</v>
      </c>
    </row>
    <row r="489" spans="1:10">
      <c r="A489" s="174" t="s">
        <v>7099</v>
      </c>
      <c r="B489">
        <v>6</v>
      </c>
      <c r="F489" s="18" t="s">
        <v>843</v>
      </c>
      <c r="G489" s="19" t="s">
        <v>844</v>
      </c>
      <c r="H489" s="3">
        <f t="shared" si="14"/>
        <v>107142.875</v>
      </c>
      <c r="I489" s="3">
        <f t="shared" si="15"/>
        <v>17142.86</v>
      </c>
      <c r="J489">
        <v>11428.57</v>
      </c>
    </row>
    <row r="490" spans="1:10">
      <c r="A490" s="174" t="s">
        <v>7099</v>
      </c>
      <c r="B490">
        <v>85</v>
      </c>
      <c r="F490" s="11" t="s">
        <v>1620</v>
      </c>
      <c r="G490" s="11" t="s">
        <v>1186</v>
      </c>
      <c r="H490" s="3">
        <f t="shared" si="14"/>
        <v>239.6875</v>
      </c>
      <c r="I490" s="3">
        <f t="shared" si="15"/>
        <v>38.35</v>
      </c>
    </row>
    <row r="491" spans="1:10">
      <c r="A491" s="174" t="s">
        <v>7099</v>
      </c>
      <c r="B491">
        <v>85</v>
      </c>
      <c r="F491" s="11" t="s">
        <v>847</v>
      </c>
      <c r="G491" s="11" t="s">
        <v>848</v>
      </c>
      <c r="H491" s="3">
        <f t="shared" si="14"/>
        <v>62.749999999999993</v>
      </c>
      <c r="I491" s="3">
        <f t="shared" si="15"/>
        <v>10.039999999999999</v>
      </c>
    </row>
    <row r="492" spans="1:10">
      <c r="A492" s="174" t="s">
        <v>7099</v>
      </c>
      <c r="B492">
        <v>85</v>
      </c>
      <c r="F492" s="11" t="s">
        <v>931</v>
      </c>
      <c r="G492" s="11" t="s">
        <v>4895</v>
      </c>
      <c r="H492" s="3">
        <f t="shared" si="14"/>
        <v>643.125</v>
      </c>
      <c r="I492" s="3">
        <f t="shared" si="15"/>
        <v>102.9</v>
      </c>
    </row>
    <row r="493" spans="1:10">
      <c r="A493" s="174" t="s">
        <v>7099</v>
      </c>
      <c r="B493">
        <v>85</v>
      </c>
      <c r="F493" s="110" t="s">
        <v>856</v>
      </c>
      <c r="G493" s="11" t="s">
        <v>857</v>
      </c>
      <c r="H493" s="3">
        <f t="shared" si="14"/>
        <v>552254.1875</v>
      </c>
      <c r="I493" s="3">
        <f t="shared" si="15"/>
        <v>88360.67</v>
      </c>
    </row>
    <row r="494" spans="1:10">
      <c r="A494" s="174" t="s">
        <v>7099</v>
      </c>
      <c r="B494">
        <v>85</v>
      </c>
      <c r="F494" s="11" t="s">
        <v>851</v>
      </c>
      <c r="G494" s="11" t="s">
        <v>86</v>
      </c>
      <c r="H494" s="3">
        <f t="shared" si="14"/>
        <v>593</v>
      </c>
      <c r="I494" s="3">
        <f t="shared" si="15"/>
        <v>94.88</v>
      </c>
    </row>
    <row r="495" spans="1:10">
      <c r="A495" s="174" t="s">
        <v>7099</v>
      </c>
      <c r="B495">
        <v>85</v>
      </c>
      <c r="F495" s="11" t="s">
        <v>5218</v>
      </c>
      <c r="G495" s="11" t="s">
        <v>5219</v>
      </c>
      <c r="H495" s="3">
        <f t="shared" si="14"/>
        <v>601.5625</v>
      </c>
      <c r="I495" s="3">
        <f t="shared" si="15"/>
        <v>96.25</v>
      </c>
    </row>
    <row r="496" spans="1:10">
      <c r="A496" s="174" t="s">
        <v>7099</v>
      </c>
      <c r="B496">
        <v>85</v>
      </c>
      <c r="F496" s="11" t="s">
        <v>5253</v>
      </c>
      <c r="G496" s="11" t="s">
        <v>5254</v>
      </c>
      <c r="H496" s="3">
        <f t="shared" si="14"/>
        <v>85.375</v>
      </c>
      <c r="I496" s="3">
        <f t="shared" si="15"/>
        <v>13.66</v>
      </c>
    </row>
    <row r="497" spans="1:9">
      <c r="A497" s="174" t="s">
        <v>7099</v>
      </c>
      <c r="B497">
        <v>85</v>
      </c>
      <c r="F497" s="11" t="s">
        <v>2331</v>
      </c>
      <c r="G497" s="11" t="s">
        <v>4388</v>
      </c>
      <c r="H497" s="3">
        <f t="shared" si="14"/>
        <v>255.125</v>
      </c>
      <c r="I497" s="3">
        <f t="shared" si="15"/>
        <v>40.82</v>
      </c>
    </row>
    <row r="498" spans="1:9">
      <c r="A498" s="174" t="s">
        <v>7099</v>
      </c>
      <c r="B498">
        <v>85</v>
      </c>
      <c r="F498" s="28" t="s">
        <v>5208</v>
      </c>
      <c r="G498" s="28" t="s">
        <v>5209</v>
      </c>
      <c r="H498" s="3">
        <f t="shared" si="14"/>
        <v>732.5625</v>
      </c>
      <c r="I498" s="3">
        <f t="shared" si="15"/>
        <v>117.21</v>
      </c>
    </row>
    <row r="499" spans="1:9">
      <c r="A499" s="174" t="s">
        <v>7099</v>
      </c>
      <c r="B499">
        <v>85</v>
      </c>
      <c r="F499" s="11" t="s">
        <v>5247</v>
      </c>
      <c r="G499" s="11" t="s">
        <v>5248</v>
      </c>
      <c r="H499" s="3">
        <f t="shared" si="14"/>
        <v>86.25</v>
      </c>
      <c r="I499" s="3">
        <f t="shared" si="15"/>
        <v>13.8</v>
      </c>
    </row>
    <row r="500" spans="1:9">
      <c r="A500" s="174" t="s">
        <v>7099</v>
      </c>
      <c r="B500">
        <v>85</v>
      </c>
      <c r="F500" s="28" t="s">
        <v>925</v>
      </c>
      <c r="G500" s="28" t="s">
        <v>926</v>
      </c>
      <c r="H500" s="3">
        <f t="shared" si="14"/>
        <v>292.5</v>
      </c>
      <c r="I500" s="3">
        <f t="shared" si="15"/>
        <v>46.8</v>
      </c>
    </row>
    <row r="501" spans="1:9">
      <c r="A501" s="174" t="s">
        <v>7099</v>
      </c>
      <c r="B501">
        <v>85</v>
      </c>
      <c r="F501" s="11" t="s">
        <v>849</v>
      </c>
      <c r="G501" s="11" t="s">
        <v>127</v>
      </c>
      <c r="H501" s="3">
        <f t="shared" si="14"/>
        <v>4200</v>
      </c>
      <c r="I501" s="3">
        <f t="shared" si="15"/>
        <v>672</v>
      </c>
    </row>
    <row r="502" spans="1:9">
      <c r="A502" s="174" t="s">
        <v>7099</v>
      </c>
      <c r="B502">
        <v>85</v>
      </c>
      <c r="F502" s="28" t="s">
        <v>5177</v>
      </c>
      <c r="G502" s="28" t="s">
        <v>5178</v>
      </c>
      <c r="H502" s="3">
        <f t="shared" si="14"/>
        <v>371.9375</v>
      </c>
      <c r="I502" s="3">
        <f t="shared" si="15"/>
        <v>59.51</v>
      </c>
    </row>
    <row r="503" spans="1:9">
      <c r="A503" s="174" t="s">
        <v>7099</v>
      </c>
      <c r="B503">
        <v>85</v>
      </c>
      <c r="F503" s="11" t="s">
        <v>858</v>
      </c>
      <c r="G503" s="11" t="s">
        <v>121</v>
      </c>
      <c r="H503" s="3">
        <f t="shared" si="14"/>
        <v>2800</v>
      </c>
      <c r="I503" s="3">
        <f t="shared" si="15"/>
        <v>448</v>
      </c>
    </row>
    <row r="504" spans="1:9">
      <c r="A504" s="174" t="s">
        <v>7099</v>
      </c>
      <c r="B504">
        <v>85</v>
      </c>
      <c r="F504" s="28" t="s">
        <v>5210</v>
      </c>
      <c r="G504" s="28" t="s">
        <v>5211</v>
      </c>
      <c r="H504" s="3">
        <f t="shared" si="14"/>
        <v>296.625</v>
      </c>
      <c r="I504" s="3">
        <f t="shared" si="15"/>
        <v>47.46</v>
      </c>
    </row>
    <row r="505" spans="1:9">
      <c r="A505" s="174" t="s">
        <v>7099</v>
      </c>
      <c r="B505">
        <v>85</v>
      </c>
      <c r="F505" s="110" t="s">
        <v>862</v>
      </c>
      <c r="G505" s="11" t="s">
        <v>2394</v>
      </c>
      <c r="H505" s="3">
        <f t="shared" si="14"/>
        <v>330512.6875</v>
      </c>
      <c r="I505" s="3">
        <f t="shared" si="15"/>
        <v>52882.03</v>
      </c>
    </row>
    <row r="506" spans="1:9">
      <c r="A506" s="174" t="s">
        <v>7099</v>
      </c>
      <c r="B506">
        <v>85</v>
      </c>
      <c r="F506" t="s">
        <v>859</v>
      </c>
      <c r="G506" t="s">
        <v>174</v>
      </c>
      <c r="H506" s="3">
        <f t="shared" si="14"/>
        <v>1927.6875</v>
      </c>
      <c r="I506" s="3">
        <f t="shared" si="15"/>
        <v>308.43</v>
      </c>
    </row>
    <row r="507" spans="1:9">
      <c r="A507" s="174" t="s">
        <v>7099</v>
      </c>
      <c r="B507">
        <v>85</v>
      </c>
      <c r="F507" s="28" t="s">
        <v>923</v>
      </c>
      <c r="G507" s="28" t="s">
        <v>924</v>
      </c>
      <c r="H507" s="3">
        <f t="shared" si="14"/>
        <v>208.9375</v>
      </c>
      <c r="I507" s="3">
        <f t="shared" si="15"/>
        <v>33.43</v>
      </c>
    </row>
    <row r="508" spans="1:9">
      <c r="A508" s="174" t="s">
        <v>7099</v>
      </c>
      <c r="B508">
        <v>85</v>
      </c>
      <c r="F508" s="28" t="s">
        <v>5212</v>
      </c>
      <c r="G508" s="28" t="s">
        <v>5213</v>
      </c>
      <c r="H508" s="3">
        <f t="shared" si="14"/>
        <v>742.3125</v>
      </c>
      <c r="I508" s="3">
        <f t="shared" si="15"/>
        <v>118.77</v>
      </c>
    </row>
    <row r="509" spans="1:9">
      <c r="A509" s="174" t="s">
        <v>7099</v>
      </c>
      <c r="B509">
        <v>85</v>
      </c>
      <c r="F509" s="11" t="s">
        <v>860</v>
      </c>
      <c r="G509" s="11" t="s">
        <v>623</v>
      </c>
      <c r="H509" s="3">
        <f t="shared" si="14"/>
        <v>37.9375</v>
      </c>
      <c r="I509" s="3">
        <f t="shared" si="15"/>
        <v>6.07</v>
      </c>
    </row>
    <row r="510" spans="1:9">
      <c r="A510" s="174" t="s">
        <v>7099</v>
      </c>
      <c r="B510">
        <v>85</v>
      </c>
      <c r="F510" s="11" t="s">
        <v>3768</v>
      </c>
      <c r="G510" s="11" t="s">
        <v>3769</v>
      </c>
      <c r="H510" s="3">
        <f t="shared" si="14"/>
        <v>292.5</v>
      </c>
      <c r="I510" s="3">
        <f t="shared" si="15"/>
        <v>46.8</v>
      </c>
    </row>
    <row r="511" spans="1:9">
      <c r="A511" s="174" t="s">
        <v>7099</v>
      </c>
      <c r="B511">
        <v>85</v>
      </c>
      <c r="F511" s="10" t="s">
        <v>921</v>
      </c>
      <c r="G511" s="11" t="s">
        <v>922</v>
      </c>
      <c r="H511" s="3">
        <f t="shared" si="14"/>
        <v>64389.312500000007</v>
      </c>
      <c r="I511" s="3">
        <f t="shared" si="15"/>
        <v>10302.290000000001</v>
      </c>
    </row>
    <row r="512" spans="1:9">
      <c r="A512" s="174" t="s">
        <v>7099</v>
      </c>
      <c r="B512">
        <v>85</v>
      </c>
      <c r="F512" s="11" t="s">
        <v>5191</v>
      </c>
      <c r="G512" s="11" t="s">
        <v>5114</v>
      </c>
      <c r="H512" s="3">
        <f t="shared" si="14"/>
        <v>3397.9999999999995</v>
      </c>
      <c r="I512" s="3">
        <f t="shared" si="15"/>
        <v>543.67999999999995</v>
      </c>
    </row>
    <row r="513" spans="1:9">
      <c r="A513" s="174" t="s">
        <v>7099</v>
      </c>
      <c r="B513">
        <v>85</v>
      </c>
      <c r="F513" s="109" t="s">
        <v>5168</v>
      </c>
      <c r="G513" s="11" t="s">
        <v>5169</v>
      </c>
      <c r="H513" s="3">
        <f t="shared" si="14"/>
        <v>1275</v>
      </c>
      <c r="I513" s="3">
        <f t="shared" si="15"/>
        <v>204</v>
      </c>
    </row>
    <row r="514" spans="1:9">
      <c r="A514" s="174" t="s">
        <v>7099</v>
      </c>
      <c r="B514">
        <v>85</v>
      </c>
      <c r="F514" s="11" t="s">
        <v>869</v>
      </c>
      <c r="G514" s="11" t="s">
        <v>1455</v>
      </c>
      <c r="H514" s="3">
        <f t="shared" si="14"/>
        <v>27.25</v>
      </c>
      <c r="I514" s="3">
        <f t="shared" si="15"/>
        <v>4.3600000000000003</v>
      </c>
    </row>
    <row r="515" spans="1:9">
      <c r="A515" s="174" t="s">
        <v>7099</v>
      </c>
      <c r="B515">
        <v>85</v>
      </c>
      <c r="F515" s="11" t="s">
        <v>868</v>
      </c>
      <c r="G515" s="11" t="s">
        <v>94</v>
      </c>
      <c r="H515" s="3">
        <f t="shared" si="14"/>
        <v>32519.8125</v>
      </c>
      <c r="I515" s="3">
        <f t="shared" si="15"/>
        <v>5203.17</v>
      </c>
    </row>
    <row r="516" spans="1:9">
      <c r="A516" s="174" t="s">
        <v>7099</v>
      </c>
      <c r="B516">
        <v>85</v>
      </c>
      <c r="F516" s="11" t="s">
        <v>742</v>
      </c>
      <c r="G516" s="11" t="s">
        <v>4894</v>
      </c>
      <c r="H516" s="3">
        <f t="shared" si="14"/>
        <v>648.75</v>
      </c>
      <c r="I516" s="3">
        <f t="shared" si="15"/>
        <v>103.8</v>
      </c>
    </row>
    <row r="517" spans="1:9">
      <c r="A517" s="174" t="s">
        <v>7099</v>
      </c>
      <c r="B517">
        <v>85</v>
      </c>
      <c r="F517" s="11" t="s">
        <v>3343</v>
      </c>
      <c r="G517" s="11" t="s">
        <v>4995</v>
      </c>
      <c r="H517" s="3">
        <f t="shared" ref="H517:H562" si="16">+I517/0.16</f>
        <v>454.3125</v>
      </c>
      <c r="I517" s="3">
        <f t="shared" ref="I517:I562" si="17">+SUMIF($F$8:$F$380,F517,$I$8:$I$380)</f>
        <v>72.69</v>
      </c>
    </row>
    <row r="518" spans="1:9">
      <c r="A518" s="174" t="s">
        <v>7099</v>
      </c>
      <c r="B518">
        <v>85</v>
      </c>
      <c r="F518" s="11" t="s">
        <v>5203</v>
      </c>
      <c r="G518" s="11" t="s">
        <v>5204</v>
      </c>
      <c r="H518" s="3">
        <f t="shared" si="16"/>
        <v>103.4375</v>
      </c>
      <c r="I518" s="3">
        <f t="shared" si="17"/>
        <v>16.55</v>
      </c>
    </row>
    <row r="519" spans="1:9">
      <c r="A519" s="174" t="s">
        <v>7099</v>
      </c>
      <c r="B519">
        <v>85</v>
      </c>
      <c r="F519" s="11" t="s">
        <v>4709</v>
      </c>
      <c r="G519" s="11" t="s">
        <v>4710</v>
      </c>
      <c r="H519" s="3">
        <f t="shared" si="16"/>
        <v>93.125</v>
      </c>
      <c r="I519" s="3">
        <f t="shared" si="17"/>
        <v>14.9</v>
      </c>
    </row>
    <row r="520" spans="1:9">
      <c r="A520" s="174" t="s">
        <v>7099</v>
      </c>
      <c r="B520">
        <v>85</v>
      </c>
      <c r="F520" s="11" t="s">
        <v>5231</v>
      </c>
      <c r="G520" s="11" t="s">
        <v>5232</v>
      </c>
      <c r="H520" s="3">
        <f t="shared" si="16"/>
        <v>108.62499999999999</v>
      </c>
      <c r="I520" s="3">
        <f t="shared" si="17"/>
        <v>17.38</v>
      </c>
    </row>
    <row r="521" spans="1:9">
      <c r="A521" s="174" t="s">
        <v>7099</v>
      </c>
      <c r="B521">
        <v>85</v>
      </c>
      <c r="F521" s="11" t="s">
        <v>4717</v>
      </c>
      <c r="G521" s="11" t="s">
        <v>4718</v>
      </c>
      <c r="H521" s="3">
        <f t="shared" si="16"/>
        <v>66.375</v>
      </c>
      <c r="I521" s="3">
        <f t="shared" si="17"/>
        <v>10.62</v>
      </c>
    </row>
    <row r="522" spans="1:9">
      <c r="A522" s="174" t="s">
        <v>7099</v>
      </c>
      <c r="B522">
        <v>85</v>
      </c>
      <c r="F522" s="11" t="s">
        <v>2871</v>
      </c>
      <c r="G522" s="11" t="s">
        <v>2872</v>
      </c>
      <c r="H522" s="3">
        <f t="shared" si="16"/>
        <v>98</v>
      </c>
      <c r="I522" s="3">
        <f t="shared" si="17"/>
        <v>15.68</v>
      </c>
    </row>
    <row r="523" spans="1:9">
      <c r="A523" s="174" t="s">
        <v>7099</v>
      </c>
      <c r="B523">
        <v>85</v>
      </c>
      <c r="F523" s="109" t="s">
        <v>865</v>
      </c>
      <c r="G523" s="11" t="s">
        <v>158</v>
      </c>
      <c r="H523" s="3">
        <f t="shared" si="16"/>
        <v>256.0625</v>
      </c>
      <c r="I523" s="3">
        <f t="shared" si="17"/>
        <v>40.97</v>
      </c>
    </row>
    <row r="524" spans="1:9">
      <c r="A524" s="174" t="s">
        <v>7099</v>
      </c>
      <c r="B524">
        <v>85</v>
      </c>
      <c r="F524" s="28" t="s">
        <v>943</v>
      </c>
      <c r="G524" s="28" t="s">
        <v>5186</v>
      </c>
      <c r="H524" s="3">
        <f t="shared" si="16"/>
        <v>1374.6875</v>
      </c>
      <c r="I524" s="3">
        <f t="shared" si="17"/>
        <v>219.95000000000002</v>
      </c>
    </row>
    <row r="525" spans="1:9">
      <c r="A525" s="174" t="s">
        <v>7099</v>
      </c>
      <c r="B525">
        <v>85</v>
      </c>
      <c r="F525" s="70" t="s">
        <v>5228</v>
      </c>
      <c r="G525" s="28" t="s">
        <v>5229</v>
      </c>
      <c r="H525" s="3">
        <f t="shared" si="16"/>
        <v>518.8125</v>
      </c>
      <c r="I525" s="3">
        <f t="shared" si="17"/>
        <v>83.01</v>
      </c>
    </row>
    <row r="526" spans="1:9">
      <c r="A526" s="174" t="s">
        <v>7099</v>
      </c>
      <c r="B526">
        <v>85</v>
      </c>
      <c r="F526" s="28" t="s">
        <v>1684</v>
      </c>
      <c r="G526" s="28" t="s">
        <v>1685</v>
      </c>
      <c r="H526" s="3">
        <f t="shared" si="16"/>
        <v>1128.1875</v>
      </c>
      <c r="I526" s="3">
        <f t="shared" si="17"/>
        <v>180.51</v>
      </c>
    </row>
    <row r="527" spans="1:9">
      <c r="A527" s="174" t="s">
        <v>7099</v>
      </c>
      <c r="B527">
        <v>85</v>
      </c>
      <c r="F527" t="s">
        <v>2899</v>
      </c>
      <c r="G527" t="s">
        <v>2900</v>
      </c>
      <c r="H527" s="3">
        <f t="shared" si="16"/>
        <v>518.1875</v>
      </c>
      <c r="I527" s="3">
        <f t="shared" si="17"/>
        <v>82.91</v>
      </c>
    </row>
    <row r="528" spans="1:9">
      <c r="A528" s="174" t="s">
        <v>7099</v>
      </c>
      <c r="B528">
        <v>85</v>
      </c>
      <c r="F528" s="28" t="s">
        <v>2880</v>
      </c>
      <c r="G528" s="28" t="s">
        <v>2881</v>
      </c>
      <c r="H528" s="3">
        <f t="shared" si="16"/>
        <v>1533.5</v>
      </c>
      <c r="I528" s="3">
        <f t="shared" si="17"/>
        <v>245.36</v>
      </c>
    </row>
    <row r="529" spans="1:9">
      <c r="A529" s="174" t="s">
        <v>7099</v>
      </c>
      <c r="B529">
        <v>85</v>
      </c>
      <c r="F529" s="28" t="s">
        <v>5237</v>
      </c>
      <c r="G529" s="28" t="s">
        <v>5238</v>
      </c>
      <c r="H529" s="3">
        <f t="shared" si="16"/>
        <v>543.25</v>
      </c>
      <c r="I529" s="3">
        <f t="shared" si="17"/>
        <v>86.92</v>
      </c>
    </row>
    <row r="530" spans="1:9">
      <c r="A530" s="174" t="s">
        <v>7099</v>
      </c>
      <c r="B530">
        <v>85</v>
      </c>
      <c r="F530" s="28" t="s">
        <v>877</v>
      </c>
      <c r="G530" s="28" t="s">
        <v>223</v>
      </c>
      <c r="H530" s="3">
        <f t="shared" si="16"/>
        <v>81107.625</v>
      </c>
      <c r="I530" s="3">
        <f t="shared" si="17"/>
        <v>12977.220000000001</v>
      </c>
    </row>
    <row r="531" spans="1:9">
      <c r="A531" s="174" t="s">
        <v>7099</v>
      </c>
      <c r="B531">
        <v>85</v>
      </c>
      <c r="F531" s="11" t="s">
        <v>905</v>
      </c>
      <c r="G531" s="11" t="s">
        <v>906</v>
      </c>
      <c r="H531" s="3">
        <f t="shared" si="16"/>
        <v>728.18749999999989</v>
      </c>
      <c r="I531" s="3">
        <f t="shared" si="17"/>
        <v>116.50999999999999</v>
      </c>
    </row>
    <row r="532" spans="1:9">
      <c r="A532" s="174" t="s">
        <v>7099</v>
      </c>
      <c r="B532">
        <v>85</v>
      </c>
      <c r="F532" s="11" t="s">
        <v>4364</v>
      </c>
      <c r="G532" s="11" t="s">
        <v>5255</v>
      </c>
      <c r="H532" s="3">
        <f t="shared" si="16"/>
        <v>249.125</v>
      </c>
      <c r="I532" s="3">
        <f t="shared" si="17"/>
        <v>39.86</v>
      </c>
    </row>
    <row r="533" spans="1:9">
      <c r="A533" s="174" t="s">
        <v>7099</v>
      </c>
      <c r="B533">
        <v>85</v>
      </c>
      <c r="F533" s="11" t="s">
        <v>5194</v>
      </c>
      <c r="G533" s="11" t="s">
        <v>4979</v>
      </c>
      <c r="H533" s="3">
        <f t="shared" si="16"/>
        <v>283.625</v>
      </c>
      <c r="I533" s="3">
        <f t="shared" si="17"/>
        <v>45.38</v>
      </c>
    </row>
    <row r="534" spans="1:9">
      <c r="A534" s="174" t="s">
        <v>7099</v>
      </c>
      <c r="B534">
        <v>85</v>
      </c>
      <c r="F534" s="33" t="s">
        <v>5193</v>
      </c>
      <c r="G534" t="s">
        <v>4990</v>
      </c>
      <c r="H534" s="3">
        <f t="shared" si="16"/>
        <v>175</v>
      </c>
      <c r="I534" s="3">
        <f t="shared" si="17"/>
        <v>28</v>
      </c>
    </row>
    <row r="535" spans="1:9">
      <c r="A535" s="174" t="s">
        <v>7099</v>
      </c>
      <c r="B535">
        <v>85</v>
      </c>
      <c r="F535" s="28" t="s">
        <v>913</v>
      </c>
      <c r="G535" s="28" t="s">
        <v>914</v>
      </c>
      <c r="H535" s="3">
        <f t="shared" si="16"/>
        <v>943.06249999999989</v>
      </c>
      <c r="I535" s="3">
        <f t="shared" si="17"/>
        <v>150.88999999999999</v>
      </c>
    </row>
    <row r="536" spans="1:9">
      <c r="A536" s="174" t="s">
        <v>7099</v>
      </c>
      <c r="B536">
        <v>85</v>
      </c>
      <c r="F536" s="11" t="s">
        <v>884</v>
      </c>
      <c r="G536" s="11" t="s">
        <v>4892</v>
      </c>
      <c r="H536" s="3">
        <f t="shared" si="16"/>
        <v>689.625</v>
      </c>
      <c r="I536" s="3">
        <f t="shared" si="17"/>
        <v>110.34</v>
      </c>
    </row>
    <row r="537" spans="1:9">
      <c r="A537" s="174" t="s">
        <v>7099</v>
      </c>
      <c r="B537">
        <v>85</v>
      </c>
      <c r="F537" s="11" t="s">
        <v>5179</v>
      </c>
      <c r="G537" s="11" t="s">
        <v>5180</v>
      </c>
      <c r="H537" s="3">
        <f t="shared" si="16"/>
        <v>70</v>
      </c>
      <c r="I537" s="3">
        <f t="shared" si="17"/>
        <v>11.2</v>
      </c>
    </row>
    <row r="538" spans="1:9">
      <c r="A538" s="174" t="s">
        <v>7099</v>
      </c>
      <c r="B538">
        <v>85</v>
      </c>
      <c r="F538" s="11" t="s">
        <v>933</v>
      </c>
      <c r="G538" s="11" t="s">
        <v>934</v>
      </c>
      <c r="H538" s="3">
        <f t="shared" si="16"/>
        <v>334.99999999999994</v>
      </c>
      <c r="I538" s="3">
        <f t="shared" si="17"/>
        <v>53.599999999999994</v>
      </c>
    </row>
    <row r="539" spans="1:9">
      <c r="A539" s="174" t="s">
        <v>7099</v>
      </c>
      <c r="B539">
        <v>85</v>
      </c>
      <c r="F539" s="11" t="s">
        <v>5181</v>
      </c>
      <c r="G539" s="11" t="s">
        <v>5182</v>
      </c>
      <c r="H539" s="3">
        <f t="shared" si="16"/>
        <v>77.5625</v>
      </c>
      <c r="I539" s="3">
        <f t="shared" si="17"/>
        <v>12.41</v>
      </c>
    </row>
    <row r="540" spans="1:9">
      <c r="A540" s="174" t="s">
        <v>7099</v>
      </c>
      <c r="B540">
        <v>85</v>
      </c>
      <c r="F540" s="11" t="s">
        <v>5184</v>
      </c>
      <c r="G540" s="11" t="s">
        <v>4991</v>
      </c>
      <c r="H540" s="3">
        <f t="shared" si="16"/>
        <v>215.49999999999997</v>
      </c>
      <c r="I540" s="3">
        <f t="shared" si="17"/>
        <v>34.479999999999997</v>
      </c>
    </row>
    <row r="541" spans="1:9">
      <c r="A541" s="174" t="s">
        <v>7099</v>
      </c>
      <c r="B541">
        <v>85</v>
      </c>
      <c r="F541" s="11" t="s">
        <v>876</v>
      </c>
      <c r="G541" s="11" t="s">
        <v>306</v>
      </c>
      <c r="H541" s="3">
        <f t="shared" si="16"/>
        <v>32846.75</v>
      </c>
      <c r="I541" s="3">
        <f t="shared" si="17"/>
        <v>5255.48</v>
      </c>
    </row>
    <row r="542" spans="1:9">
      <c r="A542" s="174" t="s">
        <v>7099</v>
      </c>
      <c r="B542">
        <v>85</v>
      </c>
      <c r="F542" s="28" t="s">
        <v>5239</v>
      </c>
      <c r="G542" s="28" t="s">
        <v>5240</v>
      </c>
      <c r="H542" s="3">
        <f t="shared" si="16"/>
        <v>568.375</v>
      </c>
      <c r="I542" s="3">
        <f t="shared" si="17"/>
        <v>90.94</v>
      </c>
    </row>
    <row r="543" spans="1:9">
      <c r="A543" s="174" t="s">
        <v>7099</v>
      </c>
      <c r="B543">
        <v>85</v>
      </c>
      <c r="F543" s="11" t="s">
        <v>2322</v>
      </c>
      <c r="G543" s="11" t="s">
        <v>4983</v>
      </c>
      <c r="H543" s="3">
        <f t="shared" si="16"/>
        <v>201.75</v>
      </c>
      <c r="I543" s="3">
        <f t="shared" si="17"/>
        <v>32.28</v>
      </c>
    </row>
    <row r="544" spans="1:9">
      <c r="A544" s="174" t="s">
        <v>7099</v>
      </c>
      <c r="B544">
        <v>85</v>
      </c>
      <c r="F544" s="28" t="s">
        <v>5196</v>
      </c>
      <c r="G544" s="28" t="s">
        <v>4981</v>
      </c>
      <c r="H544" s="3">
        <f t="shared" si="16"/>
        <v>334.49999999999994</v>
      </c>
      <c r="I544" s="3">
        <f t="shared" si="17"/>
        <v>53.519999999999996</v>
      </c>
    </row>
    <row r="545" spans="1:10">
      <c r="A545" s="174" t="s">
        <v>7099</v>
      </c>
      <c r="B545">
        <v>85</v>
      </c>
      <c r="F545" s="28" t="s">
        <v>1704</v>
      </c>
      <c r="G545" s="28" t="s">
        <v>5199</v>
      </c>
      <c r="H545" s="3">
        <f t="shared" si="16"/>
        <v>208.9375</v>
      </c>
      <c r="I545" s="3">
        <f t="shared" si="17"/>
        <v>33.43</v>
      </c>
    </row>
    <row r="546" spans="1:10">
      <c r="A546" s="174" t="s">
        <v>7099</v>
      </c>
      <c r="B546">
        <v>85</v>
      </c>
      <c r="F546" s="70" t="s">
        <v>5226</v>
      </c>
      <c r="G546" s="28" t="s">
        <v>5227</v>
      </c>
      <c r="H546" s="3">
        <f t="shared" si="16"/>
        <v>530.5</v>
      </c>
      <c r="I546" s="3">
        <f t="shared" si="17"/>
        <v>84.88</v>
      </c>
    </row>
    <row r="547" spans="1:10">
      <c r="A547" s="174" t="s">
        <v>7099</v>
      </c>
      <c r="B547">
        <v>85</v>
      </c>
      <c r="F547" t="s">
        <v>1676</v>
      </c>
      <c r="G547" t="s">
        <v>1677</v>
      </c>
      <c r="H547" s="3">
        <f t="shared" si="16"/>
        <v>591.8125</v>
      </c>
      <c r="I547" s="3">
        <f t="shared" si="17"/>
        <v>94.69</v>
      </c>
    </row>
    <row r="548" spans="1:10">
      <c r="A548" s="174" t="s">
        <v>7099</v>
      </c>
      <c r="B548">
        <v>85</v>
      </c>
      <c r="F548" s="28" t="s">
        <v>2343</v>
      </c>
      <c r="G548" s="28" t="s">
        <v>2344</v>
      </c>
      <c r="H548" s="3">
        <f t="shared" si="16"/>
        <v>627.3125</v>
      </c>
      <c r="I548" s="3">
        <f t="shared" si="17"/>
        <v>100.37</v>
      </c>
    </row>
    <row r="549" spans="1:10">
      <c r="A549" s="174" t="s">
        <v>7099</v>
      </c>
      <c r="B549">
        <v>6</v>
      </c>
      <c r="F549" t="s">
        <v>5244</v>
      </c>
      <c r="G549" t="s">
        <v>5072</v>
      </c>
      <c r="H549" s="3">
        <f t="shared" si="16"/>
        <v>2100</v>
      </c>
      <c r="I549" s="3">
        <f t="shared" si="17"/>
        <v>336</v>
      </c>
      <c r="J549">
        <v>84</v>
      </c>
    </row>
    <row r="550" spans="1:10">
      <c r="A550" s="174" t="s">
        <v>7099</v>
      </c>
      <c r="B550">
        <v>85</v>
      </c>
      <c r="F550" s="67" t="s">
        <v>829</v>
      </c>
      <c r="G550" s="68" t="s">
        <v>6</v>
      </c>
      <c r="H550" s="3">
        <f t="shared" si="16"/>
        <v>331204.1875</v>
      </c>
      <c r="I550" s="3">
        <f t="shared" si="17"/>
        <v>52992.670000000006</v>
      </c>
    </row>
    <row r="551" spans="1:10">
      <c r="A551" s="174" t="s">
        <v>7099</v>
      </c>
      <c r="B551">
        <v>85</v>
      </c>
      <c r="F551" s="33" t="s">
        <v>1632</v>
      </c>
      <c r="G551" t="s">
        <v>968</v>
      </c>
      <c r="H551" s="3">
        <f t="shared" si="16"/>
        <v>20320.125</v>
      </c>
      <c r="I551" s="3">
        <f t="shared" si="17"/>
        <v>3251.2200000000003</v>
      </c>
    </row>
    <row r="552" spans="1:10">
      <c r="A552" s="174" t="s">
        <v>7099</v>
      </c>
      <c r="B552">
        <v>85</v>
      </c>
      <c r="F552" s="33" t="s">
        <v>1633</v>
      </c>
      <c r="G552" s="33" t="s">
        <v>1634</v>
      </c>
      <c r="H552" s="3">
        <f t="shared" si="16"/>
        <v>288927.5</v>
      </c>
      <c r="I552" s="3">
        <f t="shared" si="17"/>
        <v>46228.4</v>
      </c>
    </row>
    <row r="553" spans="1:10">
      <c r="A553" s="174" t="s">
        <v>7099</v>
      </c>
      <c r="B553">
        <v>85</v>
      </c>
      <c r="F553" s="30" t="s">
        <v>886</v>
      </c>
      <c r="G553" s="31" t="s">
        <v>887</v>
      </c>
      <c r="H553" s="3">
        <f t="shared" si="16"/>
        <v>6353882.6875000009</v>
      </c>
      <c r="I553" s="3">
        <f t="shared" si="17"/>
        <v>1016621.2300000002</v>
      </c>
    </row>
    <row r="554" spans="1:10">
      <c r="A554" s="174" t="s">
        <v>7099</v>
      </c>
      <c r="B554">
        <v>85</v>
      </c>
      <c r="F554" s="11" t="s">
        <v>879</v>
      </c>
      <c r="G554" s="11" t="s">
        <v>52</v>
      </c>
      <c r="H554" s="3">
        <f t="shared" si="16"/>
        <v>1897.4374999999998</v>
      </c>
      <c r="I554" s="3">
        <f t="shared" si="17"/>
        <v>303.58999999999997</v>
      </c>
    </row>
    <row r="555" spans="1:10">
      <c r="A555" s="174" t="s">
        <v>7099</v>
      </c>
      <c r="B555">
        <v>85</v>
      </c>
      <c r="F555" s="11" t="s">
        <v>882</v>
      </c>
      <c r="G555" s="11" t="s">
        <v>590</v>
      </c>
      <c r="H555" s="3">
        <f t="shared" si="16"/>
        <v>490.49999999999994</v>
      </c>
      <c r="I555" s="3">
        <f t="shared" si="17"/>
        <v>78.47999999999999</v>
      </c>
    </row>
    <row r="556" spans="1:10">
      <c r="A556" s="174" t="s">
        <v>7099</v>
      </c>
      <c r="B556">
        <v>85</v>
      </c>
      <c r="F556" s="109" t="s">
        <v>5249</v>
      </c>
      <c r="G556" s="116" t="s">
        <v>5250</v>
      </c>
      <c r="H556" s="3">
        <f t="shared" si="16"/>
        <v>125</v>
      </c>
      <c r="I556" s="3">
        <f t="shared" si="17"/>
        <v>20</v>
      </c>
    </row>
    <row r="557" spans="1:10">
      <c r="A557" s="174" t="s">
        <v>7099</v>
      </c>
      <c r="B557">
        <v>85</v>
      </c>
      <c r="F557" s="10" t="s">
        <v>890</v>
      </c>
      <c r="G557" s="11" t="s">
        <v>891</v>
      </c>
      <c r="H557" s="3">
        <f t="shared" si="16"/>
        <v>176668.5625</v>
      </c>
      <c r="I557" s="3">
        <f t="shared" si="17"/>
        <v>28266.97</v>
      </c>
    </row>
    <row r="558" spans="1:10">
      <c r="A558" s="174" t="s">
        <v>7099</v>
      </c>
      <c r="B558">
        <v>85</v>
      </c>
      <c r="F558" s="109" t="s">
        <v>4339</v>
      </c>
      <c r="G558" s="11" t="s">
        <v>4310</v>
      </c>
      <c r="H558" s="3">
        <f t="shared" si="16"/>
        <v>927358.12499999988</v>
      </c>
      <c r="I558" s="3">
        <f t="shared" si="17"/>
        <v>148377.29999999999</v>
      </c>
    </row>
    <row r="559" spans="1:10">
      <c r="A559" s="174" t="s">
        <v>7099</v>
      </c>
      <c r="B559">
        <v>85</v>
      </c>
      <c r="F559" s="10" t="s">
        <v>889</v>
      </c>
      <c r="G559" s="11" t="s">
        <v>118</v>
      </c>
      <c r="H559" s="3">
        <f t="shared" si="16"/>
        <v>1800</v>
      </c>
      <c r="I559" s="3">
        <f t="shared" si="17"/>
        <v>288</v>
      </c>
    </row>
    <row r="560" spans="1:10">
      <c r="A560" s="174" t="s">
        <v>7099</v>
      </c>
      <c r="B560">
        <v>85</v>
      </c>
      <c r="F560" s="11" t="s">
        <v>1617</v>
      </c>
      <c r="G560" s="11" t="s">
        <v>1461</v>
      </c>
      <c r="H560" s="3">
        <f t="shared" si="16"/>
        <v>430.99999999999994</v>
      </c>
      <c r="I560" s="3">
        <f t="shared" si="17"/>
        <v>68.959999999999994</v>
      </c>
    </row>
    <row r="561" spans="1:11">
      <c r="A561" s="174" t="s">
        <v>7099</v>
      </c>
      <c r="B561">
        <v>85</v>
      </c>
      <c r="F561" s="11" t="s">
        <v>4376</v>
      </c>
      <c r="G561" s="11" t="s">
        <v>4040</v>
      </c>
      <c r="H561" s="3">
        <f t="shared" si="16"/>
        <v>148.3125</v>
      </c>
      <c r="I561" s="3">
        <f t="shared" si="17"/>
        <v>23.73</v>
      </c>
    </row>
    <row r="562" spans="1:11">
      <c r="A562" s="174" t="s">
        <v>7099</v>
      </c>
      <c r="B562">
        <v>85</v>
      </c>
      <c r="F562" s="11" t="s">
        <v>1728</v>
      </c>
      <c r="G562" s="11" t="s">
        <v>1287</v>
      </c>
      <c r="H562" s="3">
        <f t="shared" si="16"/>
        <v>1821.6249999999998</v>
      </c>
      <c r="I562" s="3">
        <f t="shared" si="17"/>
        <v>291.45999999999998</v>
      </c>
    </row>
    <row r="564" spans="1:11">
      <c r="H564" s="3">
        <f>SUBTOTAL(9,H388:H563)</f>
        <v>15097472.5</v>
      </c>
      <c r="I564" s="3">
        <f>SUBTOTAL(9,I388:I563)</f>
        <v>2415595.5999999992</v>
      </c>
      <c r="J564">
        <f>+SUM(J388:J562)</f>
        <v>24655.43</v>
      </c>
    </row>
    <row r="565" spans="1:11">
      <c r="H565" s="3">
        <f>+H384</f>
        <v>15097472.5</v>
      </c>
      <c r="I565" s="3">
        <f>+I384</f>
        <v>2415595.600000001</v>
      </c>
      <c r="J565">
        <f>24571.43+7.88</f>
        <v>24579.31</v>
      </c>
    </row>
    <row r="566" spans="1:11">
      <c r="H566" s="3">
        <f>+H564-H565</f>
        <v>0</v>
      </c>
      <c r="I566" s="3">
        <f>+I564-I565</f>
        <v>0</v>
      </c>
      <c r="J566">
        <f>+J565-J564</f>
        <v>-76.119999999998981</v>
      </c>
      <c r="K566" t="s">
        <v>7079</v>
      </c>
    </row>
  </sheetData>
  <autoFilter ref="A7:I382">
    <filterColumn colId="5">
      <customFilters>
        <customFilter operator="notEqual" val=" "/>
      </customFilters>
    </filterColumn>
  </autoFilter>
  <sortState ref="A8:O294">
    <sortCondition ref="E8:E294"/>
  </sortState>
  <conditionalFormatting sqref="F388:G562">
    <cfRule type="duplicateValues" dxfId="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 </vt:lpstr>
      <vt:lpstr>MARZO 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cqqcompras</cp:lastModifiedBy>
  <dcterms:created xsi:type="dcterms:W3CDTF">2016-07-21T22:43:35Z</dcterms:created>
  <dcterms:modified xsi:type="dcterms:W3CDTF">2016-08-17T23:58:41Z</dcterms:modified>
</cp:coreProperties>
</file>