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0" windowWidth="20370" windowHeight="9375" activeTab="6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K243" i="1"/>
  <c r="J243"/>
  <c r="H8" i="7" l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7"/>
  <c r="I396" i="6"/>
  <c r="H396"/>
  <c r="I394"/>
  <c r="H394"/>
  <c r="K166"/>
  <c r="J166"/>
  <c r="K172"/>
  <c r="J172"/>
  <c r="K388"/>
  <c r="H388"/>
  <c r="H387"/>
  <c r="H386"/>
  <c r="H385"/>
  <c r="J388" s="1"/>
  <c r="K384"/>
  <c r="K381"/>
  <c r="K375"/>
  <c r="H372"/>
  <c r="H384"/>
  <c r="H383"/>
  <c r="H382"/>
  <c r="J384" s="1"/>
  <c r="H381"/>
  <c r="H380"/>
  <c r="H379"/>
  <c r="H378"/>
  <c r="H377"/>
  <c r="H376"/>
  <c r="H375"/>
  <c r="H374"/>
  <c r="H373"/>
  <c r="K371"/>
  <c r="H371"/>
  <c r="H370"/>
  <c r="K369"/>
  <c r="H369"/>
  <c r="H368"/>
  <c r="H367"/>
  <c r="K366"/>
  <c r="H363"/>
  <c r="H366"/>
  <c r="H365"/>
  <c r="H364"/>
  <c r="K362"/>
  <c r="H362"/>
  <c r="H361"/>
  <c r="H360"/>
  <c r="H359"/>
  <c r="K358"/>
  <c r="H358"/>
  <c r="H357"/>
  <c r="H356"/>
  <c r="H355"/>
  <c r="K354"/>
  <c r="H354"/>
  <c r="H353"/>
  <c r="H352"/>
  <c r="H351"/>
  <c r="K350"/>
  <c r="H350"/>
  <c r="H349"/>
  <c r="K348"/>
  <c r="H348"/>
  <c r="H347"/>
  <c r="H346"/>
  <c r="H345"/>
  <c r="K344"/>
  <c r="H344"/>
  <c r="H343"/>
  <c r="H342"/>
  <c r="H341"/>
  <c r="K340"/>
  <c r="H340"/>
  <c r="H339"/>
  <c r="H338"/>
  <c r="K337"/>
  <c r="H337"/>
  <c r="H336"/>
  <c r="H335"/>
  <c r="H334"/>
  <c r="H333"/>
  <c r="H332"/>
  <c r="H331"/>
  <c r="K330"/>
  <c r="H330"/>
  <c r="H329"/>
  <c r="H328"/>
  <c r="H327"/>
  <c r="H326"/>
  <c r="H325"/>
  <c r="H324"/>
  <c r="H323"/>
  <c r="K322"/>
  <c r="K317"/>
  <c r="H317"/>
  <c r="H316"/>
  <c r="H315"/>
  <c r="H314"/>
  <c r="H322"/>
  <c r="H321"/>
  <c r="H320"/>
  <c r="H319"/>
  <c r="H318"/>
  <c r="K313"/>
  <c r="H313"/>
  <c r="H312"/>
  <c r="H311"/>
  <c r="H310"/>
  <c r="K309"/>
  <c r="H309"/>
  <c r="H308"/>
  <c r="H307"/>
  <c r="H306"/>
  <c r="K305"/>
  <c r="H305"/>
  <c r="H304"/>
  <c r="H303"/>
  <c r="H302"/>
  <c r="K301"/>
  <c r="H301"/>
  <c r="H300"/>
  <c r="H299"/>
  <c r="H298"/>
  <c r="H297"/>
  <c r="K296"/>
  <c r="H296"/>
  <c r="H295"/>
  <c r="H294"/>
  <c r="H293"/>
  <c r="H292"/>
  <c r="K291"/>
  <c r="H291"/>
  <c r="H290"/>
  <c r="H289"/>
  <c r="H288"/>
  <c r="K287"/>
  <c r="H287"/>
  <c r="H286"/>
  <c r="H285"/>
  <c r="H284"/>
  <c r="H283"/>
  <c r="H282"/>
  <c r="K281"/>
  <c r="H281"/>
  <c r="H280"/>
  <c r="H279"/>
  <c r="H278"/>
  <c r="K277"/>
  <c r="H277"/>
  <c r="H276"/>
  <c r="K275"/>
  <c r="H275"/>
  <c r="H274"/>
  <c r="H273"/>
  <c r="K272"/>
  <c r="H272"/>
  <c r="H271"/>
  <c r="H270"/>
  <c r="H210"/>
  <c r="H211"/>
  <c r="H212"/>
  <c r="H213"/>
  <c r="H214"/>
  <c r="H215"/>
  <c r="H216"/>
  <c r="K158"/>
  <c r="H158"/>
  <c r="H157"/>
  <c r="H156"/>
  <c r="K68"/>
  <c r="H68"/>
  <c r="H67"/>
  <c r="H66"/>
  <c r="H65"/>
  <c r="H64"/>
  <c r="K63"/>
  <c r="H63"/>
  <c r="H62"/>
  <c r="K42"/>
  <c r="H42"/>
  <c r="H41"/>
  <c r="H40"/>
  <c r="K39"/>
  <c r="H39"/>
  <c r="H38"/>
  <c r="H37"/>
  <c r="H3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389"/>
  <c r="H390"/>
  <c r="H391"/>
  <c r="H392"/>
  <c r="H7"/>
  <c r="I424" i="5"/>
  <c r="H424"/>
  <c r="I422"/>
  <c r="H422"/>
  <c r="K147"/>
  <c r="J147"/>
  <c r="K151"/>
  <c r="J151"/>
  <c r="K415"/>
  <c r="H415"/>
  <c r="H414"/>
  <c r="J415" s="1"/>
  <c r="K413"/>
  <c r="K410"/>
  <c r="K406"/>
  <c r="H413"/>
  <c r="H412"/>
  <c r="H410"/>
  <c r="H409"/>
  <c r="H408"/>
  <c r="H406"/>
  <c r="H405"/>
  <c r="H411"/>
  <c r="H407"/>
  <c r="H404"/>
  <c r="K403"/>
  <c r="K396"/>
  <c r="K389"/>
  <c r="H403"/>
  <c r="H402"/>
  <c r="H401"/>
  <c r="H400"/>
  <c r="H399"/>
  <c r="H396"/>
  <c r="H395"/>
  <c r="H394"/>
  <c r="H393"/>
  <c r="H392"/>
  <c r="H391"/>
  <c r="H389"/>
  <c r="H388"/>
  <c r="H387"/>
  <c r="H386"/>
  <c r="H398"/>
  <c r="H390"/>
  <c r="H385"/>
  <c r="K384"/>
  <c r="K377"/>
  <c r="H384"/>
  <c r="H380"/>
  <c r="H377"/>
  <c r="H383"/>
  <c r="H382"/>
  <c r="H381"/>
  <c r="H379"/>
  <c r="H376"/>
  <c r="H375"/>
  <c r="H374"/>
  <c r="H373"/>
  <c r="K372"/>
  <c r="K367"/>
  <c r="H364"/>
  <c r="H372"/>
  <c r="H367"/>
  <c r="H371"/>
  <c r="H370"/>
  <c r="H369"/>
  <c r="H366"/>
  <c r="H365"/>
  <c r="K363"/>
  <c r="K357"/>
  <c r="H363"/>
  <c r="H362"/>
  <c r="H361"/>
  <c r="H360"/>
  <c r="H357"/>
  <c r="H356"/>
  <c r="H355"/>
  <c r="H359"/>
  <c r="H354"/>
  <c r="K353"/>
  <c r="K349"/>
  <c r="K346"/>
  <c r="H353"/>
  <c r="H346"/>
  <c r="H352"/>
  <c r="H351"/>
  <c r="H350"/>
  <c r="H349"/>
  <c r="H348"/>
  <c r="H347"/>
  <c r="H345"/>
  <c r="H344"/>
  <c r="H343"/>
  <c r="K342"/>
  <c r="K337"/>
  <c r="K333"/>
  <c r="H342"/>
  <c r="H341"/>
  <c r="H340"/>
  <c r="H339"/>
  <c r="H337"/>
  <c r="H336"/>
  <c r="H335"/>
  <c r="H333"/>
  <c r="H332"/>
  <c r="H338"/>
  <c r="H334"/>
  <c r="H331"/>
  <c r="K330"/>
  <c r="H330"/>
  <c r="K324"/>
  <c r="K315"/>
  <c r="H329"/>
  <c r="H328"/>
  <c r="H327"/>
  <c r="H326"/>
  <c r="H324"/>
  <c r="H323"/>
  <c r="H322"/>
  <c r="H321"/>
  <c r="H320"/>
  <c r="H319"/>
  <c r="H318"/>
  <c r="H317"/>
  <c r="H325"/>
  <c r="H315"/>
  <c r="H314"/>
  <c r="H313"/>
  <c r="H312"/>
  <c r="H316"/>
  <c r="H311"/>
  <c r="K310"/>
  <c r="K296"/>
  <c r="H310"/>
  <c r="H309"/>
  <c r="H296"/>
  <c r="H308"/>
  <c r="H307"/>
  <c r="H306"/>
  <c r="H305"/>
  <c r="H304"/>
  <c r="H303"/>
  <c r="H302"/>
  <c r="H301"/>
  <c r="H300"/>
  <c r="H299"/>
  <c r="H298"/>
  <c r="H297"/>
  <c r="H295"/>
  <c r="H294"/>
  <c r="H293"/>
  <c r="K21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358"/>
  <c r="H368"/>
  <c r="H378"/>
  <c r="H397"/>
  <c r="H416"/>
  <c r="H417"/>
  <c r="H418"/>
  <c r="H419"/>
  <c r="H420"/>
  <c r="H7"/>
  <c r="I412" i="4"/>
  <c r="H412"/>
  <c r="I411"/>
  <c r="H411"/>
  <c r="K398"/>
  <c r="K394"/>
  <c r="K386"/>
  <c r="K382"/>
  <c r="K374"/>
  <c r="H386"/>
  <c r="H394"/>
  <c r="H398"/>
  <c r="H397"/>
  <c r="H374"/>
  <c r="H396"/>
  <c r="H395"/>
  <c r="J398" s="1"/>
  <c r="H393"/>
  <c r="H392"/>
  <c r="H391"/>
  <c r="H390"/>
  <c r="H389"/>
  <c r="H388"/>
  <c r="H387"/>
  <c r="J394" s="1"/>
  <c r="H385"/>
  <c r="H384"/>
  <c r="H383"/>
  <c r="H380"/>
  <c r="H379"/>
  <c r="H378"/>
  <c r="H377"/>
  <c r="H376"/>
  <c r="H375"/>
  <c r="H373"/>
  <c r="H372"/>
  <c r="H371"/>
  <c r="K370"/>
  <c r="H366"/>
  <c r="K365"/>
  <c r="K358"/>
  <c r="H370"/>
  <c r="H369"/>
  <c r="H368"/>
  <c r="H367"/>
  <c r="H365"/>
  <c r="H364"/>
  <c r="H363"/>
  <c r="H362"/>
  <c r="H361"/>
  <c r="H358"/>
  <c r="H357"/>
  <c r="H356"/>
  <c r="H355"/>
  <c r="H360"/>
  <c r="H359"/>
  <c r="H354"/>
  <c r="H353"/>
  <c r="K352"/>
  <c r="K348"/>
  <c r="K343"/>
  <c r="H343"/>
  <c r="H348"/>
  <c r="H352"/>
  <c r="H351"/>
  <c r="H350"/>
  <c r="H349"/>
  <c r="H347"/>
  <c r="H346"/>
  <c r="H345"/>
  <c r="H344"/>
  <c r="H342"/>
  <c r="H341"/>
  <c r="H340"/>
  <c r="H339"/>
  <c r="H338"/>
  <c r="H337"/>
  <c r="K336"/>
  <c r="K329"/>
  <c r="K324"/>
  <c r="H336"/>
  <c r="H335"/>
  <c r="H334"/>
  <c r="H333"/>
  <c r="H332"/>
  <c r="H329"/>
  <c r="H328"/>
  <c r="H327"/>
  <c r="H326"/>
  <c r="H324"/>
  <c r="H323"/>
  <c r="H322"/>
  <c r="H331"/>
  <c r="H330"/>
  <c r="H325"/>
  <c r="H321"/>
  <c r="K320"/>
  <c r="H317"/>
  <c r="H318"/>
  <c r="H319"/>
  <c r="H320"/>
  <c r="K316"/>
  <c r="K311"/>
  <c r="H316"/>
  <c r="H315"/>
  <c r="H311"/>
  <c r="H314"/>
  <c r="H313"/>
  <c r="H312"/>
  <c r="H310"/>
  <c r="H309"/>
  <c r="H308"/>
  <c r="K307"/>
  <c r="K302"/>
  <c r="K299"/>
  <c r="H296"/>
  <c r="J299" s="1"/>
  <c r="H304"/>
  <c r="H303"/>
  <c r="H300"/>
  <c r="J302" s="1"/>
  <c r="K295"/>
  <c r="K291"/>
  <c r="K288"/>
  <c r="H288"/>
  <c r="H291"/>
  <c r="H295"/>
  <c r="H294"/>
  <c r="H293"/>
  <c r="H292"/>
  <c r="H287"/>
  <c r="H290"/>
  <c r="H286"/>
  <c r="H289"/>
  <c r="H285"/>
  <c r="K284"/>
  <c r="K278"/>
  <c r="K274"/>
  <c r="H284"/>
  <c r="H283"/>
  <c r="H282"/>
  <c r="H281"/>
  <c r="H280"/>
  <c r="H278"/>
  <c r="H277"/>
  <c r="H276"/>
  <c r="H274"/>
  <c r="H273"/>
  <c r="H279"/>
  <c r="H275"/>
  <c r="H272"/>
  <c r="K268"/>
  <c r="K271"/>
  <c r="H271"/>
  <c r="H268"/>
  <c r="H270"/>
  <c r="H269"/>
  <c r="H267"/>
  <c r="H266"/>
  <c r="H265"/>
  <c r="H264"/>
  <c r="H263"/>
  <c r="K262"/>
  <c r="H262"/>
  <c r="H261"/>
  <c r="H260"/>
  <c r="J381" i="6" l="1"/>
  <c r="J375"/>
  <c r="J371"/>
  <c r="J369"/>
  <c r="J362"/>
  <c r="J366"/>
  <c r="J354"/>
  <c r="J358"/>
  <c r="J350"/>
  <c r="J348"/>
  <c r="J344"/>
  <c r="J337"/>
  <c r="J340"/>
  <c r="J330"/>
  <c r="J317"/>
  <c r="J322"/>
  <c r="J313"/>
  <c r="J309"/>
  <c r="J305"/>
  <c r="J301"/>
  <c r="J296"/>
  <c r="J291"/>
  <c r="J287"/>
  <c r="J281"/>
  <c r="J277"/>
  <c r="J272"/>
  <c r="J275"/>
  <c r="J158"/>
  <c r="J68"/>
  <c r="J42"/>
  <c r="J63"/>
  <c r="J39"/>
  <c r="J413" i="5"/>
  <c r="J406"/>
  <c r="J410"/>
  <c r="J403"/>
  <c r="J396"/>
  <c r="J372"/>
  <c r="J377"/>
  <c r="J384"/>
  <c r="J389"/>
  <c r="J216"/>
  <c r="J367"/>
  <c r="J363"/>
  <c r="J353"/>
  <c r="J357"/>
  <c r="J349"/>
  <c r="J337"/>
  <c r="J346"/>
  <c r="J342"/>
  <c r="J330"/>
  <c r="J333"/>
  <c r="J324"/>
  <c r="J315"/>
  <c r="J310"/>
  <c r="J296"/>
  <c r="J386" i="4"/>
  <c r="J374"/>
  <c r="J382"/>
  <c r="J365"/>
  <c r="J370"/>
  <c r="J352"/>
  <c r="J358"/>
  <c r="J348"/>
  <c r="J336"/>
  <c r="J343"/>
  <c r="J329"/>
  <c r="J324"/>
  <c r="J320"/>
  <c r="J311"/>
  <c r="J316"/>
  <c r="J307"/>
  <c r="J288"/>
  <c r="J291"/>
  <c r="J295"/>
  <c r="J278"/>
  <c r="J274"/>
  <c r="J284"/>
  <c r="J268"/>
  <c r="J271"/>
  <c r="J262"/>
  <c r="K166"/>
  <c r="H228"/>
  <c r="H21"/>
  <c r="H233"/>
  <c r="H234"/>
  <c r="H11"/>
  <c r="H235"/>
  <c r="H236"/>
  <c r="H237"/>
  <c r="H238"/>
  <c r="H239"/>
  <c r="H240"/>
  <c r="H33"/>
  <c r="H133"/>
  <c r="H202"/>
  <c r="H241"/>
  <c r="H198"/>
  <c r="H157"/>
  <c r="H162"/>
  <c r="H20"/>
  <c r="H218"/>
  <c r="H164"/>
  <c r="H22"/>
  <c r="H400"/>
  <c r="H242"/>
  <c r="H243"/>
  <c r="H227"/>
  <c r="H117"/>
  <c r="H244"/>
  <c r="H245"/>
  <c r="H246"/>
  <c r="H247"/>
  <c r="H248"/>
  <c r="H197"/>
  <c r="H401"/>
  <c r="H54"/>
  <c r="H249"/>
  <c r="H161"/>
  <c r="H160"/>
  <c r="H19"/>
  <c r="H250"/>
  <c r="H129"/>
  <c r="H187"/>
  <c r="H12"/>
  <c r="H194"/>
  <c r="H101"/>
  <c r="H172"/>
  <c r="H251"/>
  <c r="H201"/>
  <c r="H10"/>
  <c r="H402"/>
  <c r="H196"/>
  <c r="H252"/>
  <c r="H253"/>
  <c r="H254"/>
  <c r="H232"/>
  <c r="H231"/>
  <c r="H34"/>
  <c r="H255"/>
  <c r="H229"/>
  <c r="H399"/>
  <c r="H156"/>
  <c r="H256"/>
  <c r="H132"/>
  <c r="H257"/>
  <c r="H125"/>
  <c r="H118"/>
  <c r="H120"/>
  <c r="H121"/>
  <c r="H259"/>
  <c r="H206"/>
  <c r="H109"/>
  <c r="H222"/>
  <c r="H107"/>
  <c r="H203"/>
  <c r="H171"/>
  <c r="H174"/>
  <c r="H23"/>
  <c r="H24"/>
  <c r="H111"/>
  <c r="H141"/>
  <c r="H110"/>
  <c r="H102"/>
  <c r="H406"/>
  <c r="H27"/>
  <c r="H212"/>
  <c r="H140"/>
  <c r="H123"/>
  <c r="H135"/>
  <c r="H103"/>
  <c r="H225"/>
  <c r="H112"/>
  <c r="H220"/>
  <c r="H25"/>
  <c r="H17"/>
  <c r="H128"/>
  <c r="H9"/>
  <c r="H116"/>
  <c r="H119"/>
  <c r="H139"/>
  <c r="H408"/>
  <c r="H136"/>
  <c r="H409"/>
  <c r="H193"/>
  <c r="H55"/>
  <c r="H122"/>
  <c r="H226"/>
  <c r="H32"/>
  <c r="H113"/>
  <c r="H175"/>
  <c r="H13"/>
  <c r="H26"/>
  <c r="H14"/>
  <c r="H217"/>
  <c r="H176"/>
  <c r="H177"/>
  <c r="H219"/>
  <c r="H15"/>
  <c r="H178"/>
  <c r="H195"/>
  <c r="H114"/>
  <c r="H179"/>
  <c r="H137"/>
  <c r="H221"/>
  <c r="H180"/>
  <c r="H16"/>
  <c r="H204"/>
  <c r="H127"/>
  <c r="H56"/>
  <c r="H57"/>
  <c r="H58"/>
  <c r="H59"/>
  <c r="H60"/>
  <c r="H61"/>
  <c r="H62"/>
  <c r="H63"/>
  <c r="H64"/>
  <c r="H65"/>
  <c r="H66"/>
  <c r="H158"/>
  <c r="H67"/>
  <c r="H258"/>
  <c r="H68"/>
  <c r="H41"/>
  <c r="H69"/>
  <c r="H70"/>
  <c r="H71"/>
  <c r="H72"/>
  <c r="H73"/>
  <c r="H407"/>
  <c r="H35"/>
  <c r="H152"/>
  <c r="H149"/>
  <c r="H209"/>
  <c r="H36"/>
  <c r="H188"/>
  <c r="H210"/>
  <c r="H166"/>
  <c r="J166" s="1"/>
  <c r="H31"/>
  <c r="H213"/>
  <c r="H214"/>
  <c r="H404"/>
  <c r="H108"/>
  <c r="H191"/>
  <c r="H138"/>
  <c r="H104"/>
  <c r="H185"/>
  <c r="H167"/>
  <c r="H142"/>
  <c r="H131"/>
  <c r="H144"/>
  <c r="H145"/>
  <c r="H7"/>
  <c r="H165"/>
  <c r="H183"/>
  <c r="H74"/>
  <c r="H75"/>
  <c r="H76"/>
  <c r="H126"/>
  <c r="H77"/>
  <c r="H78"/>
  <c r="H79"/>
  <c r="H80"/>
  <c r="H81"/>
  <c r="H82"/>
  <c r="H403"/>
  <c r="H83"/>
  <c r="H84"/>
  <c r="H146"/>
  <c r="H85"/>
  <c r="H46"/>
  <c r="H86"/>
  <c r="H87"/>
  <c r="H37"/>
  <c r="H151"/>
  <c r="H192"/>
  <c r="H211"/>
  <c r="H168"/>
  <c r="H105"/>
  <c r="H215"/>
  <c r="H189"/>
  <c r="H130"/>
  <c r="H405"/>
  <c r="H182"/>
  <c r="H173"/>
  <c r="H184"/>
  <c r="H143"/>
  <c r="H147"/>
  <c r="H106"/>
  <c r="H88"/>
  <c r="H89"/>
  <c r="H47"/>
  <c r="H90"/>
  <c r="H91"/>
  <c r="H159"/>
  <c r="H53"/>
  <c r="H45"/>
  <c r="H200"/>
  <c r="H181"/>
  <c r="H124"/>
  <c r="H50"/>
  <c r="H92"/>
  <c r="H29"/>
  <c r="H28"/>
  <c r="H153"/>
  <c r="H170"/>
  <c r="H150"/>
  <c r="H148"/>
  <c r="H163"/>
  <c r="H169"/>
  <c r="H190"/>
  <c r="H216"/>
  <c r="H8"/>
  <c r="H134"/>
  <c r="H93"/>
  <c r="H94"/>
  <c r="H48"/>
  <c r="H51"/>
  <c r="H42"/>
  <c r="H223"/>
  <c r="H224"/>
  <c r="H205"/>
  <c r="H186"/>
  <c r="H155"/>
  <c r="H95"/>
  <c r="H96"/>
  <c r="H43"/>
  <c r="H52"/>
  <c r="H18"/>
  <c r="H199"/>
  <c r="H97"/>
  <c r="H98"/>
  <c r="H99"/>
  <c r="H100"/>
  <c r="H154"/>
  <c r="H38"/>
  <c r="H49"/>
  <c r="H44"/>
  <c r="H39"/>
  <c r="H30"/>
  <c r="H40"/>
  <c r="H208"/>
  <c r="H207"/>
  <c r="H115"/>
  <c r="H230"/>
  <c r="I483" i="3"/>
  <c r="H483"/>
  <c r="I482"/>
  <c r="H482"/>
  <c r="K181"/>
  <c r="J181"/>
  <c r="K475"/>
  <c r="H475"/>
  <c r="K470"/>
  <c r="H470"/>
  <c r="H469"/>
  <c r="K468"/>
  <c r="H468"/>
  <c r="H467"/>
  <c r="K464"/>
  <c r="H464"/>
  <c r="H463"/>
  <c r="K459"/>
  <c r="H459"/>
  <c r="K454"/>
  <c r="H454"/>
  <c r="H474"/>
  <c r="H473"/>
  <c r="H472"/>
  <c r="H471"/>
  <c r="J475" s="1"/>
  <c r="H466"/>
  <c r="H465"/>
  <c r="H462"/>
  <c r="H461"/>
  <c r="H460"/>
  <c r="J464" s="1"/>
  <c r="H458"/>
  <c r="H457"/>
  <c r="H456"/>
  <c r="H455"/>
  <c r="J459" s="1"/>
  <c r="H453"/>
  <c r="H452"/>
  <c r="K451"/>
  <c r="H451"/>
  <c r="H450"/>
  <c r="H449"/>
  <c r="H448"/>
  <c r="H447"/>
  <c r="K446"/>
  <c r="K441"/>
  <c r="H441"/>
  <c r="K438"/>
  <c r="K434"/>
  <c r="H446"/>
  <c r="H438"/>
  <c r="H434"/>
  <c r="H433"/>
  <c r="H445"/>
  <c r="H444"/>
  <c r="H443"/>
  <c r="H442"/>
  <c r="H440"/>
  <c r="H439"/>
  <c r="H437"/>
  <c r="H436"/>
  <c r="H435"/>
  <c r="H432"/>
  <c r="H431"/>
  <c r="K430"/>
  <c r="H430"/>
  <c r="H429"/>
  <c r="H428"/>
  <c r="K427"/>
  <c r="H427"/>
  <c r="H426"/>
  <c r="H425"/>
  <c r="H424"/>
  <c r="K423"/>
  <c r="H423"/>
  <c r="H422"/>
  <c r="H421"/>
  <c r="H420"/>
  <c r="H419"/>
  <c r="K418"/>
  <c r="H417"/>
  <c r="H418"/>
  <c r="K416"/>
  <c r="H416"/>
  <c r="K414"/>
  <c r="H413"/>
  <c r="K412"/>
  <c r="H412"/>
  <c r="H414"/>
  <c r="H415"/>
  <c r="H411"/>
  <c r="H410"/>
  <c r="K409"/>
  <c r="K404"/>
  <c r="K399"/>
  <c r="H409"/>
  <c r="H408"/>
  <c r="H407"/>
  <c r="H406"/>
  <c r="H404"/>
  <c r="H403"/>
  <c r="H402"/>
  <c r="H401"/>
  <c r="H399"/>
  <c r="H398"/>
  <c r="H397"/>
  <c r="H405"/>
  <c r="H400"/>
  <c r="H396"/>
  <c r="H395"/>
  <c r="H394"/>
  <c r="H393"/>
  <c r="K392"/>
  <c r="K387"/>
  <c r="K382"/>
  <c r="K377"/>
  <c r="H392"/>
  <c r="H391"/>
  <c r="H382"/>
  <c r="H387"/>
  <c r="H377"/>
  <c r="H376"/>
  <c r="H390"/>
  <c r="H389"/>
  <c r="H388"/>
  <c r="H386"/>
  <c r="H385"/>
  <c r="H384"/>
  <c r="H383"/>
  <c r="H381"/>
  <c r="H380"/>
  <c r="H379"/>
  <c r="H378"/>
  <c r="H375"/>
  <c r="H374"/>
  <c r="H373"/>
  <c r="K372"/>
  <c r="K368"/>
  <c r="K364"/>
  <c r="K361"/>
  <c r="H372"/>
  <c r="H368"/>
  <c r="H361"/>
  <c r="H364"/>
  <c r="H363"/>
  <c r="H371"/>
  <c r="H367"/>
  <c r="H370"/>
  <c r="H366"/>
  <c r="H360"/>
  <c r="H359"/>
  <c r="H362"/>
  <c r="H369"/>
  <c r="H365"/>
  <c r="H358"/>
  <c r="K357"/>
  <c r="H357"/>
  <c r="H356"/>
  <c r="H355"/>
  <c r="H354"/>
  <c r="K353"/>
  <c r="H353"/>
  <c r="H352"/>
  <c r="K351"/>
  <c r="H351"/>
  <c r="H350"/>
  <c r="H349"/>
  <c r="H348"/>
  <c r="K347"/>
  <c r="H347"/>
  <c r="H346"/>
  <c r="H345"/>
  <c r="H344"/>
  <c r="K339"/>
  <c r="H339"/>
  <c r="H338"/>
  <c r="H337"/>
  <c r="H336"/>
  <c r="K335"/>
  <c r="H335"/>
  <c r="H334"/>
  <c r="K333"/>
  <c r="H333"/>
  <c r="H332"/>
  <c r="H331"/>
  <c r="H330"/>
  <c r="K329"/>
  <c r="H329"/>
  <c r="H328"/>
  <c r="H327"/>
  <c r="H326"/>
  <c r="H325"/>
  <c r="H324"/>
  <c r="H323"/>
  <c r="H322"/>
  <c r="H321"/>
  <c r="H320"/>
  <c r="K243"/>
  <c r="K209"/>
  <c r="H209"/>
  <c r="H208"/>
  <c r="H207"/>
  <c r="K174"/>
  <c r="K170"/>
  <c r="H170"/>
  <c r="H169"/>
  <c r="K132"/>
  <c r="K131"/>
  <c r="H131"/>
  <c r="H13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2"/>
  <c r="J132" s="1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71"/>
  <c r="H172"/>
  <c r="H173"/>
  <c r="H174"/>
  <c r="J174" s="1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J243" s="1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40"/>
  <c r="H341"/>
  <c r="H342"/>
  <c r="H343"/>
  <c r="H476"/>
  <c r="H477"/>
  <c r="H478"/>
  <c r="H479"/>
  <c r="H7"/>
  <c r="H383" i="2"/>
  <c r="K186"/>
  <c r="J186"/>
  <c r="K375"/>
  <c r="H375"/>
  <c r="H374"/>
  <c r="H373"/>
  <c r="H372"/>
  <c r="J375" s="1"/>
  <c r="K371"/>
  <c r="H371"/>
  <c r="H370"/>
  <c r="H369"/>
  <c r="H368"/>
  <c r="H367"/>
  <c r="K366"/>
  <c r="H366"/>
  <c r="H365"/>
  <c r="H364"/>
  <c r="H363"/>
  <c r="H362"/>
  <c r="K361"/>
  <c r="H361"/>
  <c r="H360"/>
  <c r="H359"/>
  <c r="H358"/>
  <c r="K357"/>
  <c r="H357"/>
  <c r="H356"/>
  <c r="H355"/>
  <c r="H354"/>
  <c r="H353"/>
  <c r="H352"/>
  <c r="H351"/>
  <c r="K350"/>
  <c r="H350"/>
  <c r="H349"/>
  <c r="H348"/>
  <c r="H347"/>
  <c r="H346"/>
  <c r="H345"/>
  <c r="H344"/>
  <c r="H343"/>
  <c r="H342"/>
  <c r="H341"/>
  <c r="H340"/>
  <c r="H339"/>
  <c r="H338"/>
  <c r="K337"/>
  <c r="H337"/>
  <c r="H336"/>
  <c r="H335"/>
  <c r="K334"/>
  <c r="H334"/>
  <c r="H333"/>
  <c r="H332"/>
  <c r="H331"/>
  <c r="K330"/>
  <c r="H330"/>
  <c r="H329"/>
  <c r="H328"/>
  <c r="H327"/>
  <c r="H326"/>
  <c r="K325"/>
  <c r="H325"/>
  <c r="H324"/>
  <c r="H323"/>
  <c r="H322"/>
  <c r="H321"/>
  <c r="H320"/>
  <c r="K319"/>
  <c r="H319"/>
  <c r="H318"/>
  <c r="H317"/>
  <c r="H316"/>
  <c r="H315"/>
  <c r="H314"/>
  <c r="K313"/>
  <c r="H313"/>
  <c r="H312"/>
  <c r="H311"/>
  <c r="H310"/>
  <c r="K309"/>
  <c r="H309"/>
  <c r="H308"/>
  <c r="H307"/>
  <c r="H306"/>
  <c r="K305"/>
  <c r="H305"/>
  <c r="H304"/>
  <c r="K303"/>
  <c r="H303"/>
  <c r="H302"/>
  <c r="H301"/>
  <c r="K300"/>
  <c r="H300"/>
  <c r="H299"/>
  <c r="K298"/>
  <c r="H298"/>
  <c r="H297"/>
  <c r="H296"/>
  <c r="H295"/>
  <c r="J470" i="3" l="1"/>
  <c r="J468"/>
  <c r="J454"/>
  <c r="J451"/>
  <c r="J446"/>
  <c r="J441"/>
  <c r="J427"/>
  <c r="J438"/>
  <c r="J434"/>
  <c r="J416"/>
  <c r="J430"/>
  <c r="J423"/>
  <c r="J418"/>
  <c r="J414"/>
  <c r="J412"/>
  <c r="J409"/>
  <c r="J399"/>
  <c r="J404"/>
  <c r="J387"/>
  <c r="J392"/>
  <c r="J377"/>
  <c r="J372"/>
  <c r="J382"/>
  <c r="J368"/>
  <c r="J357"/>
  <c r="J364"/>
  <c r="J361"/>
  <c r="J351"/>
  <c r="J353"/>
  <c r="J347"/>
  <c r="J335"/>
  <c r="J339"/>
  <c r="J170"/>
  <c r="J333"/>
  <c r="J329"/>
  <c r="J209"/>
  <c r="J131"/>
  <c r="J371" i="2"/>
  <c r="J366"/>
  <c r="J361"/>
  <c r="J357"/>
  <c r="J337"/>
  <c r="J350"/>
  <c r="J334"/>
  <c r="J330"/>
  <c r="J325"/>
  <c r="J319"/>
  <c r="J313"/>
  <c r="J309"/>
  <c r="J303"/>
  <c r="J305"/>
  <c r="J300"/>
  <c r="J298"/>
  <c r="I382"/>
  <c r="I383" s="1"/>
  <c r="K294"/>
  <c r="H294"/>
  <c r="H293"/>
  <c r="H292"/>
  <c r="H291"/>
  <c r="K195"/>
  <c r="K191"/>
  <c r="K183"/>
  <c r="H183"/>
  <c r="H182"/>
  <c r="K158"/>
  <c r="H157"/>
  <c r="H158"/>
  <c r="K162"/>
  <c r="H162"/>
  <c r="H161"/>
  <c r="H160"/>
  <c r="K83"/>
  <c r="K82"/>
  <c r="H82"/>
  <c r="H81"/>
  <c r="H80"/>
  <c r="H79"/>
  <c r="H78"/>
  <c r="K77"/>
  <c r="H77"/>
  <c r="H76"/>
  <c r="H75"/>
  <c r="H74"/>
  <c r="H73"/>
  <c r="H72"/>
  <c r="K70"/>
  <c r="H70"/>
  <c r="H69"/>
  <c r="H68"/>
  <c r="H67"/>
  <c r="H66"/>
  <c r="H65"/>
  <c r="K64"/>
  <c r="H64"/>
  <c r="H63"/>
  <c r="H62"/>
  <c r="K61"/>
  <c r="H61"/>
  <c r="H60"/>
  <c r="H59"/>
  <c r="H58"/>
  <c r="H57"/>
  <c r="K52"/>
  <c r="H193"/>
  <c r="H255"/>
  <c r="H256"/>
  <c r="H37"/>
  <c r="H257"/>
  <c r="H19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11"/>
  <c r="H194"/>
  <c r="H35"/>
  <c r="H275"/>
  <c r="H197"/>
  <c r="H198"/>
  <c r="H199"/>
  <c r="H253"/>
  <c r="H147"/>
  <c r="H276"/>
  <c r="H185"/>
  <c r="H136"/>
  <c r="H169"/>
  <c r="H33"/>
  <c r="H36"/>
  <c r="H39"/>
  <c r="H15"/>
  <c r="H16"/>
  <c r="H13"/>
  <c r="H137"/>
  <c r="H154"/>
  <c r="H249"/>
  <c r="H220"/>
  <c r="H211"/>
  <c r="H45"/>
  <c r="H171"/>
  <c r="H380"/>
  <c r="H29"/>
  <c r="H131"/>
  <c r="H132"/>
  <c r="H172"/>
  <c r="H14"/>
  <c r="H229"/>
  <c r="H210"/>
  <c r="H83"/>
  <c r="J83" s="1"/>
  <c r="H207"/>
  <c r="H236"/>
  <c r="H165"/>
  <c r="H164"/>
  <c r="H148"/>
  <c r="H250"/>
  <c r="H22"/>
  <c r="H71"/>
  <c r="H21"/>
  <c r="H155"/>
  <c r="H208"/>
  <c r="H24"/>
  <c r="H212"/>
  <c r="H12"/>
  <c r="H252"/>
  <c r="H31"/>
  <c r="H377"/>
  <c r="H20"/>
  <c r="H231"/>
  <c r="H277"/>
  <c r="H32"/>
  <c r="H278"/>
  <c r="H279"/>
  <c r="H280"/>
  <c r="H281"/>
  <c r="H135"/>
  <c r="H282"/>
  <c r="H283"/>
  <c r="H284"/>
  <c r="H376"/>
  <c r="H285"/>
  <c r="H286"/>
  <c r="H287"/>
  <c r="H288"/>
  <c r="H10"/>
  <c r="H40"/>
  <c r="H51"/>
  <c r="H46"/>
  <c r="H38"/>
  <c r="H289"/>
  <c r="H200"/>
  <c r="H30"/>
  <c r="H133"/>
  <c r="H237"/>
  <c r="H180"/>
  <c r="H173"/>
  <c r="H34"/>
  <c r="H192"/>
  <c r="H251"/>
  <c r="H216"/>
  <c r="H230"/>
  <c r="H149"/>
  <c r="H25"/>
  <c r="H226"/>
  <c r="H145"/>
  <c r="H233"/>
  <c r="H243"/>
  <c r="H17"/>
  <c r="H177"/>
  <c r="H23"/>
  <c r="H213"/>
  <c r="H18"/>
  <c r="H190"/>
  <c r="H88"/>
  <c r="H189"/>
  <c r="H156"/>
  <c r="H181"/>
  <c r="H89"/>
  <c r="H90"/>
  <c r="H232"/>
  <c r="H378"/>
  <c r="H219"/>
  <c r="H290"/>
  <c r="H91"/>
  <c r="H92"/>
  <c r="H42"/>
  <c r="H93"/>
  <c r="H196"/>
  <c r="H178"/>
  <c r="H138"/>
  <c r="H94"/>
  <c r="H95"/>
  <c r="H52"/>
  <c r="J52" s="1"/>
  <c r="H96"/>
  <c r="H97"/>
  <c r="H98"/>
  <c r="H99"/>
  <c r="H140"/>
  <c r="H248"/>
  <c r="H100"/>
  <c r="H101"/>
  <c r="H179"/>
  <c r="H43"/>
  <c r="H214"/>
  <c r="H41"/>
  <c r="H26"/>
  <c r="H217"/>
  <c r="H201"/>
  <c r="H227"/>
  <c r="H166"/>
  <c r="H141"/>
  <c r="H221"/>
  <c r="H222"/>
  <c r="H239"/>
  <c r="H150"/>
  <c r="H218"/>
  <c r="H167"/>
  <c r="H228"/>
  <c r="H240"/>
  <c r="H142"/>
  <c r="H244"/>
  <c r="H84"/>
  <c r="H85"/>
  <c r="H174"/>
  <c r="H151"/>
  <c r="H152"/>
  <c r="H134"/>
  <c r="H202"/>
  <c r="H223"/>
  <c r="H27"/>
  <c r="H7"/>
  <c r="H8"/>
  <c r="H102"/>
  <c r="H159"/>
  <c r="H103"/>
  <c r="H104"/>
  <c r="H105"/>
  <c r="H106"/>
  <c r="H107"/>
  <c r="H108"/>
  <c r="H109"/>
  <c r="H139"/>
  <c r="H235"/>
  <c r="H186"/>
  <c r="H203"/>
  <c r="H110"/>
  <c r="H111"/>
  <c r="H184"/>
  <c r="H112"/>
  <c r="H113"/>
  <c r="H114"/>
  <c r="H115"/>
  <c r="H205"/>
  <c r="H206"/>
  <c r="H116"/>
  <c r="H117"/>
  <c r="H118"/>
  <c r="H195"/>
  <c r="J195" s="1"/>
  <c r="H191"/>
  <c r="J191" s="1"/>
  <c r="H163"/>
  <c r="H119"/>
  <c r="H146"/>
  <c r="H48"/>
  <c r="H120"/>
  <c r="H121"/>
  <c r="H122"/>
  <c r="H143"/>
  <c r="H123"/>
  <c r="H124"/>
  <c r="H125"/>
  <c r="H126"/>
  <c r="H127"/>
  <c r="H128"/>
  <c r="H234"/>
  <c r="H86"/>
  <c r="H245"/>
  <c r="H204"/>
  <c r="H170"/>
  <c r="H209"/>
  <c r="H241"/>
  <c r="H224"/>
  <c r="H225"/>
  <c r="H144"/>
  <c r="H168"/>
  <c r="H247"/>
  <c r="H246"/>
  <c r="H153"/>
  <c r="H87"/>
  <c r="H175"/>
  <c r="H242"/>
  <c r="H379"/>
  <c r="H44"/>
  <c r="H176"/>
  <c r="H187"/>
  <c r="H188"/>
  <c r="H129"/>
  <c r="H130"/>
  <c r="H49"/>
  <c r="H55"/>
  <c r="H215"/>
  <c r="H28"/>
  <c r="H9"/>
  <c r="H53"/>
  <c r="H54"/>
  <c r="H50"/>
  <c r="H56"/>
  <c r="H47"/>
  <c r="H238"/>
  <c r="H254"/>
  <c r="H388" i="1"/>
  <c r="I386"/>
  <c r="I388" s="1"/>
  <c r="K175"/>
  <c r="J175"/>
  <c r="K180"/>
  <c r="J180"/>
  <c r="K383"/>
  <c r="H383"/>
  <c r="H382"/>
  <c r="H381"/>
  <c r="J383" s="1"/>
  <c r="K380"/>
  <c r="H380"/>
  <c r="H379"/>
  <c r="K377"/>
  <c r="H377"/>
  <c r="H376"/>
  <c r="J377" s="1"/>
  <c r="K375"/>
  <c r="H375"/>
  <c r="H374"/>
  <c r="K373"/>
  <c r="H371"/>
  <c r="H373"/>
  <c r="H372"/>
  <c r="K369"/>
  <c r="H369"/>
  <c r="H368"/>
  <c r="H367"/>
  <c r="H366"/>
  <c r="K365"/>
  <c r="H365"/>
  <c r="H364"/>
  <c r="H363"/>
  <c r="K362"/>
  <c r="H362"/>
  <c r="H361"/>
  <c r="H360"/>
  <c r="K359"/>
  <c r="H359"/>
  <c r="H358"/>
  <c r="H357"/>
  <c r="H356"/>
  <c r="H355"/>
  <c r="K354"/>
  <c r="H354"/>
  <c r="H353"/>
  <c r="H352"/>
  <c r="H351"/>
  <c r="H350"/>
  <c r="H349"/>
  <c r="K348"/>
  <c r="H348"/>
  <c r="H347"/>
  <c r="H346"/>
  <c r="K345"/>
  <c r="H345"/>
  <c r="H344"/>
  <c r="K342"/>
  <c r="H342"/>
  <c r="H341"/>
  <c r="H340"/>
  <c r="K339"/>
  <c r="H339"/>
  <c r="H338"/>
  <c r="H337"/>
  <c r="H336"/>
  <c r="K335"/>
  <c r="H335"/>
  <c r="H334"/>
  <c r="H333"/>
  <c r="K331"/>
  <c r="H331"/>
  <c r="H330"/>
  <c r="H329"/>
  <c r="H328"/>
  <c r="K327"/>
  <c r="H327"/>
  <c r="H326"/>
  <c r="K324"/>
  <c r="H324"/>
  <c r="H323"/>
  <c r="H322"/>
  <c r="K321"/>
  <c r="H321"/>
  <c r="H320"/>
  <c r="H319"/>
  <c r="H318"/>
  <c r="K317"/>
  <c r="H317"/>
  <c r="H316"/>
  <c r="H315"/>
  <c r="H314"/>
  <c r="K313"/>
  <c r="H313"/>
  <c r="H312"/>
  <c r="H311"/>
  <c r="H310"/>
  <c r="H309"/>
  <c r="K308"/>
  <c r="H308"/>
  <c r="H307"/>
  <c r="H306"/>
  <c r="H305"/>
  <c r="K304"/>
  <c r="H304"/>
  <c r="H303"/>
  <c r="H302"/>
  <c r="K301"/>
  <c r="H301"/>
  <c r="H300"/>
  <c r="H299"/>
  <c r="K298"/>
  <c r="H298"/>
  <c r="H297"/>
  <c r="K296"/>
  <c r="H296"/>
  <c r="H295"/>
  <c r="H294"/>
  <c r="K293"/>
  <c r="H293"/>
  <c r="H292"/>
  <c r="H161"/>
  <c r="H162"/>
  <c r="H163"/>
  <c r="H164"/>
  <c r="H165"/>
  <c r="H166"/>
  <c r="K153"/>
  <c r="K144"/>
  <c r="J144"/>
  <c r="K75"/>
  <c r="J75"/>
  <c r="K70"/>
  <c r="J70"/>
  <c r="J294" i="2" l="1"/>
  <c r="H382"/>
  <c r="J183"/>
  <c r="J162"/>
  <c r="J158"/>
  <c r="J70"/>
  <c r="J82"/>
  <c r="J77"/>
  <c r="J64"/>
  <c r="J61"/>
  <c r="J380" i="1"/>
  <c r="J375"/>
  <c r="J373"/>
  <c r="J362"/>
  <c r="J365"/>
  <c r="J369"/>
  <c r="J359"/>
  <c r="J345"/>
  <c r="J348"/>
  <c r="J354"/>
  <c r="J342"/>
  <c r="J339"/>
  <c r="J335"/>
  <c r="J331"/>
  <c r="J327"/>
  <c r="J324"/>
  <c r="J321"/>
  <c r="J317"/>
  <c r="J313"/>
  <c r="J308"/>
  <c r="J304"/>
  <c r="J301"/>
  <c r="J296"/>
  <c r="J298"/>
  <c r="J293"/>
  <c r="H178"/>
  <c r="H167"/>
  <c r="H169"/>
  <c r="H170"/>
  <c r="H253"/>
  <c r="H254"/>
  <c r="H255"/>
  <c r="H179"/>
  <c r="H256"/>
  <c r="H215"/>
  <c r="H47"/>
  <c r="H49"/>
  <c r="H107"/>
  <c r="H257"/>
  <c r="H258"/>
  <c r="H259"/>
  <c r="H260"/>
  <c r="H261"/>
  <c r="H262"/>
  <c r="H6"/>
  <c r="H386" s="1"/>
  <c r="H7"/>
  <c r="H263"/>
  <c r="H176"/>
  <c r="H264"/>
  <c r="H265"/>
  <c r="H266"/>
  <c r="H267"/>
  <c r="H268"/>
  <c r="H269"/>
  <c r="H270"/>
  <c r="H271"/>
  <c r="H272"/>
  <c r="H273"/>
  <c r="H274"/>
  <c r="H275"/>
  <c r="H276"/>
  <c r="H277"/>
  <c r="H278"/>
  <c r="H279"/>
  <c r="H41"/>
  <c r="H109"/>
  <c r="H280"/>
  <c r="H218"/>
  <c r="H281"/>
  <c r="H172"/>
  <c r="H214"/>
  <c r="H181"/>
  <c r="H182"/>
  <c r="H216"/>
  <c r="H282"/>
  <c r="H186"/>
  <c r="H187"/>
  <c r="H29"/>
  <c r="H14"/>
  <c r="H235"/>
  <c r="H236"/>
  <c r="H237"/>
  <c r="H15"/>
  <c r="H156"/>
  <c r="H119"/>
  <c r="H16"/>
  <c r="H17"/>
  <c r="H18"/>
  <c r="H19"/>
  <c r="H20"/>
  <c r="H21"/>
  <c r="H228"/>
  <c r="H22"/>
  <c r="H23"/>
  <c r="H252"/>
  <c r="H283"/>
  <c r="H224"/>
  <c r="H250"/>
  <c r="H45"/>
  <c r="H111"/>
  <c r="H284"/>
  <c r="H44"/>
  <c r="H112"/>
  <c r="H108"/>
  <c r="H285"/>
  <c r="H110"/>
  <c r="H286"/>
  <c r="H251"/>
  <c r="H8"/>
  <c r="H213"/>
  <c r="H171"/>
  <c r="H219"/>
  <c r="H42"/>
  <c r="H46"/>
  <c r="H30"/>
  <c r="H168"/>
  <c r="H287"/>
  <c r="H31"/>
  <c r="H217"/>
  <c r="H43"/>
  <c r="H288"/>
  <c r="H50"/>
  <c r="H48"/>
  <c r="H173"/>
  <c r="H174"/>
  <c r="H225"/>
  <c r="H40"/>
  <c r="H384"/>
  <c r="H211"/>
  <c r="H195"/>
  <c r="H385"/>
  <c r="H32"/>
  <c r="H248"/>
  <c r="H102"/>
  <c r="H134"/>
  <c r="H9"/>
  <c r="H114"/>
  <c r="H160"/>
  <c r="H229"/>
  <c r="H129"/>
  <c r="H26"/>
  <c r="H183"/>
  <c r="H184"/>
  <c r="H185"/>
  <c r="H190"/>
  <c r="H191"/>
  <c r="H24"/>
  <c r="H157"/>
  <c r="H25"/>
  <c r="H234"/>
  <c r="H325"/>
  <c r="H290"/>
  <c r="H238"/>
  <c r="H106"/>
  <c r="H147"/>
  <c r="H103"/>
  <c r="H203"/>
  <c r="H189"/>
  <c r="H104"/>
  <c r="H135"/>
  <c r="H33"/>
  <c r="H132"/>
  <c r="H118"/>
  <c r="H193"/>
  <c r="H149"/>
  <c r="H212"/>
  <c r="H204"/>
  <c r="H249"/>
  <c r="H76"/>
  <c r="H227"/>
  <c r="H150"/>
  <c r="H39"/>
  <c r="H133"/>
  <c r="H196"/>
  <c r="H105"/>
  <c r="H122"/>
  <c r="H137"/>
  <c r="H54"/>
  <c r="H148"/>
  <c r="H57"/>
  <c r="H210"/>
  <c r="H27"/>
  <c r="H343"/>
  <c r="H370"/>
  <c r="H291"/>
  <c r="H332"/>
  <c r="H10"/>
  <c r="H36"/>
  <c r="H35"/>
  <c r="H136"/>
  <c r="H155"/>
  <c r="H244"/>
  <c r="H245"/>
  <c r="H79"/>
  <c r="H51"/>
  <c r="H80"/>
  <c r="H81"/>
  <c r="H82"/>
  <c r="H220"/>
  <c r="H28"/>
  <c r="H138"/>
  <c r="H115"/>
  <c r="H37"/>
  <c r="H120"/>
  <c r="H83"/>
  <c r="H289"/>
  <c r="H221"/>
  <c r="H11"/>
  <c r="H113"/>
  <c r="H121"/>
  <c r="H52"/>
  <c r="H84"/>
  <c r="H85"/>
  <c r="H86"/>
  <c r="H128"/>
  <c r="H87"/>
  <c r="H208"/>
  <c r="H146"/>
  <c r="H242"/>
  <c r="H230"/>
  <c r="H88"/>
  <c r="H89"/>
  <c r="H151"/>
  <c r="H205"/>
  <c r="H197"/>
  <c r="H239"/>
  <c r="H130"/>
  <c r="H207"/>
  <c r="H378"/>
  <c r="H116"/>
  <c r="H226"/>
  <c r="H117"/>
  <c r="H192"/>
  <c r="H78"/>
  <c r="H232"/>
  <c r="H53"/>
  <c r="H152"/>
  <c r="H90"/>
  <c r="H58"/>
  <c r="H139"/>
  <c r="H140"/>
  <c r="H141"/>
  <c r="H91"/>
  <c r="H92"/>
  <c r="H93"/>
  <c r="H94"/>
  <c r="H222"/>
  <c r="H60"/>
  <c r="H34"/>
  <c r="H95"/>
  <c r="H188"/>
  <c r="H202"/>
  <c r="H201"/>
  <c r="H77"/>
  <c r="H12"/>
  <c r="H96"/>
  <c r="H158"/>
  <c r="H241"/>
  <c r="H198"/>
  <c r="H97"/>
  <c r="H55"/>
  <c r="H154"/>
  <c r="H199"/>
  <c r="H38"/>
  <c r="H243"/>
  <c r="H131"/>
  <c r="H206"/>
  <c r="H59"/>
  <c r="H233"/>
  <c r="H194"/>
  <c r="H200"/>
  <c r="H240"/>
  <c r="H145"/>
  <c r="H153"/>
  <c r="J153" s="1"/>
  <c r="H209"/>
  <c r="H98"/>
  <c r="H99"/>
  <c r="H159"/>
  <c r="H100"/>
  <c r="H246"/>
  <c r="H247"/>
  <c r="H13"/>
  <c r="H180"/>
  <c r="H175"/>
  <c r="H101"/>
  <c r="H223"/>
  <c r="H63"/>
  <c r="H64"/>
  <c r="H65"/>
  <c r="H66"/>
  <c r="H62"/>
  <c r="H61"/>
  <c r="H56"/>
  <c r="H231"/>
  <c r="H123"/>
  <c r="H124"/>
  <c r="H125"/>
  <c r="H126"/>
  <c r="H127"/>
  <c r="H177"/>
</calcChain>
</file>

<file path=xl/sharedStrings.xml><?xml version="1.0" encoding="utf-8"?>
<sst xmlns="http://schemas.openxmlformats.org/spreadsheetml/2006/main" count="12701" uniqueCount="4540">
  <si>
    <t>D    103</t>
  </si>
  <si>
    <t>F-1306328</t>
  </si>
  <si>
    <t>LJIMENEZ:MENSUALIDAD COROLLA ENERO</t>
  </si>
  <si>
    <t>D    104</t>
  </si>
  <si>
    <t>F-1299354</t>
  </si>
  <si>
    <t>LJIMENEZ:MENSUALIDAD HILUX ENERO 20</t>
  </si>
  <si>
    <t>D    148</t>
  </si>
  <si>
    <t>0232-TCN14</t>
  </si>
  <si>
    <t>D    189</t>
  </si>
  <si>
    <t>0236-TCN14</t>
  </si>
  <si>
    <t>D    191</t>
  </si>
  <si>
    <t>0235-TCN14</t>
  </si>
  <si>
    <t>D    224</t>
  </si>
  <si>
    <t>0237-TCN14</t>
  </si>
  <si>
    <t>D    227</t>
  </si>
  <si>
    <t>0238-TCN14</t>
  </si>
  <si>
    <t>D    235</t>
  </si>
  <si>
    <t>0916-TCN13</t>
  </si>
  <si>
    <t>D    331</t>
  </si>
  <si>
    <t>F-1308541</t>
  </si>
  <si>
    <t>LJIMENEZ:MENSUALIDAD SIENNNA ENERO</t>
  </si>
  <si>
    <t>D    474</t>
  </si>
  <si>
    <t>0239-TCN14</t>
  </si>
  <si>
    <t>D    565</t>
  </si>
  <si>
    <t>0260-TCN14</t>
  </si>
  <si>
    <t>D    576</t>
  </si>
  <si>
    <t>C.VIATICOS</t>
  </si>
  <si>
    <t>COMP.VIATICOS ERIKA CAZARES</t>
  </si>
  <si>
    <t>D    654</t>
  </si>
  <si>
    <t>0981-TCN13</t>
  </si>
  <si>
    <t>D    657</t>
  </si>
  <si>
    <t>0261-TCN14</t>
  </si>
  <si>
    <t>D    682</t>
  </si>
  <si>
    <t>0262-TCN14</t>
  </si>
  <si>
    <t>D    687</t>
  </si>
  <si>
    <t>0240-TCN14</t>
  </si>
  <si>
    <t>D    688</t>
  </si>
  <si>
    <t>0241-TCN14</t>
  </si>
  <si>
    <t>D    689</t>
  </si>
  <si>
    <t>0242-TCN14</t>
  </si>
  <si>
    <t>D    690</t>
  </si>
  <si>
    <t>0243-TCN14</t>
  </si>
  <si>
    <t>D    691</t>
  </si>
  <si>
    <t>0244-TCN14</t>
  </si>
  <si>
    <t>D    692</t>
  </si>
  <si>
    <t>0245-TCN14</t>
  </si>
  <si>
    <t>D    702</t>
  </si>
  <si>
    <t>COMP.VIATICOS RASALBA SANCHEZ</t>
  </si>
  <si>
    <t>D    713</t>
  </si>
  <si>
    <t>0263-TCN14</t>
  </si>
  <si>
    <t>D    718</t>
  </si>
  <si>
    <t>0264-TCN14</t>
  </si>
  <si>
    <t>D    720</t>
  </si>
  <si>
    <t>0265-TCN14</t>
  </si>
  <si>
    <t>D    748</t>
  </si>
  <si>
    <t>CAMRYENERO</t>
  </si>
  <si>
    <t>LJIMENEZ:MENSUALIDAD CAMRY ENERO 24</t>
  </si>
  <si>
    <t>D    754</t>
  </si>
  <si>
    <t>0246-TCN14</t>
  </si>
  <si>
    <t>D    757</t>
  </si>
  <si>
    <t>0247-TCN14</t>
  </si>
  <si>
    <t>D    758</t>
  </si>
  <si>
    <t>0248-TCN14</t>
  </si>
  <si>
    <t>D    759</t>
  </si>
  <si>
    <t>0249-TCN14</t>
  </si>
  <si>
    <t>D    760</t>
  </si>
  <si>
    <t>0250-TCN14</t>
  </si>
  <si>
    <t>D    761</t>
  </si>
  <si>
    <t>0251-TCN14</t>
  </si>
  <si>
    <t>D    762</t>
  </si>
  <si>
    <t>0252-TCN14</t>
  </si>
  <si>
    <t>D    764</t>
  </si>
  <si>
    <t>0253-TCN14</t>
  </si>
  <si>
    <t>D    765</t>
  </si>
  <si>
    <t>0254-TCN14</t>
  </si>
  <si>
    <t>D    766</t>
  </si>
  <si>
    <t>0255-TCN14</t>
  </si>
  <si>
    <t>D    768</t>
  </si>
  <si>
    <t>0257-TCN14</t>
  </si>
  <si>
    <t>D    772</t>
  </si>
  <si>
    <t>0258-TCN14</t>
  </si>
  <si>
    <t>D    777</t>
  </si>
  <si>
    <t>0259-TCN14</t>
  </si>
  <si>
    <t>D    862</t>
  </si>
  <si>
    <t>0266-TCN14</t>
  </si>
  <si>
    <t>D    863</t>
  </si>
  <si>
    <t>0267-TCN14</t>
  </si>
  <si>
    <t>D    865</t>
  </si>
  <si>
    <t>0268-TCN14</t>
  </si>
  <si>
    <t>D    984</t>
  </si>
  <si>
    <t>0269-TCN14</t>
  </si>
  <si>
    <t>D    995</t>
  </si>
  <si>
    <t>0270-TCN14</t>
  </si>
  <si>
    <t>D  1,001</t>
  </si>
  <si>
    <t>0271-TCN14</t>
  </si>
  <si>
    <t>D  1,011</t>
  </si>
  <si>
    <t>0272-TCN14</t>
  </si>
  <si>
    <t>D  1,095</t>
  </si>
  <si>
    <t>0273-TCN14</t>
  </si>
  <si>
    <t>D  1,105</t>
  </si>
  <si>
    <t>FM3021</t>
  </si>
  <si>
    <t>LJIMENEZ:COMPRA CAMRY 2012</t>
  </si>
  <si>
    <t>D  1,106</t>
  </si>
  <si>
    <t>0275-TCN14</t>
  </si>
  <si>
    <t>D  1,131</t>
  </si>
  <si>
    <t>D000010863</t>
  </si>
  <si>
    <t>LJIMENEZ:OPERADORA ALAMEDA PARK, S.</t>
  </si>
  <si>
    <t>D  1,135</t>
  </si>
  <si>
    <t>AO00000384</t>
  </si>
  <si>
    <t>LJIMENEZ:QUERETARO MOTORS, SA</t>
  </si>
  <si>
    <t>D  1,154</t>
  </si>
  <si>
    <t>0276-TCN14</t>
  </si>
  <si>
    <t>D  1,159</t>
  </si>
  <si>
    <t>0277-TCN14</t>
  </si>
  <si>
    <t>D  1,210</t>
  </si>
  <si>
    <t>R001138</t>
  </si>
  <si>
    <t>LUBRICANTES DEL BAJIO SA DE CV</t>
  </si>
  <si>
    <t>D  1,211</t>
  </si>
  <si>
    <t>R001116</t>
  </si>
  <si>
    <t>D  1,212</t>
  </si>
  <si>
    <t>0278-TCN14</t>
  </si>
  <si>
    <t>D  1,213</t>
  </si>
  <si>
    <t>R001115</t>
  </si>
  <si>
    <t>ARMANDO DURAN MEJIA</t>
  </si>
  <si>
    <t>D  1,214</t>
  </si>
  <si>
    <t>R001124</t>
  </si>
  <si>
    <t>ROSENDO ROMERO ALCANTAR</t>
  </si>
  <si>
    <t>D  1,216</t>
  </si>
  <si>
    <t>R001125</t>
  </si>
  <si>
    <t>D  1,219</t>
  </si>
  <si>
    <t>R001126</t>
  </si>
  <si>
    <t>D  1,221</t>
  </si>
  <si>
    <t>S000781</t>
  </si>
  <si>
    <t>D  1,222</t>
  </si>
  <si>
    <t>S000787</t>
  </si>
  <si>
    <t>J.GUADALUPE CAMACHO RAMIREZ</t>
  </si>
  <si>
    <t>D  1,226</t>
  </si>
  <si>
    <t>S000800</t>
  </si>
  <si>
    <t>DOLORES GRACIELA ORTEGA PALACI</t>
  </si>
  <si>
    <t>D  1,228</t>
  </si>
  <si>
    <t>S000785</t>
  </si>
  <si>
    <t>D  1,229</t>
  </si>
  <si>
    <t>S000786</t>
  </si>
  <si>
    <t>D  1,230</t>
  </si>
  <si>
    <t>S000780</t>
  </si>
  <si>
    <t>D  1,232</t>
  </si>
  <si>
    <t>S000777</t>
  </si>
  <si>
    <t>D  1,234</t>
  </si>
  <si>
    <t>S000770</t>
  </si>
  <si>
    <t>D  1,235</t>
  </si>
  <si>
    <t>S000771</t>
  </si>
  <si>
    <t>D  1,236</t>
  </si>
  <si>
    <t>S000775</t>
  </si>
  <si>
    <t>RAFAEL RAMIREZ ARRIAGA</t>
  </si>
  <si>
    <t>D  1,237</t>
  </si>
  <si>
    <t>S000791</t>
  </si>
  <si>
    <t>D  1,238</t>
  </si>
  <si>
    <t>S000799</t>
  </si>
  <si>
    <t>D  1,250</t>
  </si>
  <si>
    <t>0982-TCN13</t>
  </si>
  <si>
    <t>D  1,251</t>
  </si>
  <si>
    <t>0279-TCN14</t>
  </si>
  <si>
    <t>D  1,324</t>
  </si>
  <si>
    <t>0280-TCN14</t>
  </si>
  <si>
    <t>D  1,339</t>
  </si>
  <si>
    <t>0281-TCN14</t>
  </si>
  <si>
    <t>D  1,365</t>
  </si>
  <si>
    <t>P006167</t>
  </si>
  <si>
    <t>TRASLADO INV.0218-TCN14</t>
  </si>
  <si>
    <t>D  1,369</t>
  </si>
  <si>
    <t>P006169</t>
  </si>
  <si>
    <t>TRASLADO INV.0981-TCN13</t>
  </si>
  <si>
    <t>D  1,373</t>
  </si>
  <si>
    <t>P006171</t>
  </si>
  <si>
    <t>TRASLADO INV.0260-TCN14</t>
  </si>
  <si>
    <t>D  1,374</t>
  </si>
  <si>
    <t>P006173</t>
  </si>
  <si>
    <t>TRASLADO INV.0264-TCN14</t>
  </si>
  <si>
    <t>D  1,378</t>
  </si>
  <si>
    <t>P006174</t>
  </si>
  <si>
    <t>TRASLADO INV.0232-TCN14</t>
  </si>
  <si>
    <t>D  1,381</t>
  </si>
  <si>
    <t>P006176</t>
  </si>
  <si>
    <t>TRASLADO INV.0225-TCN14</t>
  </si>
  <si>
    <t>D  1,383</t>
  </si>
  <si>
    <t>P006178</t>
  </si>
  <si>
    <t>TRASLADO INV.0227-TCN14</t>
  </si>
  <si>
    <t>D  1,386</t>
  </si>
  <si>
    <t>P006180</t>
  </si>
  <si>
    <t>TRASLADO INV.0975-TCN13</t>
  </si>
  <si>
    <t>D  1,388</t>
  </si>
  <si>
    <t>P006182</t>
  </si>
  <si>
    <t>TRASLADO INV.0976-TCN13</t>
  </si>
  <si>
    <t>D  1,392</t>
  </si>
  <si>
    <t>P006186</t>
  </si>
  <si>
    <t>TRASLADO INV.0235-TCN14</t>
  </si>
  <si>
    <t>D  1,395</t>
  </si>
  <si>
    <t>P006188</t>
  </si>
  <si>
    <t>TRASLADO INV.0216-TCN14</t>
  </si>
  <si>
    <t>D  1,397</t>
  </si>
  <si>
    <t>0282-TCN14</t>
  </si>
  <si>
    <t>D  1,414</t>
  </si>
  <si>
    <t>0283-TCN14</t>
  </si>
  <si>
    <t>D  1,452</t>
  </si>
  <si>
    <t>0256-TCN14</t>
  </si>
  <si>
    <t>D  1,466</t>
  </si>
  <si>
    <t>0284-TCN14</t>
  </si>
  <si>
    <t>D  1,496</t>
  </si>
  <si>
    <t>0285-TCN14</t>
  </si>
  <si>
    <t>D  1,499</t>
  </si>
  <si>
    <t>D  1,548</t>
  </si>
  <si>
    <t>0286-TCN14</t>
  </si>
  <si>
    <t>D  1,551</t>
  </si>
  <si>
    <t>0287-TCN14</t>
  </si>
  <si>
    <t>D  1,555</t>
  </si>
  <si>
    <t>0288-TCN14</t>
  </si>
  <si>
    <t>D  1,556</t>
  </si>
  <si>
    <t>0289-TCN14</t>
  </si>
  <si>
    <t>D  1,632</t>
  </si>
  <si>
    <t>0290-TCN14</t>
  </si>
  <si>
    <t>D  1,633</t>
  </si>
  <si>
    <t>0291-TCN14</t>
  </si>
  <si>
    <t>D  1,647</t>
  </si>
  <si>
    <t>LJIMENEZ:C.VIATICOS HERNAN ANDRES S</t>
  </si>
  <si>
    <t>D  1,701</t>
  </si>
  <si>
    <t>0292-TCN14</t>
  </si>
  <si>
    <t>D  1,730</t>
  </si>
  <si>
    <t>0293-TCN14</t>
  </si>
  <si>
    <t>D  1,765</t>
  </si>
  <si>
    <t>0294-TCN14</t>
  </si>
  <si>
    <t>D  1,810</t>
  </si>
  <si>
    <t>0295-TCN14</t>
  </si>
  <si>
    <t>D  1,824</t>
  </si>
  <si>
    <t>0296-TCN14</t>
  </si>
  <si>
    <t>D  1,830</t>
  </si>
  <si>
    <t>0297-TCN14</t>
  </si>
  <si>
    <t>D  1,846</t>
  </si>
  <si>
    <t>0299-TCN14</t>
  </si>
  <si>
    <t>D  1,848</t>
  </si>
  <si>
    <t>0298-TCN14</t>
  </si>
  <si>
    <t>D  1,850</t>
  </si>
  <si>
    <t>0300-TCN14</t>
  </si>
  <si>
    <t>D  1,898</t>
  </si>
  <si>
    <t>0301-TCN14</t>
  </si>
  <si>
    <t>D  1,903</t>
  </si>
  <si>
    <t>D  1,907</t>
  </si>
  <si>
    <t>D  1,917</t>
  </si>
  <si>
    <t>AM00041</t>
  </si>
  <si>
    <t>LJIMENEZ:GASTOS ADMINISTRATIVOS ENE</t>
  </si>
  <si>
    <t>D  1,921</t>
  </si>
  <si>
    <t>AM00042</t>
  </si>
  <si>
    <t>D  1,931</t>
  </si>
  <si>
    <t>0302-TCN14</t>
  </si>
  <si>
    <t>D  2,046</t>
  </si>
  <si>
    <t>CASETAS GERENCIA</t>
  </si>
  <si>
    <t>D  2,047</t>
  </si>
  <si>
    <t>VIATICOS GERENCIA A MEX</t>
  </si>
  <si>
    <t>D  2,048</t>
  </si>
  <si>
    <t>OPERADORA VIPS S DE RL DE CV</t>
  </si>
  <si>
    <t>D  2,050</t>
  </si>
  <si>
    <t>MARIA ROSARIO MARTINEZ MENDOZA</t>
  </si>
  <si>
    <t>D  2,051</t>
  </si>
  <si>
    <t>VIATICOS GERENCIA A MEXICO</t>
  </si>
  <si>
    <t>D  2,052</t>
  </si>
  <si>
    <t>AUTOZONE DE MEXICO S DE RL DE</t>
  </si>
  <si>
    <t>D  2,055</t>
  </si>
  <si>
    <t>TIENDAS SORIANA SA DE CV</t>
  </si>
  <si>
    <t>D  2,056</t>
  </si>
  <si>
    <t>COSTCO DE MEXICO SA DE CV</t>
  </si>
  <si>
    <t>D  2,058</t>
  </si>
  <si>
    <t>FERRETERIA MODELO DEL BAJIO SA</t>
  </si>
  <si>
    <t>D  2,059</t>
  </si>
  <si>
    <t>ALEJANDRO LOPEZ NEGRETE</t>
  </si>
  <si>
    <t>D  2,063</t>
  </si>
  <si>
    <t>DEA GARCIA FUMIGACION</t>
  </si>
  <si>
    <t>D  2,066</t>
  </si>
  <si>
    <t>KARINA DE LA CRUZ ORTIZ</t>
  </si>
  <si>
    <t>D  2,068</t>
  </si>
  <si>
    <t>RECYS BAJIO SA DE CV</t>
  </si>
  <si>
    <t>D  2,070</t>
  </si>
  <si>
    <t>EXTRA REFRESCOS DIRECCION GRAL</t>
  </si>
  <si>
    <t>D  2,071</t>
  </si>
  <si>
    <t>ARTURO JAVIER RICO HERNANDEZ</t>
  </si>
  <si>
    <t>D  2,073</t>
  </si>
  <si>
    <t>AM-0001029</t>
  </si>
  <si>
    <t>D  2,074</t>
  </si>
  <si>
    <t>AM-0001034</t>
  </si>
  <si>
    <t>D  2,075</t>
  </si>
  <si>
    <t>AM-0001044</t>
  </si>
  <si>
    <t>D  2,079</t>
  </si>
  <si>
    <t>S000802</t>
  </si>
  <si>
    <t>MA.DEL RAYO FIGUEROA CORNEJO</t>
  </si>
  <si>
    <t>D  2,080</t>
  </si>
  <si>
    <t>S000803</t>
  </si>
  <si>
    <t>D  2,081</t>
  </si>
  <si>
    <t>S000798</t>
  </si>
  <si>
    <t>D  2,082</t>
  </si>
  <si>
    <t>S000805</t>
  </si>
  <si>
    <t>D  2,083</t>
  </si>
  <si>
    <t>S000807</t>
  </si>
  <si>
    <t>D  2,084</t>
  </si>
  <si>
    <t>R001165</t>
  </si>
  <si>
    <t>ROMERO ALCANTAR ROSENDO</t>
  </si>
  <si>
    <t>D  2,085</t>
  </si>
  <si>
    <t>P006193</t>
  </si>
  <si>
    <t>TRASLADO INV.0263-TCN14</t>
  </si>
  <si>
    <t>D  2,087</t>
  </si>
  <si>
    <t>P006194</t>
  </si>
  <si>
    <t>TRASLADO INV.0272-TCN14</t>
  </si>
  <si>
    <t>D  2,089</t>
  </si>
  <si>
    <t>P006196</t>
  </si>
  <si>
    <t>TRASLADO INV.0978-TCN13</t>
  </si>
  <si>
    <t>D  2,091</t>
  </si>
  <si>
    <t>P006198</t>
  </si>
  <si>
    <t>TRASLADO INV.0970-TCN13</t>
  </si>
  <si>
    <t>D  2,093</t>
  </si>
  <si>
    <t>P006200</t>
  </si>
  <si>
    <t>TRASLADO.INV.0973-TCN13</t>
  </si>
  <si>
    <t>D  2,095</t>
  </si>
  <si>
    <t>P006202</t>
  </si>
  <si>
    <t>TRASLADO INV.0275-TCN14</t>
  </si>
  <si>
    <t>D  2,096</t>
  </si>
  <si>
    <t>TRASLADO INV.0048-TCN14</t>
  </si>
  <si>
    <t>D  2,098</t>
  </si>
  <si>
    <t>TRASLADO INV.0226-TCN14</t>
  </si>
  <si>
    <t>D  2,100</t>
  </si>
  <si>
    <t>TRASLADO INV.0173-TCN13</t>
  </si>
  <si>
    <t>D  2,101</t>
  </si>
  <si>
    <t>P006209</t>
  </si>
  <si>
    <t>SERV.DESCARGA AGUA</t>
  </si>
  <si>
    <t>D  2,102</t>
  </si>
  <si>
    <t>CREDENCIALES</t>
  </si>
  <si>
    <t>D  2,103</t>
  </si>
  <si>
    <t>HERRAMIENTAS 7-24 SA DE CV</t>
  </si>
  <si>
    <t>D  2,104</t>
  </si>
  <si>
    <t>D  2,105</t>
  </si>
  <si>
    <t>NUEVA WALMART DE MEXICO S DE R</t>
  </si>
  <si>
    <t>D  2,106</t>
  </si>
  <si>
    <t>LUIS ARMANDO MENDEZ REYNA</t>
  </si>
  <si>
    <t>D  2,107</t>
  </si>
  <si>
    <t>D  2,108</t>
  </si>
  <si>
    <t>D  2,109</t>
  </si>
  <si>
    <t>D  2,110</t>
  </si>
  <si>
    <t>FERRETERIA LA FRAGUA SA DE CV</t>
  </si>
  <si>
    <t>D  2,111</t>
  </si>
  <si>
    <t>DISTRIBUIDORA DE TORNILLOS Y B</t>
  </si>
  <si>
    <t>D  2,119</t>
  </si>
  <si>
    <t>MARCAS NESTLE SA DE CV</t>
  </si>
  <si>
    <t>D  2,120</t>
  </si>
  <si>
    <t>IMPRESIONES LASSER BEAM S DE R</t>
  </si>
  <si>
    <t>D  2,122</t>
  </si>
  <si>
    <t>OSCAR RAMIREZ MORENO</t>
  </si>
  <si>
    <t>D  2,123</t>
  </si>
  <si>
    <t>D  2,124</t>
  </si>
  <si>
    <t>D  2,126</t>
  </si>
  <si>
    <t>COMUNICACIONES NEXTEL DE MEXIC</t>
  </si>
  <si>
    <t>D  2,127</t>
  </si>
  <si>
    <t>RADIO SHACK DE MEXICO SA DE CV</t>
  </si>
  <si>
    <t>D  2,128</t>
  </si>
  <si>
    <t>D  2,129</t>
  </si>
  <si>
    <t>CASETAS DE GERENCIA</t>
  </si>
  <si>
    <t>D  2,130</t>
  </si>
  <si>
    <t>D  2,131</t>
  </si>
  <si>
    <t>P006263</t>
  </si>
  <si>
    <t>MARIO EDUARDO VILLAGRAN HERNAN</t>
  </si>
  <si>
    <t>D  2,133</t>
  </si>
  <si>
    <t>D  2,137</t>
  </si>
  <si>
    <t>ELECTROCOMPONENTES SA DE CV</t>
  </si>
  <si>
    <t>D  2,138</t>
  </si>
  <si>
    <t>FRANCISCO RUBEN LONA SERRANO</t>
  </si>
  <si>
    <t>D  2,140</t>
  </si>
  <si>
    <t>CIA.FERRETERA NUEVO MUNDO S DE</t>
  </si>
  <si>
    <t>D  2,141</t>
  </si>
  <si>
    <t>HOME DEPOT MEXICO S DE RL DE C</t>
  </si>
  <si>
    <t>D  2,143</t>
  </si>
  <si>
    <t>COMEX PINTURAS DE CYA SA DE CV</t>
  </si>
  <si>
    <t>D  2,144</t>
  </si>
  <si>
    <t>OFFICE DEPOT DE MEXICO SA DE C</t>
  </si>
  <si>
    <t>D  2,145</t>
  </si>
  <si>
    <t>D  2,147</t>
  </si>
  <si>
    <t>P006288</t>
  </si>
  <si>
    <t>TRASLADO YARIA IRAPUATO</t>
  </si>
  <si>
    <t>D  2,149</t>
  </si>
  <si>
    <t>P006290</t>
  </si>
  <si>
    <t>TRASLADO VIN EK003974</t>
  </si>
  <si>
    <t>D  2,150</t>
  </si>
  <si>
    <t>P006292</t>
  </si>
  <si>
    <t>TRASLADO INV.0269-TCN14</t>
  </si>
  <si>
    <t>D  2,151</t>
  </si>
  <si>
    <t>TRASLADO INV.0287-TCN14</t>
  </si>
  <si>
    <t>D  2,153</t>
  </si>
  <si>
    <t>P006294</t>
  </si>
  <si>
    <t>TRASLADO INV.0276-TCN14</t>
  </si>
  <si>
    <t>D  2,154</t>
  </si>
  <si>
    <t>P006296</t>
  </si>
  <si>
    <t>TRASLADO INV.0261-TCN14</t>
  </si>
  <si>
    <t>D  2,155</t>
  </si>
  <si>
    <t>P006297</t>
  </si>
  <si>
    <t>TRASLADO INV.0982-TCN13</t>
  </si>
  <si>
    <t>D  2,156</t>
  </si>
  <si>
    <t>TRASLADO INV.0150-TCN14</t>
  </si>
  <si>
    <t>D  2,158</t>
  </si>
  <si>
    <t>TRASPASO A PACHUCA VIN EW13118</t>
  </si>
  <si>
    <t>D  2,159</t>
  </si>
  <si>
    <t>TRASPASO INV.0256-TCN14</t>
  </si>
  <si>
    <t>D  2,160</t>
  </si>
  <si>
    <t>P006302</t>
  </si>
  <si>
    <t>TRASLADO INV.0290-TCN14</t>
  </si>
  <si>
    <t>D  2,161</t>
  </si>
  <si>
    <t>P006303</t>
  </si>
  <si>
    <t>TRASLADO INV.0291-TCN14</t>
  </si>
  <si>
    <t>D  2,163</t>
  </si>
  <si>
    <t>P006305</t>
  </si>
  <si>
    <t>TRASLADO INV.0270-TCN14</t>
  </si>
  <si>
    <t>D  2,170</t>
  </si>
  <si>
    <t>TOYOTATHON</t>
  </si>
  <si>
    <t>D  2,171</t>
  </si>
  <si>
    <t>BONO TOYTHON KLP ARQIOTECTOS 1</t>
  </si>
  <si>
    <t>D  2,200</t>
  </si>
  <si>
    <t>CANCELACIO</t>
  </si>
  <si>
    <t>BAJA:CAMION HILUX 0356N/13</t>
  </si>
  <si>
    <t>D  2,206</t>
  </si>
  <si>
    <t>RECLS IVAS</t>
  </si>
  <si>
    <t>FISCAL SALDAÑA INV 0088-TCU13</t>
  </si>
  <si>
    <t>INTAFRI, SC 0060-TCU13</t>
  </si>
  <si>
    <t>SUSOLI, SA DE CV 0061-TCU13</t>
  </si>
  <si>
    <t>TECNOLOGIAS AGRICOLAS INV 0070</t>
  </si>
  <si>
    <t>E      1</t>
  </si>
  <si>
    <t>CH-13574</t>
  </si>
  <si>
    <t>CONSULTORES &amp; ASESORES INTEGRALES S</t>
  </si>
  <si>
    <t>E      2</t>
  </si>
  <si>
    <t>CH-13644</t>
  </si>
  <si>
    <t>LEON GUERRERO SILVIA</t>
  </si>
  <si>
    <t>E      3</t>
  </si>
  <si>
    <t>CH-13642</t>
  </si>
  <si>
    <t>CHAVEZ SANCHEZ ROSALBA</t>
  </si>
  <si>
    <t>E      4</t>
  </si>
  <si>
    <t>CH-13615</t>
  </si>
  <si>
    <t>E     18</t>
  </si>
  <si>
    <t>CH-13656</t>
  </si>
  <si>
    <t>E     22</t>
  </si>
  <si>
    <t>CH-13616</t>
  </si>
  <si>
    <t>E     38</t>
  </si>
  <si>
    <t>CH-13665</t>
  </si>
  <si>
    <t>PARABRISAS ARAMBURO S.A. DE C.V.</t>
  </si>
  <si>
    <t>E     39</t>
  </si>
  <si>
    <t>CH-13666</t>
  </si>
  <si>
    <t>ASOCIACION DE DISTRIBUIDORES DE AUT</t>
  </si>
  <si>
    <t>E     40</t>
  </si>
  <si>
    <t>CH-13667</t>
  </si>
  <si>
    <t>GARCIA OLIVOS MARIA TERESA</t>
  </si>
  <si>
    <t>E     43</t>
  </si>
  <si>
    <t>CH-13670</t>
  </si>
  <si>
    <t>GALAZ, YAMAZAKI, RUIZ URQUIZA, S.C.</t>
  </si>
  <si>
    <t>E     45</t>
  </si>
  <si>
    <t>CH-13672</t>
  </si>
  <si>
    <t>DELGADILLO LARA LUIS FERNANDO</t>
  </si>
  <si>
    <t>E     46</t>
  </si>
  <si>
    <t>CH-13673</t>
  </si>
  <si>
    <t>CARROCERIAS EL FUERTE S DE RL DE CV</t>
  </si>
  <si>
    <t>E     50</t>
  </si>
  <si>
    <t>CH-13674</t>
  </si>
  <si>
    <t>DTMAC COMERCIALIZADORA SA DE CV</t>
  </si>
  <si>
    <t>E     57</t>
  </si>
  <si>
    <t>CH-13681</t>
  </si>
  <si>
    <t>E     59</t>
  </si>
  <si>
    <t>CH-13629</t>
  </si>
  <si>
    <t>TOYOTA FINANCIAL SERVICES DE MEXICO</t>
  </si>
  <si>
    <t>E     69</t>
  </si>
  <si>
    <t>CH-13690</t>
  </si>
  <si>
    <t>PLOMERIA Y CERAMICA DE QUERETARO SA</t>
  </si>
  <si>
    <t>E     70</t>
  </si>
  <si>
    <t>CH-13691</t>
  </si>
  <si>
    <t>ARIAS RIVERA JOSE VICENTE</t>
  </si>
  <si>
    <t>E     71</t>
  </si>
  <si>
    <t>CH-13692</t>
  </si>
  <si>
    <t>DE LA CRUZ HERNANDEZ MA FLORENCIA</t>
  </si>
  <si>
    <t>E     72</t>
  </si>
  <si>
    <t>CH-13693</t>
  </si>
  <si>
    <t>E     73</t>
  </si>
  <si>
    <t>CH-13694</t>
  </si>
  <si>
    <t>E     74</t>
  </si>
  <si>
    <t>CH-13695</t>
  </si>
  <si>
    <t>E     76</t>
  </si>
  <si>
    <t>CH-13575</t>
  </si>
  <si>
    <t>E     77</t>
  </si>
  <si>
    <t>CH-13698</t>
  </si>
  <si>
    <t>E     78</t>
  </si>
  <si>
    <t>CH-13699</t>
  </si>
  <si>
    <t>E     82</t>
  </si>
  <si>
    <t>ch-13702</t>
  </si>
  <si>
    <t>EVOLUCION E INOVACION EMPRESARIA SC</t>
  </si>
  <si>
    <t>E     87</t>
  </si>
  <si>
    <t>CH-13704</t>
  </si>
  <si>
    <t>E     88</t>
  </si>
  <si>
    <t>CH-13705</t>
  </si>
  <si>
    <t>OFFICE DEPOT DE MEXICO S.A DE C.V.</t>
  </si>
  <si>
    <t>E     89</t>
  </si>
  <si>
    <t>CH-13706</t>
  </si>
  <si>
    <t>GRUPO ECOLOGICA, S.A. DE C.V.</t>
  </si>
  <si>
    <t>E     90</t>
  </si>
  <si>
    <t>CH-13707</t>
  </si>
  <si>
    <t>SEVIBA S.A. DE C.V</t>
  </si>
  <si>
    <t>E     91</t>
  </si>
  <si>
    <t>CH-13708</t>
  </si>
  <si>
    <t>REDPACK, S.A. DE C.V.</t>
  </si>
  <si>
    <t>E     95</t>
  </si>
  <si>
    <t>CH-13712</t>
  </si>
  <si>
    <t>E     96</t>
  </si>
  <si>
    <t>CH-13713</t>
  </si>
  <si>
    <t>E     98</t>
  </si>
  <si>
    <t>T-377</t>
  </si>
  <si>
    <t>INDUSTRIA DISEÑADORA DE AUTOPARTES,</t>
  </si>
  <si>
    <t>E    109</t>
  </si>
  <si>
    <t>T-378</t>
  </si>
  <si>
    <t>OCHOA AVILES ULISES</t>
  </si>
  <si>
    <t>E    110</t>
  </si>
  <si>
    <t>T-860</t>
  </si>
  <si>
    <t>MARTINEZ SUAREZ SANTOS</t>
  </si>
  <si>
    <t>E    111</t>
  </si>
  <si>
    <t>T-861</t>
  </si>
  <si>
    <t>SERVICIO AUDITORIO SA DE CV</t>
  </si>
  <si>
    <t>E    112</t>
  </si>
  <si>
    <t>T-862</t>
  </si>
  <si>
    <t>FERREMATERIALES SU CASA, S.A. DE C.</t>
  </si>
  <si>
    <t>E    113</t>
  </si>
  <si>
    <t>T-863</t>
  </si>
  <si>
    <t>OCHOA NOLASCO GUILLERMO</t>
  </si>
  <si>
    <t>E    114</t>
  </si>
  <si>
    <t>T-864</t>
  </si>
  <si>
    <t>TRASLADOS CONTRERAS SA DE CV</t>
  </si>
  <si>
    <t>E    115</t>
  </si>
  <si>
    <t>T-865</t>
  </si>
  <si>
    <t>DIEZ OCHENTA Y NUEVE SA DE CV</t>
  </si>
  <si>
    <t>E    116</t>
  </si>
  <si>
    <t>MHMG ABOGADOS SC</t>
  </si>
  <si>
    <t>E    117</t>
  </si>
  <si>
    <t>T-867</t>
  </si>
  <si>
    <t>PROYECTOS VENTAS Y ASESORIA SA DE C</t>
  </si>
  <si>
    <t>E    118</t>
  </si>
  <si>
    <t>T-868</t>
  </si>
  <si>
    <t>DISTRIBUCION Y CONSTRUCCION S.A. DE</t>
  </si>
  <si>
    <t>E    119</t>
  </si>
  <si>
    <t>T-869</t>
  </si>
  <si>
    <t>MADERAS Y MATERIALES SIERRA DORADA</t>
  </si>
  <si>
    <t>E    120</t>
  </si>
  <si>
    <t>T-870</t>
  </si>
  <si>
    <t>CONSTRUCCION INDUSTRIAL Y HABITAT,</t>
  </si>
  <si>
    <t>E    121</t>
  </si>
  <si>
    <t>T-379</t>
  </si>
  <si>
    <t>REYES MORALES ARELI</t>
  </si>
  <si>
    <t>E    124</t>
  </si>
  <si>
    <t>CH-13719</t>
  </si>
  <si>
    <t>E    126</t>
  </si>
  <si>
    <t>CH-13721</t>
  </si>
  <si>
    <t>E    128</t>
  </si>
  <si>
    <t>CH-335</t>
  </si>
  <si>
    <t>E    129</t>
  </si>
  <si>
    <t>CH-13723</t>
  </si>
  <si>
    <t>E    132</t>
  </si>
  <si>
    <t>CH-13726</t>
  </si>
  <si>
    <t>E    134</t>
  </si>
  <si>
    <t>CH-13697</t>
  </si>
  <si>
    <t>COMISION FEDERAL DE ELECTRICIDAD</t>
  </si>
  <si>
    <t>E    140</t>
  </si>
  <si>
    <t>CH-13730</t>
  </si>
  <si>
    <t>E    141</t>
  </si>
  <si>
    <t>CH-13731</t>
  </si>
  <si>
    <t>E    142</t>
  </si>
  <si>
    <t>CH-13732</t>
  </si>
  <si>
    <t>E    144</t>
  </si>
  <si>
    <t>CH-13734</t>
  </si>
  <si>
    <t>E    145</t>
  </si>
  <si>
    <t>CH-13735</t>
  </si>
  <si>
    <t>E    146</t>
  </si>
  <si>
    <t>CH-13736</t>
  </si>
  <si>
    <t>E    147</t>
  </si>
  <si>
    <t>CH-13737</t>
  </si>
  <si>
    <t>E    149</t>
  </si>
  <si>
    <t>CH-13739</t>
  </si>
  <si>
    <t>E    151</t>
  </si>
  <si>
    <t>COM.20/01</t>
  </si>
  <si>
    <t>COMISIONES BBVA AL 20/01/2014</t>
  </si>
  <si>
    <t>E    160</t>
  </si>
  <si>
    <t>CH-13746</t>
  </si>
  <si>
    <t>AZUPISO SA DE CV</t>
  </si>
  <si>
    <t>E    162</t>
  </si>
  <si>
    <t>CH-13748</t>
  </si>
  <si>
    <t>E    171</t>
  </si>
  <si>
    <t>CH-13752</t>
  </si>
  <si>
    <t>LUBRICANTES DEL BAJIO, S.A. DE C.V.</t>
  </si>
  <si>
    <t>E    172</t>
  </si>
  <si>
    <t>CH-13753</t>
  </si>
  <si>
    <t>MORENO GARCIA ROSA MARIA</t>
  </si>
  <si>
    <t>E    173</t>
  </si>
  <si>
    <t>CH-13754</t>
  </si>
  <si>
    <t>MONTES CAMPOS SERGIO</t>
  </si>
  <si>
    <t>E    181</t>
  </si>
  <si>
    <t>CH-13759</t>
  </si>
  <si>
    <t>CONDE SALINAS MARIA DEL ROSARIO</t>
  </si>
  <si>
    <t>E    182</t>
  </si>
  <si>
    <t>CH-13760</t>
  </si>
  <si>
    <t>E    183</t>
  </si>
  <si>
    <t>CH-13761</t>
  </si>
  <si>
    <t>E    184</t>
  </si>
  <si>
    <t>CH-13762</t>
  </si>
  <si>
    <t>E    195</t>
  </si>
  <si>
    <t>CH-13771</t>
  </si>
  <si>
    <t>JC IMAGEN AUTOMOTRIZ, S.A. DE C.V.</t>
  </si>
  <si>
    <t>E    196</t>
  </si>
  <si>
    <t>CH-13765</t>
  </si>
  <si>
    <t>SERVICIOS QUERETANOS DE PERSONAL,S.</t>
  </si>
  <si>
    <t>E    197</t>
  </si>
  <si>
    <t>E    198</t>
  </si>
  <si>
    <t>T-872</t>
  </si>
  <si>
    <t>E    199</t>
  </si>
  <si>
    <t>CH-13775</t>
  </si>
  <si>
    <t>E    201</t>
  </si>
  <si>
    <t>T-380</t>
  </si>
  <si>
    <t>CMG EXCELENCIA EN SERVICIOS S DE RL</t>
  </si>
  <si>
    <t>E    202</t>
  </si>
  <si>
    <t>T-873</t>
  </si>
  <si>
    <t>INFORSERVEIS MEXICO SA DE CV</t>
  </si>
  <si>
    <t>E    208</t>
  </si>
  <si>
    <t>T-875</t>
  </si>
  <si>
    <t>E    209</t>
  </si>
  <si>
    <t>T-876</t>
  </si>
  <si>
    <t>E    210</t>
  </si>
  <si>
    <t>T-877</t>
  </si>
  <si>
    <t>E    211</t>
  </si>
  <si>
    <t>T-878</t>
  </si>
  <si>
    <t>E    212</t>
  </si>
  <si>
    <t>T-381</t>
  </si>
  <si>
    <t>E    213</t>
  </si>
  <si>
    <t>COM.ENE/14</t>
  </si>
  <si>
    <t>COMISIONES AL 29/01/2014</t>
  </si>
  <si>
    <t>E    214</t>
  </si>
  <si>
    <t>T-382</t>
  </si>
  <si>
    <t>E    216</t>
  </si>
  <si>
    <t>T-879</t>
  </si>
  <si>
    <t>MARCOZER SA DE CV</t>
  </si>
  <si>
    <t>E    217</t>
  </si>
  <si>
    <t>T-880</t>
  </si>
  <si>
    <t>MONROY ESTRADA FELIPE</t>
  </si>
  <si>
    <t>E    218</t>
  </si>
  <si>
    <t>T-881</t>
  </si>
  <si>
    <t>E    220</t>
  </si>
  <si>
    <t>T-882</t>
  </si>
  <si>
    <t>GOMEZ ROCHA JAIME</t>
  </si>
  <si>
    <t>E    222</t>
  </si>
  <si>
    <t>T-383</t>
  </si>
  <si>
    <t>E    223</t>
  </si>
  <si>
    <t>T-883</t>
  </si>
  <si>
    <t>E    228</t>
  </si>
  <si>
    <t>CH-13781</t>
  </si>
  <si>
    <t>E    229</t>
  </si>
  <si>
    <t>CH-13782</t>
  </si>
  <si>
    <t>E    230</t>
  </si>
  <si>
    <t>T-384</t>
  </si>
  <si>
    <t>E    231</t>
  </si>
  <si>
    <t>CH-13783</t>
  </si>
  <si>
    <t>E    232</t>
  </si>
  <si>
    <t>CH-13784</t>
  </si>
  <si>
    <t>E    233</t>
  </si>
  <si>
    <t>CH-13785</t>
  </si>
  <si>
    <t>TELEFONOS DE MEXICO S.A.B. DE C.V.</t>
  </si>
  <si>
    <t>E    234</t>
  </si>
  <si>
    <t>CH-13786</t>
  </si>
  <si>
    <t>E    238</t>
  </si>
  <si>
    <t>CH-13790</t>
  </si>
  <si>
    <t>E    240</t>
  </si>
  <si>
    <t>CH-13774</t>
  </si>
  <si>
    <t>LJIMENEZ:MULDOON BABLOT CECILIA</t>
  </si>
  <si>
    <t>E    241</t>
  </si>
  <si>
    <t>CH-13773</t>
  </si>
  <si>
    <t>LJIMENEZ:LEAL CORONA JOSE ANTONIO</t>
  </si>
  <si>
    <t>E    245</t>
  </si>
  <si>
    <t>CH-13796</t>
  </si>
  <si>
    <t>E    252</t>
  </si>
  <si>
    <t>CH-13772</t>
  </si>
  <si>
    <t>E    253</t>
  </si>
  <si>
    <t>COMISIONES ENE SANTANDER</t>
  </si>
  <si>
    <t>E    255</t>
  </si>
  <si>
    <t>COMISIONES ENE/2014 BAJIO</t>
  </si>
  <si>
    <t>E    256</t>
  </si>
  <si>
    <t>COMISIONES ENE/2014 BANORTE</t>
  </si>
  <si>
    <t>E    264</t>
  </si>
  <si>
    <t>COMISIONES INVERLAT ENE/2014</t>
  </si>
  <si>
    <t>E    265</t>
  </si>
  <si>
    <t>COMISIONES BMX ENE/2014</t>
  </si>
  <si>
    <t>E    266</t>
  </si>
  <si>
    <t>COMISIONES BBVA ENE/2014</t>
  </si>
  <si>
    <t>E    267</t>
  </si>
  <si>
    <t>COM.AMEX</t>
  </si>
  <si>
    <t>COM.AMEX ENE/2014</t>
  </si>
  <si>
    <t>E    269</t>
  </si>
  <si>
    <t>CGO.REF.</t>
  </si>
  <si>
    <t>REFACCIONES CH-13793</t>
  </si>
  <si>
    <t>I    478</t>
  </si>
  <si>
    <t>EMBARQUE15</t>
  </si>
  <si>
    <t>EMBARQUE 15</t>
  </si>
  <si>
    <t>I    708</t>
  </si>
  <si>
    <t>EMBARQUE25</t>
  </si>
  <si>
    <t>EMBARQUE 25</t>
  </si>
  <si>
    <t>I    712</t>
  </si>
  <si>
    <t>EMBARQUE5</t>
  </si>
  <si>
    <t>EMBARQUE 5</t>
  </si>
  <si>
    <t>ALECSA CELAYA, SRL DE CV</t>
  </si>
  <si>
    <t xml:space="preserve">ENERO </t>
  </si>
  <si>
    <t>COMPLEMENTARIA DIOT</t>
  </si>
  <si>
    <t>POLIZA</t>
  </si>
  <si>
    <t>FECHA</t>
  </si>
  <si>
    <t>DESCIPCION</t>
  </si>
  <si>
    <t>T</t>
  </si>
  <si>
    <t>PROVEEDOR</t>
  </si>
  <si>
    <t>RFC</t>
  </si>
  <si>
    <t>NOMBRE</t>
  </si>
  <si>
    <t>SUBTOTAL</t>
  </si>
  <si>
    <t>IVA</t>
  </si>
  <si>
    <t>LONA700127T42</t>
  </si>
  <si>
    <t>AIRV540405HV0</t>
  </si>
  <si>
    <t>DUMA580801KN5</t>
  </si>
  <si>
    <t>RIHA691010CX2</t>
  </si>
  <si>
    <t>ADA030715477</t>
  </si>
  <si>
    <t>AME970109GW0</t>
  </si>
  <si>
    <t>AZU991210ER2</t>
  </si>
  <si>
    <t>CAP070517CC3</t>
  </si>
  <si>
    <t>CCD.  AUTOSALES   PUERTO VALLARTA</t>
  </si>
  <si>
    <t>CCD, AUTOSALES DE   PUERTO  VALLART</t>
  </si>
  <si>
    <t>CEVER  TOLUCA   S DE RL DE CV</t>
  </si>
  <si>
    <t>CEVER  TOLUCA  S  DE RL DE CV</t>
  </si>
  <si>
    <t>CTO021007DZ8</t>
  </si>
  <si>
    <t>CEVER TOLUCA SA DE CV</t>
  </si>
  <si>
    <t>CLV0602102I4</t>
  </si>
  <si>
    <t>CEVER LOMAS VERDES S DE RL DE C.V</t>
  </si>
  <si>
    <t>CEVER TOLUCA  S DE RL  DE CV</t>
  </si>
  <si>
    <t>CEVER TOLUCA S  DE RL DE CV</t>
  </si>
  <si>
    <t>DAU0109242TA</t>
  </si>
  <si>
    <t>DALTON  AUTOMOTRIZ DE R.L. DE C.V.</t>
  </si>
  <si>
    <t>DALTON AUTOMOTRIZ S DE RL DE CV.</t>
  </si>
  <si>
    <t>DAU031117FM5</t>
  </si>
  <si>
    <t>DALTON   AUTOMOTORES  S DE RL  DE C</t>
  </si>
  <si>
    <t>LAP0209255U7</t>
  </si>
  <si>
    <t>LIDERAZGO  AUTOMOTRIZ  DE   PUEBLA</t>
  </si>
  <si>
    <t>OAU021125H84</t>
  </si>
  <si>
    <t>OZ AUTOMOTRIZ, S DE RL DE CV</t>
  </si>
  <si>
    <t>PROMOTORA   AUTOMOTRIZ D E  IRAPUAT</t>
  </si>
  <si>
    <t>OZ AUTOMOTRIZ  S DE RL DE CV</t>
  </si>
  <si>
    <t>OZ  AUTOMTRIZ S DE RL DE CV</t>
  </si>
  <si>
    <t>OZ  AUTOMOTRIZ SD E RLD E CV</t>
  </si>
  <si>
    <t>OZ  AUTOMOTRIZ S DE RLD E CV</t>
  </si>
  <si>
    <t>OZ  AUTOMOTRIZ S DE  RL DE CV</t>
  </si>
  <si>
    <t>OZ  AUTOMOTRIZ S  DE RL  DE CV</t>
  </si>
  <si>
    <t>OZ  AUTOMOTRIZ  S DE  RL DE CV</t>
  </si>
  <si>
    <t>PROMOTORA  AUTOMOTRIZ DE IRAPUATO</t>
  </si>
  <si>
    <t>TOYOMOTORS  SA   DE  CV</t>
  </si>
  <si>
    <t>TOYOMOTORS  SA DE CV</t>
  </si>
  <si>
    <t>TOYOMOTORS SA  DE  CV</t>
  </si>
  <si>
    <t>PAI060427TP7</t>
  </si>
  <si>
    <t>TOY030128DM7</t>
  </si>
  <si>
    <t>TMS010508RX0</t>
  </si>
  <si>
    <t>TOYOTA MOTOR SALES DE MEXICO S DE R</t>
  </si>
  <si>
    <t>CFU101216QB5</t>
  </si>
  <si>
    <t xml:space="preserve">GLOBAL </t>
  </si>
  <si>
    <t>MAB070816NS7</t>
  </si>
  <si>
    <t>ALDEN  QUERETARO  S DE RL DE  CV</t>
  </si>
  <si>
    <t>ALECSA  PACHUCA  S DE RL  DE  CV</t>
  </si>
  <si>
    <t>ALECSA  PACHUCA  S DE RL DE CV</t>
  </si>
  <si>
    <t>AONO TOYOTATHON APLICA SEGURO</t>
  </si>
  <si>
    <t>AUTOMOTRIZ AOXACA DE  ANTEQUERA S D</t>
  </si>
  <si>
    <t>AUTOMOTRIZ OAXACA   DE ANTEQUERA</t>
  </si>
  <si>
    <t>AUTOMOTRIZ OAXACA  DE  ANTEQUERA</t>
  </si>
  <si>
    <t>CCD, AUTOSALES   PUERTO VALLARTA</t>
  </si>
  <si>
    <t>CCD, AUTOSALES  PUERTO VALLARTA</t>
  </si>
  <si>
    <t>CEVER LOMAS  VERDES S DE RL DE CV</t>
  </si>
  <si>
    <t>DALTON  AUTOMOTRIZ  S DE  RL DE CV</t>
  </si>
  <si>
    <t>DALTON AUTOMOTORES  S  DE RL DE CV</t>
  </si>
  <si>
    <t>DALTON AUTOMOTORES S DE RL DE CV</t>
  </si>
  <si>
    <t>DALTON AUTOMOTRIZ  S DE RL  DE  CV</t>
  </si>
  <si>
    <t>DALTON AUTOMOTRIZ S DE RL  DE  CV</t>
  </si>
  <si>
    <t>LIDERAZGO AUTOMOTRIZ  DE  PUEBLA</t>
  </si>
  <si>
    <t>LIDERAZGO AUTOMOTRIZ  DE PUEBLA</t>
  </si>
  <si>
    <t>LIDERAZGO AUTOMOTRIZ DE  PUEBLA</t>
  </si>
  <si>
    <t>APA040128N75</t>
  </si>
  <si>
    <t>ALECSA PACHUCA  S DE RL DE CV</t>
  </si>
  <si>
    <t>AOA040608H65</t>
  </si>
  <si>
    <t>AUTOMOTRIZ OAXACA DE ANTEQUERA S DE</t>
  </si>
  <si>
    <t>AQU030811UM4</t>
  </si>
  <si>
    <t>ALDEN QUERETARO S DE RL DE CV</t>
  </si>
  <si>
    <t>CASR780330D55</t>
  </si>
  <si>
    <t>FNM000504R36</t>
  </si>
  <si>
    <t>CEE090223D54</t>
  </si>
  <si>
    <t>AEC810901298</t>
  </si>
  <si>
    <t>AMERICAN EXPRESS COMPANY MEXICO, SA DE CV</t>
  </si>
  <si>
    <t>PCE890410B99</t>
  </si>
  <si>
    <t>CFE370814QI0</t>
  </si>
  <si>
    <t>BBA830831LJ2</t>
  </si>
  <si>
    <t xml:space="preserve">BBVA BANCOMER SA </t>
  </si>
  <si>
    <t>BNM840515VB1</t>
  </si>
  <si>
    <t>BANCO NACIONAL DE MEXICO, SA</t>
  </si>
  <si>
    <t>BSI970519CZ2</t>
  </si>
  <si>
    <t>BANCO SANTANDER, SA</t>
  </si>
  <si>
    <t>BBA940707IE1</t>
  </si>
  <si>
    <t>BANBAJIO SA</t>
  </si>
  <si>
    <t>BMN930209927</t>
  </si>
  <si>
    <t>BANCO MERCANTIL DEL NORTE, SA</t>
  </si>
  <si>
    <t>SIN9412025I4</t>
  </si>
  <si>
    <t xml:space="preserve">SCOTIABANK INVERLAT, SA </t>
  </si>
  <si>
    <t>CCO130605R24</t>
  </si>
  <si>
    <t xml:space="preserve">COMERCIALIZADORA LA CONSAGRADA SA DE CV </t>
  </si>
  <si>
    <t>IPO640805KU9</t>
  </si>
  <si>
    <t xml:space="preserve">INVERSIONES POTOSINAS SA DE CV </t>
  </si>
  <si>
    <t>RPP760101966</t>
  </si>
  <si>
    <t xml:space="preserve">RESTAURANTE LA PARROQUIA EN SAN LUIS </t>
  </si>
  <si>
    <t>PRIMERA PLUS</t>
  </si>
  <si>
    <t>CNM980114PI2</t>
  </si>
  <si>
    <t>COSR620916GL0</t>
  </si>
  <si>
    <t>CIH100122SU2</t>
  </si>
  <si>
    <t>C&amp;A050406NL0</t>
  </si>
  <si>
    <t>CME910715UB9</t>
  </si>
  <si>
    <t>BCO120309C60</t>
  </si>
  <si>
    <t xml:space="preserve">BAJIO TECH COPY SA DE CV </t>
  </si>
  <si>
    <t>CUHM4810039X6</t>
  </si>
  <si>
    <t>GADE4012025L6</t>
  </si>
  <si>
    <t>DELL7010169M9</t>
  </si>
  <si>
    <t>DON110503C57</t>
  </si>
  <si>
    <t>DCO9712012B3</t>
  </si>
  <si>
    <t>DTB000309B37</t>
  </si>
  <si>
    <t>OEPD810402991</t>
  </si>
  <si>
    <t>DCO050303BG1</t>
  </si>
  <si>
    <t>ELE011009716</t>
  </si>
  <si>
    <t>TFS011012M18</t>
  </si>
  <si>
    <t>EIE0209109X9</t>
  </si>
  <si>
    <t>TEX9302097F3</t>
  </si>
  <si>
    <t>FSC001207TR5</t>
  </si>
  <si>
    <t>FFR810330JX9</t>
  </si>
  <si>
    <t>FMB871228QF7</t>
  </si>
  <si>
    <t>LOSF900822PW9</t>
  </si>
  <si>
    <t>GYR880101TL1</t>
  </si>
  <si>
    <t>ESE930624B79</t>
  </si>
  <si>
    <t>ESTACIONES DE SERVICIO SA DE CV</t>
  </si>
  <si>
    <t>WAK100111FA0</t>
  </si>
  <si>
    <t xml:space="preserve">WAKKA S DE RL DE CV </t>
  </si>
  <si>
    <t>CASETAS</t>
  </si>
  <si>
    <t>GORJ810414RE0</t>
  </si>
  <si>
    <t>GEC091223SN6</t>
  </si>
  <si>
    <t>HER120814D53</t>
  </si>
  <si>
    <t>HDM001017AS1</t>
  </si>
  <si>
    <t>ILB130712NH3</t>
  </si>
  <si>
    <t>IDA8609228I7</t>
  </si>
  <si>
    <t>DIFERENCIA</t>
  </si>
  <si>
    <t>IME0505132S2</t>
  </si>
  <si>
    <t>CARJ691124244</t>
  </si>
  <si>
    <t>JIA091120L52</t>
  </si>
  <si>
    <t>CUOK8307059V2</t>
  </si>
  <si>
    <t>LEGS690518396</t>
  </si>
  <si>
    <t>OAP08050277A</t>
  </si>
  <si>
    <t>OPERADORA ALAMEDA PARK SA DE C</t>
  </si>
  <si>
    <t>QMO710112RH2</t>
  </si>
  <si>
    <t xml:space="preserve">QUERETARO MOTORS SA </t>
  </si>
  <si>
    <t>QUERETARO MOTORS SA</t>
  </si>
  <si>
    <t>LBA880808D36</t>
  </si>
  <si>
    <t>MERL571216D49</t>
  </si>
  <si>
    <t>FICR750321LL4</t>
  </si>
  <si>
    <t>MMS920629IR7</t>
  </si>
  <si>
    <t>MNE0409226K9</t>
  </si>
  <si>
    <t>MAR960105E93</t>
  </si>
  <si>
    <t>MAMR740915UN2</t>
  </si>
  <si>
    <t>VIHM580912N38</t>
  </si>
  <si>
    <t>MASS641103813</t>
  </si>
  <si>
    <t>MOEF731201TA1</t>
  </si>
  <si>
    <t>MOCS610331GL2</t>
  </si>
  <si>
    <t>MOGR520901V75</t>
  </si>
  <si>
    <t>NWM9709244W4</t>
  </si>
  <si>
    <t>OOAU7302051K3</t>
  </si>
  <si>
    <t>OONG650317SF9</t>
  </si>
  <si>
    <t>ODM950324V2A</t>
  </si>
  <si>
    <t>OVI800131GQ6</t>
  </si>
  <si>
    <t>RAMO680410115</t>
  </si>
  <si>
    <t>PAR821106JP2</t>
  </si>
  <si>
    <t>PCQ900419346</t>
  </si>
  <si>
    <t>PVY100629V1A</t>
  </si>
  <si>
    <t>RSM920701EP2</t>
  </si>
  <si>
    <t>RAAR680113TR5</t>
  </si>
  <si>
    <t>RBA090821RC7</t>
  </si>
  <si>
    <t>RED940114JX9</t>
  </si>
  <si>
    <t>REMA750219BL6</t>
  </si>
  <si>
    <t>ROAR6803234R7</t>
  </si>
  <si>
    <t>JMA840106356</t>
  </si>
  <si>
    <t xml:space="preserve">JUNTA MUNICIPAL DE AGUA POTABLE Y ALCANTARILLADO </t>
  </si>
  <si>
    <t>SAU960320HC4</t>
  </si>
  <si>
    <t>SQP0901086C2</t>
  </si>
  <si>
    <t>TME840315KT6</t>
  </si>
  <si>
    <t>TSO991022PB6</t>
  </si>
  <si>
    <t>SEV040910EN3</t>
  </si>
  <si>
    <t>FFS0704166HA</t>
  </si>
  <si>
    <t xml:space="preserve">CITYEXPRESS HOTELES </t>
  </si>
  <si>
    <t>GQL941129CY5</t>
  </si>
  <si>
    <t xml:space="preserve">GRUPO QL SA DE CV </t>
  </si>
  <si>
    <t>TCO0804186C7</t>
  </si>
  <si>
    <t xml:space="preserve">CASETAS </t>
  </si>
  <si>
    <t>ALI081114AN2</t>
  </si>
  <si>
    <t>ALIMENTARIA COMPANY S DE RL DE CV</t>
  </si>
  <si>
    <t>AMO010815U41</t>
  </si>
  <si>
    <t xml:space="preserve">LA MORENITA SA DE CV </t>
  </si>
  <si>
    <t>SUL601206R87</t>
  </si>
  <si>
    <t>SERVICIO ULTRAMODERNO SA DE CV</t>
  </si>
  <si>
    <t>MCI070720G67</t>
  </si>
  <si>
    <t xml:space="preserve">MARISCOS CHILO SA DE CV </t>
  </si>
  <si>
    <t>USL9307122X1</t>
  </si>
  <si>
    <t xml:space="preserve">ULTRASERVICIO LOMAS SA DE CV </t>
  </si>
  <si>
    <t>SBA030617DE0</t>
  </si>
  <si>
    <t xml:space="preserve">SERVICIO BASE AEREA SA DE CV </t>
  </si>
  <si>
    <t>AUTOBUSES.</t>
  </si>
  <si>
    <t>AGA0006136F1</t>
  </si>
  <si>
    <t xml:space="preserve">AUTOSERVICIO GASHR SA DE CV </t>
  </si>
  <si>
    <t>ROCM620808M6A</t>
  </si>
  <si>
    <t>MA. MERCEDES ROCHA CALDERON</t>
  </si>
  <si>
    <t xml:space="preserve">NUEVA WAL MART DE MEXICO S DE RL DE CV </t>
  </si>
  <si>
    <t>PCS071026A78</t>
  </si>
  <si>
    <t xml:space="preserve">PETRO 107 SA DE CV </t>
  </si>
  <si>
    <t>STE9109029AA</t>
  </si>
  <si>
    <t xml:space="preserve">SERVICIO TEPEACA SA DE CV </t>
  </si>
  <si>
    <t>API6609273E0</t>
  </si>
  <si>
    <t xml:space="preserve">AUTOBUSES LA PIEDAD SA DE CV </t>
  </si>
  <si>
    <t>OSI0301158T0</t>
  </si>
  <si>
    <t xml:space="preserve">OPERADORA SAN ISIDRO SA DE CV </t>
  </si>
  <si>
    <t xml:space="preserve">AUTOBUSES DE LA PIEDAD SA DE CV </t>
  </si>
  <si>
    <t>SOEJ591006EQ0</t>
  </si>
  <si>
    <t>JENARO SOLORZANO ESQUEDA</t>
  </si>
  <si>
    <t>LOLT770128EX5</t>
  </si>
  <si>
    <t xml:space="preserve">TOMAS LOREDO LUNA </t>
  </si>
  <si>
    <t>OKA000427NV2</t>
  </si>
  <si>
    <t xml:space="preserve">OPERADORA KAMERUN SA DE CV </t>
  </si>
  <si>
    <t>EPG020911GH9</t>
  </si>
  <si>
    <t xml:space="preserve">ESTACION PALMA GORDA SA DE CV </t>
  </si>
  <si>
    <t>OEAE5404042R2</t>
  </si>
  <si>
    <t xml:space="preserve">EVELIA ORTEGA AGUIRRE </t>
  </si>
  <si>
    <t>SJU010405FU0</t>
  </si>
  <si>
    <t>SERVICIO LAS JUNTAS SA DE CV</t>
  </si>
  <si>
    <t>SGM950714DC2</t>
  </si>
  <si>
    <t xml:space="preserve">SERVICIOS GASOLINEROS DE MEXICO SA DE CV </t>
  </si>
  <si>
    <t>GPA020506HP0</t>
  </si>
  <si>
    <t xml:space="preserve">GARMAN PACHUCA SA DE CV </t>
  </si>
  <si>
    <t>RORF6102186I0</t>
  </si>
  <si>
    <t xml:space="preserve">JOSE FERNANDO DE LA ROCHA REMBAO </t>
  </si>
  <si>
    <t>CCO8605231N4</t>
  </si>
  <si>
    <t xml:space="preserve">CADENA COMERCIAL OXXO SA DE CV </t>
  </si>
  <si>
    <t>MATG6407264Q9</t>
  </si>
  <si>
    <t>GRACIELA MARTINEZ TREJO</t>
  </si>
  <si>
    <t>SCA981117398</t>
  </si>
  <si>
    <t>SERVICIO LOS CAFETOS SA DE  CV</t>
  </si>
  <si>
    <t>SRC8905249J7</t>
  </si>
  <si>
    <t xml:space="preserve">SERVICIO RIO CALZADAS SA DE CV </t>
  </si>
  <si>
    <t>LOMJ920225EX0</t>
  </si>
  <si>
    <t xml:space="preserve">JAZMIN DEL ROCIO LOPEZ MORENO </t>
  </si>
  <si>
    <t>SCH880519CK5</t>
  </si>
  <si>
    <t xml:space="preserve">SERVICIO CHACHAPA SA DE CV </t>
  </si>
  <si>
    <t>SMA020528IFA</t>
  </si>
  <si>
    <t xml:space="preserve">SERVICIO MALIBRAN SA DE CV </t>
  </si>
  <si>
    <t>SEC940503BPA</t>
  </si>
  <si>
    <t xml:space="preserve">SERVI EXPRESS DE CUAUTITLAN SA DE CV </t>
  </si>
  <si>
    <t>GOC9303301F4</t>
  </si>
  <si>
    <t xml:space="preserve">GRUPO OCTANO SA DE CV </t>
  </si>
  <si>
    <t>SMU10032242A</t>
  </si>
  <si>
    <t xml:space="preserve">SERVICIO MURANO SA DE CV </t>
  </si>
  <si>
    <t>RATL7404121R6</t>
  </si>
  <si>
    <t>LAURA LIDIA RANGEL TORRES</t>
  </si>
  <si>
    <t>SSJ0011225G3</t>
  </si>
  <si>
    <t xml:space="preserve">SERVICIO SAN JOSE DEL ALTO SA DE CV </t>
  </si>
  <si>
    <t>OPR950131151</t>
  </si>
  <si>
    <t xml:space="preserve">OURO PRETO SA DE CV </t>
  </si>
  <si>
    <t>MUBC4112283F2</t>
  </si>
  <si>
    <t>MULDOON BABLOT CECILIA</t>
  </si>
  <si>
    <t>LECA340720JN4</t>
  </si>
  <si>
    <t>LEAL CORONA JOSE ANTONIO</t>
  </si>
  <si>
    <t>D     26</t>
  </si>
  <si>
    <t>0303-TCN14</t>
  </si>
  <si>
    <t>D     71</t>
  </si>
  <si>
    <t>F-1321110</t>
  </si>
  <si>
    <t>LJIMENEZ:MENSUALIDAD HILUX FEBRERO</t>
  </si>
  <si>
    <t>D     78</t>
  </si>
  <si>
    <t>0304-TCN14</t>
  </si>
  <si>
    <t>D    239</t>
  </si>
  <si>
    <t>0305-TCN14</t>
  </si>
  <si>
    <t>D    274</t>
  </si>
  <si>
    <t>0306-TCN14</t>
  </si>
  <si>
    <t>CEVER  TOLUCA  S DE RL  DE CV</t>
  </si>
  <si>
    <t>D    283</t>
  </si>
  <si>
    <t>0307-TCN14</t>
  </si>
  <si>
    <t>D    329</t>
  </si>
  <si>
    <t>0308-TCN14</t>
  </si>
  <si>
    <t>AUTOMOTRIZ DE  SURESTE  S DE RL DE</t>
  </si>
  <si>
    <t>D    340</t>
  </si>
  <si>
    <t>0309-TCN14</t>
  </si>
  <si>
    <t>D    442</t>
  </si>
  <si>
    <t>0310-TCN14</t>
  </si>
  <si>
    <t>D    443</t>
  </si>
  <si>
    <t>0311-TCN14</t>
  </si>
  <si>
    <t>D    444</t>
  </si>
  <si>
    <t>0312-TCN14</t>
  </si>
  <si>
    <t>D    445</t>
  </si>
  <si>
    <t>0313-TCN14</t>
  </si>
  <si>
    <t>D    468</t>
  </si>
  <si>
    <t>0314-TCN14</t>
  </si>
  <si>
    <t>D    470</t>
  </si>
  <si>
    <t>0315-TCN14</t>
  </si>
  <si>
    <t>D    482</t>
  </si>
  <si>
    <t>0317-TCN14</t>
  </si>
  <si>
    <t>D    487</t>
  </si>
  <si>
    <t>0316-TCN14</t>
  </si>
  <si>
    <t>D    490</t>
  </si>
  <si>
    <t>0318-TCN14</t>
  </si>
  <si>
    <t>D    496</t>
  </si>
  <si>
    <t>0319-TCN14</t>
  </si>
  <si>
    <t>D    497</t>
  </si>
  <si>
    <t>0320-TCN14</t>
  </si>
  <si>
    <t>D    498</t>
  </si>
  <si>
    <t>0321-TCN14</t>
  </si>
  <si>
    <t>D    499</t>
  </si>
  <si>
    <t>0322-TCN14</t>
  </si>
  <si>
    <t>D    500</t>
  </si>
  <si>
    <t>0323-TCN14</t>
  </si>
  <si>
    <t>D    503</t>
  </si>
  <si>
    <t>0324-TCN14</t>
  </si>
  <si>
    <t>D    504</t>
  </si>
  <si>
    <t>0325-TCN14</t>
  </si>
  <si>
    <t>D    507</t>
  </si>
  <si>
    <t>0326-TCN14</t>
  </si>
  <si>
    <t>ALDEN QUERETARO  S  DE RL  DE  CV</t>
  </si>
  <si>
    <t>D    571</t>
  </si>
  <si>
    <t>F-1330864</t>
  </si>
  <si>
    <t>LJIMENEZ:MENSUALIDAD SIENNA FEBRERO</t>
  </si>
  <si>
    <t>D    607</t>
  </si>
  <si>
    <t>0327-TCN14</t>
  </si>
  <si>
    <t>CEVER  LOMAS  VERDES  S DE RL DE CV</t>
  </si>
  <si>
    <t>0328-TCN14</t>
  </si>
  <si>
    <t>AM-0001055</t>
  </si>
  <si>
    <t>D    693</t>
  </si>
  <si>
    <t>AM-0001067</t>
  </si>
  <si>
    <t>D    694</t>
  </si>
  <si>
    <t>AM-0001072</t>
  </si>
  <si>
    <t>D    751</t>
  </si>
  <si>
    <t>0329-TCN14</t>
  </si>
  <si>
    <t>TOYOMOTORS  S DE RL DE  CV</t>
  </si>
  <si>
    <t>D    752</t>
  </si>
  <si>
    <t>0330-TCN14</t>
  </si>
  <si>
    <t>DURANGO AUTOMOTORES S DE RL DE CV</t>
  </si>
  <si>
    <t>0331-TCN14</t>
  </si>
  <si>
    <t>D    783</t>
  </si>
  <si>
    <t>0332-TCN14</t>
  </si>
  <si>
    <t>LIDERZGO AUTOMOTRIZ DE  PUEBLA</t>
  </si>
  <si>
    <t>D    818</t>
  </si>
  <si>
    <t>COMP.VIATICOS ELIZABETH SALDAÑ</t>
  </si>
  <si>
    <t>D    820</t>
  </si>
  <si>
    <t>COMP.VIATICOS RUBI DENISSE MAR</t>
  </si>
  <si>
    <t>D    858</t>
  </si>
  <si>
    <t>0333-TCN14</t>
  </si>
  <si>
    <t>DALTON AUTOMOTRIZ S DE RL DE CV</t>
  </si>
  <si>
    <t>D    923</t>
  </si>
  <si>
    <t>COMPROB.VIATICOSERIKA CAZARES</t>
  </si>
  <si>
    <t>D  1,035</t>
  </si>
  <si>
    <t>0335-TCN14</t>
  </si>
  <si>
    <t>GRUPO PENNINSULA  MOTORS  S DE RL D</t>
  </si>
  <si>
    <t>D  1,036</t>
  </si>
  <si>
    <t>0334-TCN14</t>
  </si>
  <si>
    <t>D  1,099</t>
  </si>
  <si>
    <t>COMP.VIATI</t>
  </si>
  <si>
    <t>COMPROB.VIATICOS JAVIER SANCHE</t>
  </si>
  <si>
    <t>D  1,110</t>
  </si>
  <si>
    <t>0336-TCN14</t>
  </si>
  <si>
    <t>CEVER  LOMAS VERDES  S DE RL  DE CV</t>
  </si>
  <si>
    <t>D  1,114</t>
  </si>
  <si>
    <t>0337-TCN14</t>
  </si>
  <si>
    <t>CEVER  TOLUCA S DE RL DE CV</t>
  </si>
  <si>
    <t>S000815</t>
  </si>
  <si>
    <t>D  1,136</t>
  </si>
  <si>
    <t>S000814</t>
  </si>
  <si>
    <t>D  1,137</t>
  </si>
  <si>
    <t>ALEJANDRO DIEGO RODRIGUEZ</t>
  </si>
  <si>
    <t>D  1,138</t>
  </si>
  <si>
    <t>R001201</t>
  </si>
  <si>
    <t>DANIEL ARREDONDO ESPINOSA</t>
  </si>
  <si>
    <t>D  1,139</t>
  </si>
  <si>
    <t>D  1,140</t>
  </si>
  <si>
    <t>P006309</t>
  </si>
  <si>
    <t>D  1,143</t>
  </si>
  <si>
    <t>NUEVA WALTMART DE MEXICO S DE</t>
  </si>
  <si>
    <t>D  1,144</t>
  </si>
  <si>
    <t>P006311</t>
  </si>
  <si>
    <t>MARILUZ HERNANDEZ BRIBIESCA</t>
  </si>
  <si>
    <t>D  1,145</t>
  </si>
  <si>
    <t>P006312</t>
  </si>
  <si>
    <t>COEL SA DE CV</t>
  </si>
  <si>
    <t>D  1,146</t>
  </si>
  <si>
    <t>P006313</t>
  </si>
  <si>
    <t>D  1,147</t>
  </si>
  <si>
    <t>P006315</t>
  </si>
  <si>
    <t>YAZMIN IVONNE VASQUEZ ALCANTAR</t>
  </si>
  <si>
    <t>D  1,148</t>
  </si>
  <si>
    <t>P006318</t>
  </si>
  <si>
    <t>D  1,151</t>
  </si>
  <si>
    <t>P006320</t>
  </si>
  <si>
    <t>D  1,152</t>
  </si>
  <si>
    <t>P006321</t>
  </si>
  <si>
    <t>P006323</t>
  </si>
  <si>
    <t>D  1,157</t>
  </si>
  <si>
    <t>P006333</t>
  </si>
  <si>
    <t>D  1,158</t>
  </si>
  <si>
    <t>P006336</t>
  </si>
  <si>
    <t>P006337</t>
  </si>
  <si>
    <t>MARIANA HAYDEE DELGADO ARRASTI</t>
  </si>
  <si>
    <t>D  1,160</t>
  </si>
  <si>
    <t>P006338</t>
  </si>
  <si>
    <t>D  1,161</t>
  </si>
  <si>
    <t>P006349</t>
  </si>
  <si>
    <t>D  1,165</t>
  </si>
  <si>
    <t>S000829</t>
  </si>
  <si>
    <t>RECTIFICACIONES VAZCO SA DE CV</t>
  </si>
  <si>
    <t>D  1,168</t>
  </si>
  <si>
    <t>P006355</t>
  </si>
  <si>
    <t>GLORIA VALLE DAMIAN</t>
  </si>
  <si>
    <t>D  1,171</t>
  </si>
  <si>
    <t>P006357</t>
  </si>
  <si>
    <t>GASTOS VARIOS</t>
  </si>
  <si>
    <t>D  1,177</t>
  </si>
  <si>
    <t>P006368</t>
  </si>
  <si>
    <t>EBORDEX S DE RL DE CV</t>
  </si>
  <si>
    <t>D  1,179</t>
  </si>
  <si>
    <t>P006369</t>
  </si>
  <si>
    <t>D  1,181</t>
  </si>
  <si>
    <t>P006375</t>
  </si>
  <si>
    <t>D  1,182</t>
  </si>
  <si>
    <t>P006376</t>
  </si>
  <si>
    <t>COMPAÑIA FERRETERA NUEVO MUNDO</t>
  </si>
  <si>
    <t>D  1,184</t>
  </si>
  <si>
    <t>P006377</t>
  </si>
  <si>
    <t>AUTOZONE DE MEXICO S DE RL CV</t>
  </si>
  <si>
    <t>D  1,185</t>
  </si>
  <si>
    <t>P006378</t>
  </si>
  <si>
    <t>D  1,186</t>
  </si>
  <si>
    <t>D  1,187</t>
  </si>
  <si>
    <t>BAJIO TECH COPY SA DE CV</t>
  </si>
  <si>
    <t>D  1,188</t>
  </si>
  <si>
    <t>S000831</t>
  </si>
  <si>
    <t>D  1,191</t>
  </si>
  <si>
    <t>0338-TCN14</t>
  </si>
  <si>
    <t>ALDEN SATELITE S DE RL DE CV</t>
  </si>
  <si>
    <t>0339-TCN14</t>
  </si>
  <si>
    <t>TOY MORELOS S DE RL DE CV</t>
  </si>
  <si>
    <t>D  1,319</t>
  </si>
  <si>
    <t>0340-TCN14</t>
  </si>
  <si>
    <t>D  1,323</t>
  </si>
  <si>
    <t>0341-TCN14</t>
  </si>
  <si>
    <t>VALOR  MOTRIZ S DE RL DE CV</t>
  </si>
  <si>
    <t>D  1,325</t>
  </si>
  <si>
    <t>0342-TCN14</t>
  </si>
  <si>
    <t>AUTOMOTRIZ OAXACA DE  ANTEQUERA S D</t>
  </si>
  <si>
    <t>D  1,326</t>
  </si>
  <si>
    <t>0343-TCN14</t>
  </si>
  <si>
    <t>D  1,352</t>
  </si>
  <si>
    <t>0344-TCN14</t>
  </si>
  <si>
    <t>D  1,356</t>
  </si>
  <si>
    <t>0345-TCN14</t>
  </si>
  <si>
    <t>CCD, AUTOSALES  PUERTO  VALLARTA</t>
  </si>
  <si>
    <t>D  1,409</t>
  </si>
  <si>
    <t>0348-TCN14</t>
  </si>
  <si>
    <t>D  1,416</t>
  </si>
  <si>
    <t>0349-TCN14</t>
  </si>
  <si>
    <t>D  1,420</t>
  </si>
  <si>
    <t>0351-TCN14</t>
  </si>
  <si>
    <t>0352-TCN14</t>
  </si>
  <si>
    <t>D  1,440</t>
  </si>
  <si>
    <t>D  1,470</t>
  </si>
  <si>
    <t>0353-TCN14</t>
  </si>
  <si>
    <t>D  1,475</t>
  </si>
  <si>
    <t>0354-TCN14</t>
  </si>
  <si>
    <t>D  1,478</t>
  </si>
  <si>
    <t>0355-TCN14</t>
  </si>
  <si>
    <t>D  1,479</t>
  </si>
  <si>
    <t>0356-TCN14</t>
  </si>
  <si>
    <t>D  1,623</t>
  </si>
  <si>
    <t>0358-TCN14</t>
  </si>
  <si>
    <t>VALOR  FARRERA AUTOMOTRIZ S DE RL D</t>
  </si>
  <si>
    <t>D  1,649</t>
  </si>
  <si>
    <t>0361-TCN14</t>
  </si>
  <si>
    <t>D  1,650</t>
  </si>
  <si>
    <t>0359-TCN14</t>
  </si>
  <si>
    <t>D  1,651</t>
  </si>
  <si>
    <t>0360-TCN14</t>
  </si>
  <si>
    <t>D  1,652</t>
  </si>
  <si>
    <t>0357-TCN14</t>
  </si>
  <si>
    <t>D  1,688</t>
  </si>
  <si>
    <t>0983-TCN13</t>
  </si>
  <si>
    <t>ALDEN QUERERARO S DE RL  DE  CV</t>
  </si>
  <si>
    <t>D  1,750</t>
  </si>
  <si>
    <t>0362-TCN14</t>
  </si>
  <si>
    <t>CEVER TOLUCA  S DE RL  DE  CV</t>
  </si>
  <si>
    <t>D  1,836</t>
  </si>
  <si>
    <t>COM.FEB</t>
  </si>
  <si>
    <t>COMISION FEB AL 28/02/2014</t>
  </si>
  <si>
    <t>D  1,841</t>
  </si>
  <si>
    <t>COM.BMXFEB</t>
  </si>
  <si>
    <t>COM.BMX FEB/2014</t>
  </si>
  <si>
    <t>D  1,865</t>
  </si>
  <si>
    <t>0363-TCN14</t>
  </si>
  <si>
    <t>CEVER  TOLUCA S DE RL  DE CV</t>
  </si>
  <si>
    <t>D  1,867</t>
  </si>
  <si>
    <t>0364-TCN14</t>
  </si>
  <si>
    <t>D  1,895</t>
  </si>
  <si>
    <t>AM-0001102</t>
  </si>
  <si>
    <t>COMP.VIATICOS JAVIER SANCHEZ V</t>
  </si>
  <si>
    <t>D  1,927</t>
  </si>
  <si>
    <t>p006344</t>
  </si>
  <si>
    <t>TRASLADO OAXACA A CYA SIENNA</t>
  </si>
  <si>
    <t>D  1,929</t>
  </si>
  <si>
    <t>P006360</t>
  </si>
  <si>
    <t>TRASLADO PUEBLA A GUADALAJARA</t>
  </si>
  <si>
    <t>P006364</t>
  </si>
  <si>
    <t>TRASLADO OAXACA A CYA HILUX</t>
  </si>
  <si>
    <t>D  1,933</t>
  </si>
  <si>
    <t>P006366</t>
  </si>
  <si>
    <t>TRASLADO IRAPUATO A CYA HILUX</t>
  </si>
  <si>
    <t>D  1,935</t>
  </si>
  <si>
    <t>CASETAS I.F.Z</t>
  </si>
  <si>
    <t>D  1,936</t>
  </si>
  <si>
    <t>D  1,940</t>
  </si>
  <si>
    <t>P006528</t>
  </si>
  <si>
    <t>TRASLADO GUADALAJARA A CYA SIE</t>
  </si>
  <si>
    <t>D  1,941</t>
  </si>
  <si>
    <t>P006530</t>
  </si>
  <si>
    <t>TRASLADO AEROPUERTO-CYA COROLL</t>
  </si>
  <si>
    <t>D  1,944</t>
  </si>
  <si>
    <t>P006532</t>
  </si>
  <si>
    <t>TRASLADO LOMAS VERDES-CYA TACO</t>
  </si>
  <si>
    <t>D  1,946</t>
  </si>
  <si>
    <t>P006534</t>
  </si>
  <si>
    <t>TRASLADO VALLARTA-CYA HILUX</t>
  </si>
  <si>
    <t>D  1,948</t>
  </si>
  <si>
    <t>P006536</t>
  </si>
  <si>
    <t>TRASLADO LOMAS VERDES-CYA SIEN</t>
  </si>
  <si>
    <t>D  1,949</t>
  </si>
  <si>
    <t>P006387</t>
  </si>
  <si>
    <t>REDPACK SA DE CV</t>
  </si>
  <si>
    <t>D  1,950</t>
  </si>
  <si>
    <t>JUAN CARLOS AGUILA ESTRADA</t>
  </si>
  <si>
    <t>D  1,951</t>
  </si>
  <si>
    <t>D  1,952</t>
  </si>
  <si>
    <t>CENTRO METALICO DEL BAJIO SA C</t>
  </si>
  <si>
    <t>D  1,953</t>
  </si>
  <si>
    <t>LJIMENEZ:MARILUZ HERNANDEZ BRIBIESC</t>
  </si>
  <si>
    <t>D  1,956</t>
  </si>
  <si>
    <t>D  1,957</t>
  </si>
  <si>
    <t>MIGUEL ANGEL CHAVEZ MANRIQUE</t>
  </si>
  <si>
    <t>D  1,958</t>
  </si>
  <si>
    <t>D  1,959</t>
  </si>
  <si>
    <t>D  1,963</t>
  </si>
  <si>
    <t>D  1,966</t>
  </si>
  <si>
    <t>OFFICE DEPOT DE MEXICO S DE RL</t>
  </si>
  <si>
    <t>D  1,967</t>
  </si>
  <si>
    <t>DISTRIBUIDORA LIVERPOOL SA DE</t>
  </si>
  <si>
    <t>D  1,968</t>
  </si>
  <si>
    <t>PERITO MORENO S DE RL DE CV</t>
  </si>
  <si>
    <t>D  1,970</t>
  </si>
  <si>
    <t>R001219</t>
  </si>
  <si>
    <t>D  1,971</t>
  </si>
  <si>
    <t>S000875</t>
  </si>
  <si>
    <t>D  1,972</t>
  </si>
  <si>
    <t>S000835</t>
  </si>
  <si>
    <t>D  1,973</t>
  </si>
  <si>
    <t>S000883</t>
  </si>
  <si>
    <t>AVALOS MENDEZ FRANCISCO JAVIER</t>
  </si>
  <si>
    <t>D  1,974</t>
  </si>
  <si>
    <t>S000841</t>
  </si>
  <si>
    <t>D  1,975</t>
  </si>
  <si>
    <t>S000840</t>
  </si>
  <si>
    <t>D  1,976</t>
  </si>
  <si>
    <t>P006362</t>
  </si>
  <si>
    <t>TRASLADO GUADALAJARA-CYA COROL</t>
  </si>
  <si>
    <t>D  1,979</t>
  </si>
  <si>
    <t>P006342</t>
  </si>
  <si>
    <t>TRASLADO POLANCO-SALINA CRUZ C</t>
  </si>
  <si>
    <t>D  1,981</t>
  </si>
  <si>
    <t>P006345</t>
  </si>
  <si>
    <t>TRASLADO TOLUCA-CYA RAV4</t>
  </si>
  <si>
    <t>D  1,983</t>
  </si>
  <si>
    <t>P006347</t>
  </si>
  <si>
    <t>TRASLADO INTERLOMAS-CYA HIGHLA</t>
  </si>
  <si>
    <t>D  1,985</t>
  </si>
  <si>
    <t>P006398</t>
  </si>
  <si>
    <t>TRASLADO RAV4 MERIDA YUCATAN-C</t>
  </si>
  <si>
    <t>D  1,987</t>
  </si>
  <si>
    <t>TRASLADO SLP-SUBARU QRO</t>
  </si>
  <si>
    <t>D  1,989</t>
  </si>
  <si>
    <t>P006503</t>
  </si>
  <si>
    <t>TRASLADO SALINA CRUZ OAXACA-CY</t>
  </si>
  <si>
    <t>D  1,991</t>
  </si>
  <si>
    <t>P006505</t>
  </si>
  <si>
    <t>TRASLADO TOLUCA-CYA YARIS</t>
  </si>
  <si>
    <t>D  1,993</t>
  </si>
  <si>
    <t>P006507</t>
  </si>
  <si>
    <t>TRASLADO NAYARIT-CYA SIENNA</t>
  </si>
  <si>
    <t>D  2,010</t>
  </si>
  <si>
    <t>FAC-14723</t>
  </si>
  <si>
    <t>LJIMENEZ:CUOTA EXTRAORDINARIA   201</t>
  </si>
  <si>
    <t>CH-13800</t>
  </si>
  <si>
    <t>CH-13801</t>
  </si>
  <si>
    <t>LJIMENEZ:CONSULTORES &amp; ASESORES INT</t>
  </si>
  <si>
    <t>E      7</t>
  </si>
  <si>
    <t>CH-13804</t>
  </si>
  <si>
    <t>E     15</t>
  </si>
  <si>
    <t>CH-13810</t>
  </si>
  <si>
    <t>JUNTA MUNICIPAL DE AGUA POTABLE Y A</t>
  </si>
  <si>
    <t>E     19</t>
  </si>
  <si>
    <t>CH-13817</t>
  </si>
  <si>
    <t>E     35</t>
  </si>
  <si>
    <t>CH-13823</t>
  </si>
  <si>
    <t>CH-13826</t>
  </si>
  <si>
    <t>CH-13827</t>
  </si>
  <si>
    <t>VASQUEZ ALCANTARA YAZMIN IVONNE</t>
  </si>
  <si>
    <t>CH-13828</t>
  </si>
  <si>
    <t>CH-13831</t>
  </si>
  <si>
    <t>E     47</t>
  </si>
  <si>
    <t>CH-13835</t>
  </si>
  <si>
    <t>E     49</t>
  </si>
  <si>
    <t>CH-13837</t>
  </si>
  <si>
    <t>T-385</t>
  </si>
  <si>
    <t>E     53</t>
  </si>
  <si>
    <t>T-884</t>
  </si>
  <si>
    <t>E     54</t>
  </si>
  <si>
    <t>T-885</t>
  </si>
  <si>
    <t>E     66</t>
  </si>
  <si>
    <t>T-386</t>
  </si>
  <si>
    <t>E     67</t>
  </si>
  <si>
    <t>CH-13846</t>
  </si>
  <si>
    <t>E     68</t>
  </si>
  <si>
    <t>CH-13847</t>
  </si>
  <si>
    <t>CH-13848</t>
  </si>
  <si>
    <t>CH-13850</t>
  </si>
  <si>
    <t>CH-13851</t>
  </si>
  <si>
    <t>E     84</t>
  </si>
  <si>
    <t>CH-13859</t>
  </si>
  <si>
    <t>E     85</t>
  </si>
  <si>
    <t>CH-13860</t>
  </si>
  <si>
    <t>E     86</t>
  </si>
  <si>
    <t>CH-13861</t>
  </si>
  <si>
    <t>CH-13863</t>
  </si>
  <si>
    <t>CH-13864</t>
  </si>
  <si>
    <t>CH-13865</t>
  </si>
  <si>
    <t>STERLING ARANA RICARDO EUGENIO</t>
  </si>
  <si>
    <t>E     93</t>
  </si>
  <si>
    <t>CH-13870</t>
  </si>
  <si>
    <t>E     94</t>
  </si>
  <si>
    <t>CH-13869</t>
  </si>
  <si>
    <t>T-387</t>
  </si>
  <si>
    <t>T-388</t>
  </si>
  <si>
    <t>E     97</t>
  </si>
  <si>
    <t>T-887</t>
  </si>
  <si>
    <t>MASTER TECNOCEL SA DE CV</t>
  </si>
  <si>
    <t>T-888</t>
  </si>
  <si>
    <t>CIA PERIODISTICA DEL SOL DE CELAYA,</t>
  </si>
  <si>
    <t>E     99</t>
  </si>
  <si>
    <t>T-889</t>
  </si>
  <si>
    <t>E    100</t>
  </si>
  <si>
    <t>T-890</t>
  </si>
  <si>
    <t>E    101</t>
  </si>
  <si>
    <t>T-891</t>
  </si>
  <si>
    <t>LJIMENEZ:SEVIBA S.A. DE C.V</t>
  </si>
  <si>
    <t>E    102</t>
  </si>
  <si>
    <t>T-892</t>
  </si>
  <si>
    <t>E    103</t>
  </si>
  <si>
    <t>T-893</t>
  </si>
  <si>
    <t>E    104</t>
  </si>
  <si>
    <t>T-894</t>
  </si>
  <si>
    <t>E    107</t>
  </si>
  <si>
    <t>T-390</t>
  </si>
  <si>
    <t>E    108</t>
  </si>
  <si>
    <t>T-895</t>
  </si>
  <si>
    <t>T-391</t>
  </si>
  <si>
    <t>T-896</t>
  </si>
  <si>
    <t>T-897</t>
  </si>
  <si>
    <t>T-898</t>
  </si>
  <si>
    <t>T-899</t>
  </si>
  <si>
    <t>T-392</t>
  </si>
  <si>
    <t>T-900</t>
  </si>
  <si>
    <t>T-901</t>
  </si>
  <si>
    <t>T-902</t>
  </si>
  <si>
    <t>T-903</t>
  </si>
  <si>
    <t>T-904</t>
  </si>
  <si>
    <t>IMPULSORA DE TRANSPORTES MEXICANOS,</t>
  </si>
  <si>
    <t>T-905</t>
  </si>
  <si>
    <t>T-906</t>
  </si>
  <si>
    <t>E    122</t>
  </si>
  <si>
    <t>T-907</t>
  </si>
  <si>
    <t>DAGESA EXTINTORES SA DE CV</t>
  </si>
  <si>
    <t>E    123</t>
  </si>
  <si>
    <t>T-908</t>
  </si>
  <si>
    <t>T-909</t>
  </si>
  <si>
    <t>T-911</t>
  </si>
  <si>
    <t>E    130</t>
  </si>
  <si>
    <t>T-912</t>
  </si>
  <si>
    <t>1915 AUDITORIA Y FINANZAS, S.C.</t>
  </si>
  <si>
    <t>E    131</t>
  </si>
  <si>
    <t>T-913</t>
  </si>
  <si>
    <t>CH-13868</t>
  </si>
  <si>
    <t>E    137</t>
  </si>
  <si>
    <t>CH-13872</t>
  </si>
  <si>
    <t>E    138</t>
  </si>
  <si>
    <t>CH-13873</t>
  </si>
  <si>
    <t>E    139</t>
  </si>
  <si>
    <t>CH-13874</t>
  </si>
  <si>
    <t>CH-13876</t>
  </si>
  <si>
    <t>CH-13877</t>
  </si>
  <si>
    <t>E    143</t>
  </si>
  <si>
    <t>CH-13878</t>
  </si>
  <si>
    <t>CH-13879</t>
  </si>
  <si>
    <t>CH-13880</t>
  </si>
  <si>
    <t>CH-13882</t>
  </si>
  <si>
    <t>E    148</t>
  </si>
  <si>
    <t>CH-13883</t>
  </si>
  <si>
    <t>RECTIFICACIONES VAZCO S.A. DE C.V.</t>
  </si>
  <si>
    <t>CH-13884</t>
  </si>
  <si>
    <t>LJIMENEZ:ASOCIACION MEXICANA DE DIS</t>
  </si>
  <si>
    <t>E    153</t>
  </si>
  <si>
    <t>T-914</t>
  </si>
  <si>
    <t>E    155</t>
  </si>
  <si>
    <t>CH-13888</t>
  </si>
  <si>
    <t>E    156</t>
  </si>
  <si>
    <t>CH-13889</t>
  </si>
  <si>
    <t>CH-13893</t>
  </si>
  <si>
    <t>CH-13887</t>
  </si>
  <si>
    <t>E    164</t>
  </si>
  <si>
    <t>CH-13896</t>
  </si>
  <si>
    <t>E    166</t>
  </si>
  <si>
    <t>CH-13897</t>
  </si>
  <si>
    <t>CH-13898</t>
  </si>
  <si>
    <t>E    179</t>
  </si>
  <si>
    <t>CH-13901</t>
  </si>
  <si>
    <t>E    180</t>
  </si>
  <si>
    <t>CH-13902</t>
  </si>
  <si>
    <t>CH-13903</t>
  </si>
  <si>
    <t>LJIMENEZ:TOYOTA FINANCIAL SERVICES</t>
  </si>
  <si>
    <t>CH-13904</t>
  </si>
  <si>
    <t>CH-13905</t>
  </si>
  <si>
    <t>E    185</t>
  </si>
  <si>
    <t>CH-13906</t>
  </si>
  <si>
    <t>CH-13912</t>
  </si>
  <si>
    <t>CH-13913</t>
  </si>
  <si>
    <t>CH-13914</t>
  </si>
  <si>
    <t>CH-13915</t>
  </si>
  <si>
    <t>CH-13917</t>
  </si>
  <si>
    <t>E    203</t>
  </si>
  <si>
    <t>CH-13918</t>
  </si>
  <si>
    <t>E    206</t>
  </si>
  <si>
    <t>COM.FEB AL 26/02/2013</t>
  </si>
  <si>
    <t>CH-13920</t>
  </si>
  <si>
    <t>CH-13921</t>
  </si>
  <si>
    <t>CH-13922</t>
  </si>
  <si>
    <t>CH-13923</t>
  </si>
  <si>
    <t>CH-13924</t>
  </si>
  <si>
    <t>CH-13925</t>
  </si>
  <si>
    <t>E    215</t>
  </si>
  <si>
    <t>CH-13927</t>
  </si>
  <si>
    <t>CH-13928</t>
  </si>
  <si>
    <t>CH-13929</t>
  </si>
  <si>
    <t>CH-13930</t>
  </si>
  <si>
    <t>T-916</t>
  </si>
  <si>
    <t>QUALIA TECH SA DE CV</t>
  </si>
  <si>
    <t>T-917</t>
  </si>
  <si>
    <t>T-918</t>
  </si>
  <si>
    <t>T-919</t>
  </si>
  <si>
    <t>T-920</t>
  </si>
  <si>
    <t>IMPRESIONES FINAS DEL CENTRO SA DE</t>
  </si>
  <si>
    <t>T-921</t>
  </si>
  <si>
    <t>T-393</t>
  </si>
  <si>
    <t>E    235</t>
  </si>
  <si>
    <t>T-922</t>
  </si>
  <si>
    <t>E    236</t>
  </si>
  <si>
    <t>T-923</t>
  </si>
  <si>
    <t>E    237</t>
  </si>
  <si>
    <t>T-924</t>
  </si>
  <si>
    <t>T-925</t>
  </si>
  <si>
    <t>E    239</t>
  </si>
  <si>
    <t>T-926</t>
  </si>
  <si>
    <t>T-927</t>
  </si>
  <si>
    <t>T-928</t>
  </si>
  <si>
    <t>E    242</t>
  </si>
  <si>
    <t>T-929</t>
  </si>
  <si>
    <t>E    243</t>
  </si>
  <si>
    <t>T-394</t>
  </si>
  <si>
    <t>E    244</t>
  </si>
  <si>
    <t>T-395</t>
  </si>
  <si>
    <t>T-930</t>
  </si>
  <si>
    <t>WURTH MEXICO, S.A. DE C.V.</t>
  </si>
  <si>
    <t>E    248</t>
  </si>
  <si>
    <t>T-396</t>
  </si>
  <si>
    <t>E    249</t>
  </si>
  <si>
    <t>T-932</t>
  </si>
  <si>
    <t>IPSOS BIMSA SA DE CV</t>
  </si>
  <si>
    <t>E    250</t>
  </si>
  <si>
    <t>CH-13931</t>
  </si>
  <si>
    <t>LJIMENEZ:CAMPERO CRUZ ALFONSO</t>
  </si>
  <si>
    <t>E    251</t>
  </si>
  <si>
    <t>CH-13932</t>
  </si>
  <si>
    <t>CH-13933</t>
  </si>
  <si>
    <t>E    254</t>
  </si>
  <si>
    <t>CH-13936</t>
  </si>
  <si>
    <t>E    257</t>
  </si>
  <si>
    <t>COM.STDR</t>
  </si>
  <si>
    <t>COM.SANTANDER FEB/2014</t>
  </si>
  <si>
    <t>E    259</t>
  </si>
  <si>
    <t>COMISIONES AMEX FEB-2014</t>
  </si>
  <si>
    <t>E    260</t>
  </si>
  <si>
    <t>T-933</t>
  </si>
  <si>
    <t>E    261</t>
  </si>
  <si>
    <t>T-934</t>
  </si>
  <si>
    <t>E    262</t>
  </si>
  <si>
    <t>T-935</t>
  </si>
  <si>
    <t>COM.INVLT</t>
  </si>
  <si>
    <t>COMISION INVERLAT FEB-2014</t>
  </si>
  <si>
    <t>COM.STDER</t>
  </si>
  <si>
    <t>COMISION SANTANDER FEB-2014</t>
  </si>
  <si>
    <t>E    268</t>
  </si>
  <si>
    <t>COM.BJIO</t>
  </si>
  <si>
    <t>COMISION BAJIO FEB-2014</t>
  </si>
  <si>
    <t>COM.BNTE</t>
  </si>
  <si>
    <t>COMISIONES BANORTE FEB-2014</t>
  </si>
  <si>
    <t>E    271</t>
  </si>
  <si>
    <t>COM.BMX</t>
  </si>
  <si>
    <t>E    274</t>
  </si>
  <si>
    <t>CH-13934RE</t>
  </si>
  <si>
    <t>REFACCIONES CH-13934</t>
  </si>
  <si>
    <t>MNQ101025MC4</t>
  </si>
  <si>
    <t>ASA020131VB9</t>
  </si>
  <si>
    <t>ALDEN SATELITE  S DE RL DE CV</t>
  </si>
  <si>
    <t>ROAA840915TS5</t>
  </si>
  <si>
    <t>ATS020806JZ3</t>
  </si>
  <si>
    <t>AAMF550324LF5</t>
  </si>
  <si>
    <t>CCD  AUTOSALES  PUERTO  VALLARTA</t>
  </si>
  <si>
    <t>CMB9802181M3</t>
  </si>
  <si>
    <t>CPS780919KCA</t>
  </si>
  <si>
    <t>COE9510055R6</t>
  </si>
  <si>
    <t xml:space="preserve">BANCO DEL BAJIO, SA </t>
  </si>
  <si>
    <t>BAZF520129RT1</t>
  </si>
  <si>
    <t xml:space="preserve">FRANCISCO JAVIER BRAVO </t>
  </si>
  <si>
    <t>OCE1309254G7</t>
  </si>
  <si>
    <t xml:space="preserve">LA ORUGA Y LA CEBADA SA DE CV </t>
  </si>
  <si>
    <t xml:space="preserve">RESTAURANTE LA PARROQUIA POTOSINA </t>
  </si>
  <si>
    <t xml:space="preserve">PRIMERA PLUS </t>
  </si>
  <si>
    <t xml:space="preserve">AUTOBUSES PRIMERA PLUS </t>
  </si>
  <si>
    <t>INVERSIONES POTOSINAS SA DE CV</t>
  </si>
  <si>
    <t>ISR101020SBA</t>
  </si>
  <si>
    <t xml:space="preserve">ISRAELDEZ SA DE CV </t>
  </si>
  <si>
    <t>GLOBAL</t>
  </si>
  <si>
    <t>AUTOBUSES PRIMERA PLUS</t>
  </si>
  <si>
    <t>FRANCISCO JAVIER BRAVO ZAMORA</t>
  </si>
  <si>
    <t xml:space="preserve">FRANCISCO JAVIER BRAVO ZAMORA </t>
  </si>
  <si>
    <t>DEX0908037C1</t>
  </si>
  <si>
    <t>AEED6206049S3</t>
  </si>
  <si>
    <t>DLI931201MI9</t>
  </si>
  <si>
    <t>DAU0511111HA</t>
  </si>
  <si>
    <t>DURANGO AUTOMOTORES  S DE R.L. DE C</t>
  </si>
  <si>
    <t>EBO090624DA8</t>
  </si>
  <si>
    <t>ARC990802617</t>
  </si>
  <si>
    <t xml:space="preserve">ATENCION A CLIENTES TRES SA DE CV </t>
  </si>
  <si>
    <t>MSU001122M38</t>
  </si>
  <si>
    <t xml:space="preserve">MEX SUI SA DE CV </t>
  </si>
  <si>
    <t xml:space="preserve">ESTACIONES DE SERVICIO SA DE CV </t>
  </si>
  <si>
    <t xml:space="preserve">ATENCION RAPIDA A CLIENTES TRES SA DE CV </t>
  </si>
  <si>
    <t>GJO840215UW9</t>
  </si>
  <si>
    <t xml:space="preserve">GASTRONOMICA JOSECHO SA DE CV </t>
  </si>
  <si>
    <t>JUNTA MUNICIPAL DE AGUA</t>
  </si>
  <si>
    <t>VADG570615HU8</t>
  </si>
  <si>
    <t>GPM080609PV6</t>
  </si>
  <si>
    <t>GRUPO  PENNINSULA  MOTORS  S DE RL</t>
  </si>
  <si>
    <t>IFC011107L9A</t>
  </si>
  <si>
    <t>ITM8012013N0</t>
  </si>
  <si>
    <t>BIM850201QI0</t>
  </si>
  <si>
    <t>AUEJ820524G23</t>
  </si>
  <si>
    <t>HEBM781017UQ1</t>
  </si>
  <si>
    <t>MARILUZ HERNANDEZ BRIBIESC</t>
  </si>
  <si>
    <t>QUERETARO MOTORS, SA</t>
  </si>
  <si>
    <t>DEAM830915G44</t>
  </si>
  <si>
    <t>MTE060713J74</t>
  </si>
  <si>
    <t>CAMM880825PU8</t>
  </si>
  <si>
    <t>PMO130423TS6</t>
  </si>
  <si>
    <t>QTE120608GX1</t>
  </si>
  <si>
    <t>RVA820930462</t>
  </si>
  <si>
    <t>SEAE8106183T6</t>
  </si>
  <si>
    <t>TMO050928IX4</t>
  </si>
  <si>
    <t>TOY MORELOS S D E RL DE CV</t>
  </si>
  <si>
    <t>CAL980826GA3</t>
  </si>
  <si>
    <t xml:space="preserve">COMERCIALIZADORA ALEXA, </t>
  </si>
  <si>
    <t xml:space="preserve">ABASTECEDORA LA MORENITA </t>
  </si>
  <si>
    <t>CFO020815IV7</t>
  </si>
  <si>
    <t>COMERCIALIZADORA FELIZ DE OCCI</t>
  </si>
  <si>
    <t>D  1,942</t>
  </si>
  <si>
    <t>D  1,977</t>
  </si>
  <si>
    <t xml:space="preserve">ALIMENTARIA COMPANY S DE RL DE CV </t>
  </si>
  <si>
    <t xml:space="preserve">SERVICIO ULTRAMODERNO SA DE CV </t>
  </si>
  <si>
    <t>D  1,984</t>
  </si>
  <si>
    <t>P006539</t>
  </si>
  <si>
    <t>GRUPO OCTANO SA</t>
  </si>
  <si>
    <t>OHE011012I25</t>
  </si>
  <si>
    <t xml:space="preserve">OPERADORA LA HERRADURA SA DE CV </t>
  </si>
  <si>
    <t>OME561118AA8</t>
  </si>
  <si>
    <t xml:space="preserve">OMNIBUS DE MEXICO </t>
  </si>
  <si>
    <t>D  1,994</t>
  </si>
  <si>
    <t>D  1,995</t>
  </si>
  <si>
    <t>D  1,997</t>
  </si>
  <si>
    <t>D  1,998</t>
  </si>
  <si>
    <t>CMI100423CC4</t>
  </si>
  <si>
    <t xml:space="preserve">CIELO MIXTECO SA DE CV </t>
  </si>
  <si>
    <t>DOL0309207W1</t>
  </si>
  <si>
    <t xml:space="preserve">DOS OCEANOS LIBRAMIENTO SA DE CV </t>
  </si>
  <si>
    <t>REML670716FU4</t>
  </si>
  <si>
    <t xml:space="preserve">JOSE LUIS REGALADO MARTINEZ </t>
  </si>
  <si>
    <t>OGS9410276D3</t>
  </si>
  <si>
    <t>OPERADORA DE GASOLINERAS DEL SURESTE SA</t>
  </si>
  <si>
    <t>CSF971215LQ5</t>
  </si>
  <si>
    <t xml:space="preserve">CAFÉ SANTA FE SA DE CV </t>
  </si>
  <si>
    <t>MVA020701SD3</t>
  </si>
  <si>
    <t xml:space="preserve">MEGASERVICIO DEL VALLE SA DE CV </t>
  </si>
  <si>
    <t>SVC0211058A3</t>
  </si>
  <si>
    <t xml:space="preserve">SUPERSERVICIO VALLE DE CHALCO SA DE CV </t>
  </si>
  <si>
    <t>D  1,980</t>
  </si>
  <si>
    <t>D  1,982</t>
  </si>
  <si>
    <t>AUTOBUSES</t>
  </si>
  <si>
    <t>SERVICIO TEPEACA SA DE CV</t>
  </si>
  <si>
    <t>APU640930KV9</t>
  </si>
  <si>
    <t xml:space="preserve">AUTOS PULLMAN SA DE CV </t>
  </si>
  <si>
    <t>BEJA670111FG3</t>
  </si>
  <si>
    <t>ALICIA LIZETH BREMONT JONES</t>
  </si>
  <si>
    <t>CAMY620101IWA</t>
  </si>
  <si>
    <t>YOLANDA CASASNOVA</t>
  </si>
  <si>
    <t>CAPN820703SY9</t>
  </si>
  <si>
    <t xml:space="preserve">NADYA YAZMIN CHAVEZ PEREZ </t>
  </si>
  <si>
    <t xml:space="preserve">GRACIELA MARTINEZ TREJO </t>
  </si>
  <si>
    <t>PARI6702018I1</t>
  </si>
  <si>
    <t xml:space="preserve">INOCENCIA GREGORIA PALACIOS </t>
  </si>
  <si>
    <t>PET070308DH4</t>
  </si>
  <si>
    <t xml:space="preserve">PETROMERIDA SA </t>
  </si>
  <si>
    <t>SCR000404NU7</t>
  </si>
  <si>
    <t xml:space="preserve">SERVICIO DE COMBUSTIBLES RAYMEL SA DE CV </t>
  </si>
  <si>
    <t>SUT901218PD5</t>
  </si>
  <si>
    <t xml:space="preserve">SERVICIOS UNIDOS TINAJAS </t>
  </si>
  <si>
    <t>D  1,986</t>
  </si>
  <si>
    <t>D  1,988</t>
  </si>
  <si>
    <t>D  1,992</t>
  </si>
  <si>
    <t>AEB611030SN7</t>
  </si>
  <si>
    <t>AUTOBUSES ESTRELLA BLANCA</t>
  </si>
  <si>
    <t>PETRO 107 SA DE CV</t>
  </si>
  <si>
    <t>GOMJ630225H43</t>
  </si>
  <si>
    <t xml:space="preserve">JESUS MANUEL TENOCH GONZALEZ </t>
  </si>
  <si>
    <t>GHO091124SM3</t>
  </si>
  <si>
    <t xml:space="preserve">GRUPO HERRADURA OCCIDENTE SA DE CV </t>
  </si>
  <si>
    <t xml:space="preserve">OPERDARORA KAMERUN SA DE CV </t>
  </si>
  <si>
    <t xml:space="preserve">SERVICIO LAS JUNTAS </t>
  </si>
  <si>
    <t>AUT040825SV4</t>
  </si>
  <si>
    <t>VALOR FARRERA AUTOMOTRIZ S DE RL DE</t>
  </si>
  <si>
    <t>VMO030707273</t>
  </si>
  <si>
    <t>VALOR MOTRIZ  S  DE  RL DE  CV</t>
  </si>
  <si>
    <t>VAAY890313NK3</t>
  </si>
  <si>
    <t>WME9003078U2</t>
  </si>
  <si>
    <t>CACX690510NNA</t>
  </si>
  <si>
    <t>CAMPERO CRUZ ALFONSO</t>
  </si>
  <si>
    <t>AMD891005M19</t>
  </si>
  <si>
    <t>ASOCIACION MEXICANA DE DISTRIBUIDOR</t>
  </si>
  <si>
    <t>OPERADORA ALAMEDA PARK, S.A. DE C.V</t>
  </si>
  <si>
    <t>D      6</t>
  </si>
  <si>
    <t>0365-TCN14</t>
  </si>
  <si>
    <t>CEVER LOMAS VERDES  S DE RL DE CV</t>
  </si>
  <si>
    <t>D     98</t>
  </si>
  <si>
    <t>F-1350277</t>
  </si>
  <si>
    <t>LJIMENEZ:MENSUALIDAD HILUX MARZO</t>
  </si>
  <si>
    <t>D    100</t>
  </si>
  <si>
    <t>F-1327393</t>
  </si>
  <si>
    <t>LJIMENEZ:MENSUALIDAD COROLLA MARZO</t>
  </si>
  <si>
    <t>0367-TCN14</t>
  </si>
  <si>
    <t>TOYOMOTORS S.A  DE   DE CV.</t>
  </si>
  <si>
    <t>D    334</t>
  </si>
  <si>
    <t>0368-TCN14</t>
  </si>
  <si>
    <t>D    335</t>
  </si>
  <si>
    <t>0369-TCN14</t>
  </si>
  <si>
    <t>D    350</t>
  </si>
  <si>
    <t>0370-TCN14</t>
  </si>
  <si>
    <t>AUTOMOVILES  VALLEJO  S DE RL C.V.</t>
  </si>
  <si>
    <t>D    385</t>
  </si>
  <si>
    <t>0371-TCN14</t>
  </si>
  <si>
    <t>D    386</t>
  </si>
  <si>
    <t>0372-TCN14</t>
  </si>
  <si>
    <t>D    402</t>
  </si>
  <si>
    <t>0373-TCN14</t>
  </si>
  <si>
    <t>ALDEN QUERETARO  S DE RL DE CV</t>
  </si>
  <si>
    <t>D    421</t>
  </si>
  <si>
    <t>0374-TCN14</t>
  </si>
  <si>
    <t>TOYOMOTORS  DE LEON   S DE RL DE CV</t>
  </si>
  <si>
    <t>D    489</t>
  </si>
  <si>
    <t>0375-TCN14</t>
  </si>
  <si>
    <t>UNITED AUTO DE  MONTERREY</t>
  </si>
  <si>
    <t>D    541</t>
  </si>
  <si>
    <t>0376-TCN14</t>
  </si>
  <si>
    <t>CCD, AUTOSALES PUERTO VALARTA S DE</t>
  </si>
  <si>
    <t>D    586</t>
  </si>
  <si>
    <t>0378-TCN14</t>
  </si>
  <si>
    <t>TOY  MORELOS S DE RL DE  CV</t>
  </si>
  <si>
    <t>D    592</t>
  </si>
  <si>
    <t>AM-0001110</t>
  </si>
  <si>
    <t>D    645</t>
  </si>
  <si>
    <t>0379-TCN14</t>
  </si>
  <si>
    <t>AUTOMOVILES DINAMICOS S DE RL DE  C</t>
  </si>
  <si>
    <t>D    649</t>
  </si>
  <si>
    <t>D    655</t>
  </si>
  <si>
    <t>TRASLADO SATELITE-CYA</t>
  </si>
  <si>
    <t>D    659</t>
  </si>
  <si>
    <t>P006541</t>
  </si>
  <si>
    <t>TRASLADO VALLARTA-CYA AVANZA</t>
  </si>
  <si>
    <t>D    661</t>
  </si>
  <si>
    <t>P006543</t>
  </si>
  <si>
    <t>TRASLADO TOLUCA-CYA AVANZA</t>
  </si>
  <si>
    <t>D    663</t>
  </si>
  <si>
    <t>P006544</t>
  </si>
  <si>
    <t>TRASLADO VALLEJO-CYA HIGHLANDE</t>
  </si>
  <si>
    <t>D    665</t>
  </si>
  <si>
    <t>P006546</t>
  </si>
  <si>
    <t>TRASLADO VALLARTA-CYA COROLLA</t>
  </si>
  <si>
    <t>D    667</t>
  </si>
  <si>
    <t>P006548</t>
  </si>
  <si>
    <t>TRASLADO QRO-CYA HILUX</t>
  </si>
  <si>
    <t>D    668</t>
  </si>
  <si>
    <t>TRASLADO REYNOSA-CYA HILUX</t>
  </si>
  <si>
    <t>D    670</t>
  </si>
  <si>
    <t>TRASLADO CYA-TOLUCA HILUX</t>
  </si>
  <si>
    <t>D    672</t>
  </si>
  <si>
    <t>P006553</t>
  </si>
  <si>
    <t>TRASLADO LEON-CYA HILUX</t>
  </si>
  <si>
    <t>D    675</t>
  </si>
  <si>
    <t>P006554</t>
  </si>
  <si>
    <t>TRASLADO OAXACA-CYA SIENNA</t>
  </si>
  <si>
    <t>D    677</t>
  </si>
  <si>
    <t>P006556</t>
  </si>
  <si>
    <t>D    680</t>
  </si>
  <si>
    <t>P006558</t>
  </si>
  <si>
    <t>P006560</t>
  </si>
  <si>
    <t>TRASLADO SLP-CYA HIACE</t>
  </si>
  <si>
    <t>D    686</t>
  </si>
  <si>
    <t>TRASLADO MEXICO-CYA COROLLA</t>
  </si>
  <si>
    <t>TRASLADO CYA-GUADALAJARA SIENN</t>
  </si>
  <si>
    <t>TRASLADO VIN:ES411413</t>
  </si>
  <si>
    <t>D    695</t>
  </si>
  <si>
    <t>IMPRESIONES LASSER BEAM S RL C</t>
  </si>
  <si>
    <t>D    696</t>
  </si>
  <si>
    <t>NUEVA WALMART DE MEXICO S RL D</t>
  </si>
  <si>
    <t>D    698</t>
  </si>
  <si>
    <t>D    699</t>
  </si>
  <si>
    <t>D    703</t>
  </si>
  <si>
    <t>D    706</t>
  </si>
  <si>
    <t>D    707</t>
  </si>
  <si>
    <t>D    708</t>
  </si>
  <si>
    <t>PINTURAS ESTASE SA DE CV</t>
  </si>
  <si>
    <t>D    709</t>
  </si>
  <si>
    <t>D    710</t>
  </si>
  <si>
    <t>P006588</t>
  </si>
  <si>
    <t>GUILLERMO OCHOA NOLASCO</t>
  </si>
  <si>
    <t>D    711</t>
  </si>
  <si>
    <t>D    714</t>
  </si>
  <si>
    <t>D    715</t>
  </si>
  <si>
    <t>AUTOZONE DE MEXICO S RL DE CV</t>
  </si>
  <si>
    <t>D    716</t>
  </si>
  <si>
    <t>TRAPOTEX SA DE CV</t>
  </si>
  <si>
    <t>D    717</t>
  </si>
  <si>
    <t>S000880</t>
  </si>
  <si>
    <t>F-1353942</t>
  </si>
  <si>
    <t>LJIMENEZ:MENSIALIDA SIENNA MARZO</t>
  </si>
  <si>
    <t>D    721</t>
  </si>
  <si>
    <t>S000878</t>
  </si>
  <si>
    <t>MA. DEL RAYO FIGUEROA CORNEJO</t>
  </si>
  <si>
    <t>D    722</t>
  </si>
  <si>
    <t>S000848</t>
  </si>
  <si>
    <t>D    723</t>
  </si>
  <si>
    <t>S000845</t>
  </si>
  <si>
    <t>D    724</t>
  </si>
  <si>
    <t>S000844</t>
  </si>
  <si>
    <t>D    822</t>
  </si>
  <si>
    <t>0380-TCN14</t>
  </si>
  <si>
    <t>D    825</t>
  </si>
  <si>
    <t>0381-TCN14</t>
  </si>
  <si>
    <t>PROMOTORA  AUTOMOTRIZ  DE  SANTA  F</t>
  </si>
  <si>
    <t>D    829</t>
  </si>
  <si>
    <t>0382-TCN14</t>
  </si>
  <si>
    <t>D    848</t>
  </si>
  <si>
    <t>0383-TCN14</t>
  </si>
  <si>
    <t>AUTOMOVILES VALLEJO  S  DE RL DE CV</t>
  </si>
  <si>
    <t>D    849</t>
  </si>
  <si>
    <t>D    867</t>
  </si>
  <si>
    <t>0384-TCN14</t>
  </si>
  <si>
    <t>GRUPO PENNINSULA  MOTORS S DE CV</t>
  </si>
  <si>
    <t>D    870</t>
  </si>
  <si>
    <t>0385-TCN14</t>
  </si>
  <si>
    <t>LIDERAZGO AUTOMOTRIZ DE  ANGELOPOLI</t>
  </si>
  <si>
    <t>D    898</t>
  </si>
  <si>
    <t>0386-TCN14</t>
  </si>
  <si>
    <t>D    935</t>
  </si>
  <si>
    <t>0388-TCN14</t>
  </si>
  <si>
    <t>D    945</t>
  </si>
  <si>
    <t>0389-TCN14</t>
  </si>
  <si>
    <t>ALDEN QUERETARO  S DE RL DE  CV</t>
  </si>
  <si>
    <t>D    971</t>
  </si>
  <si>
    <t>0390-TCN14</t>
  </si>
  <si>
    <t>ALDEN  QUERETARO  S DE RL DE CV</t>
  </si>
  <si>
    <t>0395-TCN14</t>
  </si>
  <si>
    <t>D  1,008</t>
  </si>
  <si>
    <t>0405-TCN14</t>
  </si>
  <si>
    <t>D  1,030</t>
  </si>
  <si>
    <t>0391-TCN14</t>
  </si>
  <si>
    <t>D  1,031</t>
  </si>
  <si>
    <t>0392-TCN14</t>
  </si>
  <si>
    <t>D  1,032</t>
  </si>
  <si>
    <t>0393-TCN14</t>
  </si>
  <si>
    <t>D  1,034</t>
  </si>
  <si>
    <t>0394-TCN14</t>
  </si>
  <si>
    <t>D  1,045</t>
  </si>
  <si>
    <t>0406-TCN14</t>
  </si>
  <si>
    <t>TOY  MORELOS S DE RL DE CV</t>
  </si>
  <si>
    <t>D  1,054</t>
  </si>
  <si>
    <t>0396-TCN14</t>
  </si>
  <si>
    <t>D  1,057</t>
  </si>
  <si>
    <t>0397-TCN14</t>
  </si>
  <si>
    <t>D  1,060</t>
  </si>
  <si>
    <t>0398-TCN14</t>
  </si>
  <si>
    <t>D  1,062</t>
  </si>
  <si>
    <t>0399-TCN14</t>
  </si>
  <si>
    <t>D  1,063</t>
  </si>
  <si>
    <t>0400-TCN14</t>
  </si>
  <si>
    <t>D  1,064</t>
  </si>
  <si>
    <t>0401-TCN14</t>
  </si>
  <si>
    <t>D  1,066</t>
  </si>
  <si>
    <t>0402-TCN14</t>
  </si>
  <si>
    <t>D  1,069</t>
  </si>
  <si>
    <t>0403-TCN14</t>
  </si>
  <si>
    <t>D  1,070</t>
  </si>
  <si>
    <t>0404-TCN14</t>
  </si>
  <si>
    <t>D  1,086</t>
  </si>
  <si>
    <t>HOMR DEPOT MEXICO SRL DE DV</t>
  </si>
  <si>
    <t>D  1,088</t>
  </si>
  <si>
    <t>D  1,089</t>
  </si>
  <si>
    <t>D  1,091</t>
  </si>
  <si>
    <t>D  1,094</t>
  </si>
  <si>
    <t>D  1,096</t>
  </si>
  <si>
    <t>0410-TCN14</t>
  </si>
  <si>
    <t>D  1,097</t>
  </si>
  <si>
    <t>0407-TCN14</t>
  </si>
  <si>
    <t>0409-TCN14</t>
  </si>
  <si>
    <t>D  1,141</t>
  </si>
  <si>
    <t>0411-TCN14</t>
  </si>
  <si>
    <t>0412-TCN14</t>
  </si>
  <si>
    <t>0413-TCN14</t>
  </si>
  <si>
    <t>0414-TCN14</t>
  </si>
  <si>
    <t>0415-TCN14</t>
  </si>
  <si>
    <t>0416-TCN14</t>
  </si>
  <si>
    <t>D  1,149</t>
  </si>
  <si>
    <t>0417-TCN14</t>
  </si>
  <si>
    <t>0422-TCN14</t>
  </si>
  <si>
    <t>0423-TCN14</t>
  </si>
  <si>
    <t>D  1,176</t>
  </si>
  <si>
    <t>0424-TCN14</t>
  </si>
  <si>
    <t>AUTOMOVILES  DINAMICOS S DE RL DE C</t>
  </si>
  <si>
    <t>D  1,180</t>
  </si>
  <si>
    <t>0425-TCN14</t>
  </si>
  <si>
    <t>ALDEN  SATELITE S DE RL DE CV</t>
  </si>
  <si>
    <t>0426-TCN14</t>
  </si>
  <si>
    <t>ALDEN SATELITE S  DE RL DE CV</t>
  </si>
  <si>
    <t>D  1,195</t>
  </si>
  <si>
    <t>0418-TCN14</t>
  </si>
  <si>
    <t>D  1,196</t>
  </si>
  <si>
    <t>0419-TCN14</t>
  </si>
  <si>
    <t>D  1,197</t>
  </si>
  <si>
    <t>0420-TCN14</t>
  </si>
  <si>
    <t>D  1,206</t>
  </si>
  <si>
    <t>0427-TCN14</t>
  </si>
  <si>
    <t>D  1,218</t>
  </si>
  <si>
    <t>EDUCACION SUPERIOR DE CELAYA A</t>
  </si>
  <si>
    <t>CASETAS I.F.Z.</t>
  </si>
  <si>
    <t>D  1,225</t>
  </si>
  <si>
    <t>D  1,255</t>
  </si>
  <si>
    <t>0408-TCN14</t>
  </si>
  <si>
    <t>D  1,266</t>
  </si>
  <si>
    <t>NUEVA WALMART DE MEXICO S RL C</t>
  </si>
  <si>
    <t>D  1,267</t>
  </si>
  <si>
    <t>D  1,270</t>
  </si>
  <si>
    <t>P006733</t>
  </si>
  <si>
    <t>TRASLADO CHIAPAS-CYA EP088938</t>
  </si>
  <si>
    <t>D  1,273</t>
  </si>
  <si>
    <t>P006735</t>
  </si>
  <si>
    <t>TRASLADO MTY-CYA VIN-EM164606</t>
  </si>
  <si>
    <t>D  1,275</t>
  </si>
  <si>
    <t>P006737</t>
  </si>
  <si>
    <t>TRASLADO QRO-CYA E1774404</t>
  </si>
  <si>
    <t>D  1,276</t>
  </si>
  <si>
    <t>P006738</t>
  </si>
  <si>
    <t>TRASLADO CYA-MORELIA VIN-ES006</t>
  </si>
  <si>
    <t>D  1,281</t>
  </si>
  <si>
    <t>P006740</t>
  </si>
  <si>
    <t>TRASLADO TOLUCA-CYA ED590494</t>
  </si>
  <si>
    <t>D  1,283</t>
  </si>
  <si>
    <t>P006742</t>
  </si>
  <si>
    <t>TRASLADO TOLUCA-CYA EP084161</t>
  </si>
  <si>
    <t>D  1,288</t>
  </si>
  <si>
    <t>P006744</t>
  </si>
  <si>
    <t>TRASLADO PUEBLA-CYA EK004151</t>
  </si>
  <si>
    <t>D  1,289</t>
  </si>
  <si>
    <t>D  1,292</t>
  </si>
  <si>
    <t>TRASLADO EW084010 RAV4</t>
  </si>
  <si>
    <t>D  1,294</t>
  </si>
  <si>
    <t>TRASLADO CYA-QRO.E0259635</t>
  </si>
  <si>
    <t>D  1,295</t>
  </si>
  <si>
    <t>TRASLADO QRO-CYA EP071732</t>
  </si>
  <si>
    <t>D  1,297</t>
  </si>
  <si>
    <t>TRASLADO CYA-QRO E0113423</t>
  </si>
  <si>
    <t>D  1,298</t>
  </si>
  <si>
    <t>TRASLADO CYA-QRO EU330852</t>
  </si>
  <si>
    <t>D  1,346</t>
  </si>
  <si>
    <t>D  1,353</t>
  </si>
  <si>
    <t>0428-TCN14</t>
  </si>
  <si>
    <t>UNITED AUTO DE AGUASCALIENTES S DE</t>
  </si>
  <si>
    <t>D  1,542</t>
  </si>
  <si>
    <t>LJIMENEZ:COMP.VIATICOS VICTOR H.TIE</t>
  </si>
  <si>
    <t>D  1,545</t>
  </si>
  <si>
    <t>0429-TCN14</t>
  </si>
  <si>
    <t>TOYOMOTORS  DE  POLANCO S DE RL DE</t>
  </si>
  <si>
    <t>D  1,553</t>
  </si>
  <si>
    <t>0430-TCN14</t>
  </si>
  <si>
    <t>D  1,558</t>
  </si>
  <si>
    <t>0431-TCN14</t>
  </si>
  <si>
    <t>D  1,575</t>
  </si>
  <si>
    <t>0432-TCN14</t>
  </si>
  <si>
    <t>D  1,616</t>
  </si>
  <si>
    <t>SIENNA0436</t>
  </si>
  <si>
    <t>LJIMENEZ:MENSUALIDAD SIENNA 4/36</t>
  </si>
  <si>
    <t>D  1,630</t>
  </si>
  <si>
    <t>LJIMENEZ:COMP.VIATICOS HERNAN SAMBR</t>
  </si>
  <si>
    <t>0433-TCN14</t>
  </si>
  <si>
    <t>GRUPO  PENNINSULA  MOTORS</t>
  </si>
  <si>
    <t>D  1,700</t>
  </si>
  <si>
    <t>0434-TCN14</t>
  </si>
  <si>
    <t>DURANGO AUTOMOTORES  S DE RL DE CV</t>
  </si>
  <si>
    <t>D  1,724</t>
  </si>
  <si>
    <t>AM-0001129</t>
  </si>
  <si>
    <t>LJIMENEZ:INTERNET AM-1129</t>
  </si>
  <si>
    <t>D  1,726</t>
  </si>
  <si>
    <t>AM-0001134</t>
  </si>
  <si>
    <t>LJIMENEZ:FRAME RELAY AM-1134</t>
  </si>
  <si>
    <t>D  1,727</t>
  </si>
  <si>
    <t>AM-0001146</t>
  </si>
  <si>
    <t>LJIMENEZ:RABELLO MARZO AM-1146</t>
  </si>
  <si>
    <t>D  1,736</t>
  </si>
  <si>
    <t>0435-TCN14</t>
  </si>
  <si>
    <t>D  1,757</t>
  </si>
  <si>
    <t>0436-TCN14</t>
  </si>
  <si>
    <t>CEVER  TOLUCA  S DE RL DE CV</t>
  </si>
  <si>
    <t>D  1,759</t>
  </si>
  <si>
    <t>0437-TCN14</t>
  </si>
  <si>
    <t>D  1,817</t>
  </si>
  <si>
    <t>F-1365875</t>
  </si>
  <si>
    <t>LJIMENEZ:MENSUALIDAD HILUX ABRIL</t>
  </si>
  <si>
    <t>D  1,820</t>
  </si>
  <si>
    <t>F-1361826</t>
  </si>
  <si>
    <t>LJIMENEZ:MENSUALIDAD COROLLA ABRIL</t>
  </si>
  <si>
    <t>0438-TCN14</t>
  </si>
  <si>
    <t>D  1,825</t>
  </si>
  <si>
    <t>0439-TCN14</t>
  </si>
  <si>
    <t>D  1,826</t>
  </si>
  <si>
    <t>0440-TCN14</t>
  </si>
  <si>
    <t>D  1,827</t>
  </si>
  <si>
    <t>0441-TCN14</t>
  </si>
  <si>
    <t>D  1,828</t>
  </si>
  <si>
    <t>0442-TCN14</t>
  </si>
  <si>
    <t>D  1,829</t>
  </si>
  <si>
    <t>0443-TCN14</t>
  </si>
  <si>
    <t>D  1,860</t>
  </si>
  <si>
    <t>0444-TCN14</t>
  </si>
  <si>
    <t>D  1,873</t>
  </si>
  <si>
    <t>0445-TCN14</t>
  </si>
  <si>
    <t>GRUPO PENNINSULA MOTORS S DE  RLD</t>
  </si>
  <si>
    <t>0446-TCN14</t>
  </si>
  <si>
    <t>AUTOMOTRIZ OAXACA  DE  ANTEQUERA  S</t>
  </si>
  <si>
    <t>0447-TCN14</t>
  </si>
  <si>
    <t>ALECSA  PACHUCA S DE RL  DE  CV</t>
  </si>
  <si>
    <t>D  2,008</t>
  </si>
  <si>
    <t>LJIMENEZ:COMP.VIATICOS JORGE A.RAMI</t>
  </si>
  <si>
    <t>D  2,009</t>
  </si>
  <si>
    <t>0448-TCN14</t>
  </si>
  <si>
    <t>D  2,013</t>
  </si>
  <si>
    <t>0449-TCN14</t>
  </si>
  <si>
    <t>D  2,017</t>
  </si>
  <si>
    <t>0450-TCN14</t>
  </si>
  <si>
    <t>D  2,018</t>
  </si>
  <si>
    <t>0451-TCN14</t>
  </si>
  <si>
    <t>D  2,035</t>
  </si>
  <si>
    <t>0452-TCN14</t>
  </si>
  <si>
    <t>GRUPO PENNINSULA  MOTORS S DE RL DE</t>
  </si>
  <si>
    <t>0453-TCN14</t>
  </si>
  <si>
    <t>D  2,086</t>
  </si>
  <si>
    <t>0454-TCN14</t>
  </si>
  <si>
    <t>0455-TCN14</t>
  </si>
  <si>
    <t>D  2,088</t>
  </si>
  <si>
    <t>0456-TCN14</t>
  </si>
  <si>
    <t>D  2,090</t>
  </si>
  <si>
    <t>0457-TCN14</t>
  </si>
  <si>
    <t>0458-TCN14</t>
  </si>
  <si>
    <t>D  2,092</t>
  </si>
  <si>
    <t>0459-TCN14</t>
  </si>
  <si>
    <t>0460-TCN14</t>
  </si>
  <si>
    <t>D  2,094</t>
  </si>
  <si>
    <t>0461-TCN14</t>
  </si>
  <si>
    <t>0462-TCN14</t>
  </si>
  <si>
    <t>TOY  MORELOS  S DE RL DE CV</t>
  </si>
  <si>
    <t>TOY   MORELOS  S D E RL DE CV</t>
  </si>
  <si>
    <t>GRUPO ECOLOGICA SA DE CV</t>
  </si>
  <si>
    <t>D  2,125</t>
  </si>
  <si>
    <t>FEDERICO JAIME VERA BARBOSA</t>
  </si>
  <si>
    <t>EXTRA FACT.BAAAT2703</t>
  </si>
  <si>
    <t>D  2,132</t>
  </si>
  <si>
    <t>D  2,134</t>
  </si>
  <si>
    <t>D  2,135</t>
  </si>
  <si>
    <t>IMPRESIONES LASSER BEAM SRL DE</t>
  </si>
  <si>
    <t>D  2,136</t>
  </si>
  <si>
    <t>HOME DEPOT MEXICO SRL DE CV</t>
  </si>
  <si>
    <t>AUTOZONE DE MEXICO SRL DE CV</t>
  </si>
  <si>
    <t>D  2,139</t>
  </si>
  <si>
    <t>SEGURIDAD INDUSTRIAL AMIGO SA</t>
  </si>
  <si>
    <t>D  2,142</t>
  </si>
  <si>
    <t>APOLINAR GAMIÑO JIMENEZ</t>
  </si>
  <si>
    <t>J.JUAN FELIPE ARVIZU MANCERA</t>
  </si>
  <si>
    <t>HOME DEPOT MEXICO S RL DE CV</t>
  </si>
  <si>
    <t>D  2,146</t>
  </si>
  <si>
    <t>FELIPE MONROY ESTRADA</t>
  </si>
  <si>
    <t>JUAN SALVADOR TAPIA BARRERA</t>
  </si>
  <si>
    <t>D  2,152</t>
  </si>
  <si>
    <t>FARMACIAS GUADALAJARA SA DE CV</t>
  </si>
  <si>
    <t>FLORES DIAZ MARIA ASUNCION</t>
  </si>
  <si>
    <t>CONSUMO IFZ</t>
  </si>
  <si>
    <t>GASOLINA IFZ MEXICO</t>
  </si>
  <si>
    <t>CASETAS IFZ</t>
  </si>
  <si>
    <t>D  2,164</t>
  </si>
  <si>
    <t>D  2,165</t>
  </si>
  <si>
    <t>S000850</t>
  </si>
  <si>
    <t>D  2,166</t>
  </si>
  <si>
    <t>S000852</t>
  </si>
  <si>
    <t>D  2,167</t>
  </si>
  <si>
    <t>S000855</t>
  </si>
  <si>
    <t>D  2,168</t>
  </si>
  <si>
    <t>S000856</t>
  </si>
  <si>
    <t>D  2,169</t>
  </si>
  <si>
    <t>S000858</t>
  </si>
  <si>
    <t>S000867</t>
  </si>
  <si>
    <t>S000886</t>
  </si>
  <si>
    <t>D  2,172</t>
  </si>
  <si>
    <t>R001276</t>
  </si>
  <si>
    <t>D  2,173</t>
  </si>
  <si>
    <t>R001285</t>
  </si>
  <si>
    <t>D  2,174</t>
  </si>
  <si>
    <t>R001286</t>
  </si>
  <si>
    <t>D  2,175</t>
  </si>
  <si>
    <t>R001287</t>
  </si>
  <si>
    <t>D  2,176</t>
  </si>
  <si>
    <t>R001289</t>
  </si>
  <si>
    <t>D  2,177</t>
  </si>
  <si>
    <t>R001290</t>
  </si>
  <si>
    <t>D  2,178</t>
  </si>
  <si>
    <t>P006901</t>
  </si>
  <si>
    <t>TRASLADO CUERNAVACA-CYA</t>
  </si>
  <si>
    <t>D  2,180</t>
  </si>
  <si>
    <t>P006903</t>
  </si>
  <si>
    <t>TRASLADO PUEBLA-CYA</t>
  </si>
  <si>
    <t>D  2,182</t>
  </si>
  <si>
    <t>P006905</t>
  </si>
  <si>
    <t>TRASLADO GUADALAJARA-CYA</t>
  </si>
  <si>
    <t>D  2,184</t>
  </si>
  <si>
    <t>P006907</t>
  </si>
  <si>
    <t>TRASLADO SLP-CYA</t>
  </si>
  <si>
    <t>D  2,186</t>
  </si>
  <si>
    <t>P006909</t>
  </si>
  <si>
    <t>TRASLADO ZACATECAS-CYA</t>
  </si>
  <si>
    <t>D  2,188</t>
  </si>
  <si>
    <t>P006911</t>
  </si>
  <si>
    <t>TRASLADO STA FE-CYA</t>
  </si>
  <si>
    <t>D  2,190</t>
  </si>
  <si>
    <t>P006913</t>
  </si>
  <si>
    <t>TRASLADO MTY-CYA</t>
  </si>
  <si>
    <t>D  2,192</t>
  </si>
  <si>
    <t>P006915</t>
  </si>
  <si>
    <t>TRASLADO MEXICO-CYA</t>
  </si>
  <si>
    <t>D  2,194</t>
  </si>
  <si>
    <t>P006917</t>
  </si>
  <si>
    <t>D  2,195</t>
  </si>
  <si>
    <t>P006918</t>
  </si>
  <si>
    <t>TRASLADO MORELOS-CYA</t>
  </si>
  <si>
    <t>D  2,197</t>
  </si>
  <si>
    <t>P006920</t>
  </si>
  <si>
    <t>D  2,199</t>
  </si>
  <si>
    <t>P006922</t>
  </si>
  <si>
    <t>D  2,201</t>
  </si>
  <si>
    <t>TRASLADO QRO-CYA</t>
  </si>
  <si>
    <t>D  2,202</t>
  </si>
  <si>
    <t>S000868</t>
  </si>
  <si>
    <t>D  2,203</t>
  </si>
  <si>
    <t>S000887</t>
  </si>
  <si>
    <t>CH-13940</t>
  </si>
  <si>
    <t>E      6</t>
  </si>
  <si>
    <t>CH-13942</t>
  </si>
  <si>
    <t>E     10</t>
  </si>
  <si>
    <t>CH-13946</t>
  </si>
  <si>
    <t>CH-13941</t>
  </si>
  <si>
    <t>CH-13959</t>
  </si>
  <si>
    <t>E     23</t>
  </si>
  <si>
    <t>CH-13960</t>
  </si>
  <si>
    <t>E     24</t>
  </si>
  <si>
    <t>CH-13961</t>
  </si>
  <si>
    <t>E     25</t>
  </si>
  <si>
    <t>CH-13962</t>
  </si>
  <si>
    <t>E     26</t>
  </si>
  <si>
    <t>CH-13963</t>
  </si>
  <si>
    <t>E     28</t>
  </si>
  <si>
    <t>CH-13964</t>
  </si>
  <si>
    <t>CH-13974</t>
  </si>
  <si>
    <t>E     36</t>
  </si>
  <si>
    <t>CH-13975</t>
  </si>
  <si>
    <t>ANUNCIOS EXITOSOS EN INTERNET, S.A.</t>
  </si>
  <si>
    <t>E     37</t>
  </si>
  <si>
    <t>CH-13976</t>
  </si>
  <si>
    <t>INMOBILIARIA DALE GUANAJUATO SA DE</t>
  </si>
  <si>
    <t>E     42</t>
  </si>
  <si>
    <t>T-937</t>
  </si>
  <si>
    <t>T-938</t>
  </si>
  <si>
    <t>E     44</t>
  </si>
  <si>
    <t>T-939</t>
  </si>
  <si>
    <t>T-940</t>
  </si>
  <si>
    <t>T-941</t>
  </si>
  <si>
    <t>T-397</t>
  </si>
  <si>
    <t>E     48</t>
  </si>
  <si>
    <t>T-398</t>
  </si>
  <si>
    <t>T-399</t>
  </si>
  <si>
    <t>T-942</t>
  </si>
  <si>
    <t>E     52</t>
  </si>
  <si>
    <t>T-400</t>
  </si>
  <si>
    <t>E     61</t>
  </si>
  <si>
    <t>CH-13948</t>
  </si>
  <si>
    <t>LJIMENEZ:INFOTECNOLOGIA CORPORATIVA</t>
  </si>
  <si>
    <t>CH-13985</t>
  </si>
  <si>
    <t>CH-13986</t>
  </si>
  <si>
    <t>CH-13987</t>
  </si>
  <si>
    <t>E     75</t>
  </si>
  <si>
    <t>CH-13990</t>
  </si>
  <si>
    <t>CH-13991</t>
  </si>
  <si>
    <t>CH-13992</t>
  </si>
  <si>
    <t>E     80</t>
  </si>
  <si>
    <t>CH-13994</t>
  </si>
  <si>
    <t>CH-13996</t>
  </si>
  <si>
    <t>AYALA RODRIGUEZ JOANA</t>
  </si>
  <si>
    <t>CH-13999</t>
  </si>
  <si>
    <t>CH-14000</t>
  </si>
  <si>
    <t>CH-14001</t>
  </si>
  <si>
    <t>CH-14002</t>
  </si>
  <si>
    <t>T-401</t>
  </si>
  <si>
    <t>T-402</t>
  </si>
  <si>
    <t>T-943</t>
  </si>
  <si>
    <t>T-944</t>
  </si>
  <si>
    <t>T-945</t>
  </si>
  <si>
    <t>T-946</t>
  </si>
  <si>
    <t>T-947</t>
  </si>
  <si>
    <t>T-948</t>
  </si>
  <si>
    <t>T-949</t>
  </si>
  <si>
    <t>T-950</t>
  </si>
  <si>
    <t>E    105</t>
  </si>
  <si>
    <t>T-403</t>
  </si>
  <si>
    <t>E    106</t>
  </si>
  <si>
    <t>T-951</t>
  </si>
  <si>
    <t>T-404</t>
  </si>
  <si>
    <t>MONTERO RAMIREZ ELIUD</t>
  </si>
  <si>
    <t>T-952</t>
  </si>
  <si>
    <t>T-953</t>
  </si>
  <si>
    <t>T-405</t>
  </si>
  <si>
    <t>CH-14012</t>
  </si>
  <si>
    <t>CH-14014</t>
  </si>
  <si>
    <t>CH-14016</t>
  </si>
  <si>
    <t>E    125</t>
  </si>
  <si>
    <t>CH-14017</t>
  </si>
  <si>
    <t>E    127</t>
  </si>
  <si>
    <t>COM.MZO/14</t>
  </si>
  <si>
    <t>LJIMENEZ:COMISIONES 18/03/2014 BBVA</t>
  </si>
  <si>
    <t>COMISIONES AL 18/03/2014 STDER</t>
  </si>
  <si>
    <t>COMISIONES AL 18/03/2014 BNTE</t>
  </si>
  <si>
    <t>COM.BAJIO</t>
  </si>
  <si>
    <t>COMISIONES AL 12/03/2014 BAJIO</t>
  </si>
  <si>
    <t>COMISIONES AL 18/03/2014 BMX</t>
  </si>
  <si>
    <t>CH-14018</t>
  </si>
  <si>
    <t>CH-14022</t>
  </si>
  <si>
    <t>CH-14023</t>
  </si>
  <si>
    <t>CH-14024</t>
  </si>
  <si>
    <t>CH-14025</t>
  </si>
  <si>
    <t>CH-14027</t>
  </si>
  <si>
    <t>MARTINEZ GARZA CORDERA CESAR RODOLF</t>
  </si>
  <si>
    <t>CH-14028</t>
  </si>
  <si>
    <t>CH-14029</t>
  </si>
  <si>
    <t>CH-14031</t>
  </si>
  <si>
    <t>CH-825</t>
  </si>
  <si>
    <t>E    152</t>
  </si>
  <si>
    <t>CH-14034</t>
  </si>
  <si>
    <t>E    163</t>
  </si>
  <si>
    <t>CH-14043</t>
  </si>
  <si>
    <t>CH-14044</t>
  </si>
  <si>
    <t>E    170</t>
  </si>
  <si>
    <t>CH-14050</t>
  </si>
  <si>
    <t>CH-14051</t>
  </si>
  <si>
    <t>CH-14052</t>
  </si>
  <si>
    <t>CH-14053</t>
  </si>
  <si>
    <t>MAPFRE TEPEYAC SA</t>
  </si>
  <si>
    <t>COM.BBVA</t>
  </si>
  <si>
    <t>COMISIONES BBVA AL 36/03/2014</t>
  </si>
  <si>
    <t>E    190</t>
  </si>
  <si>
    <t>CH-14061</t>
  </si>
  <si>
    <t>E    191</t>
  </si>
  <si>
    <t>COMISIONES BMX AL 25/03/2014</t>
  </si>
  <si>
    <t>E    194</t>
  </si>
  <si>
    <t>COMISION BAJIO 20/03/2014</t>
  </si>
  <si>
    <t>COMISIONES BANORTE AL 25/03/20</t>
  </si>
  <si>
    <t>COM.SANTANDER AL 25/03/2014</t>
  </si>
  <si>
    <t>E    205</t>
  </si>
  <si>
    <t>CH-14070</t>
  </si>
  <si>
    <t>CH-14071</t>
  </si>
  <si>
    <t>E    207</t>
  </si>
  <si>
    <t>CH-14072</t>
  </si>
  <si>
    <t>T-406</t>
  </si>
  <si>
    <t>T-954</t>
  </si>
  <si>
    <t>T-955</t>
  </si>
  <si>
    <t>T-956</t>
  </si>
  <si>
    <t>T-407</t>
  </si>
  <si>
    <t>T-957</t>
  </si>
  <si>
    <t>T-958</t>
  </si>
  <si>
    <t>T-408</t>
  </si>
  <si>
    <t>T-409</t>
  </si>
  <si>
    <t>T-959</t>
  </si>
  <si>
    <t>T-960</t>
  </si>
  <si>
    <t>E    221</t>
  </si>
  <si>
    <t>CH-13966</t>
  </si>
  <si>
    <t>CH-13965</t>
  </si>
  <si>
    <t>CH-14074</t>
  </si>
  <si>
    <t>E    227</t>
  </si>
  <si>
    <t>CH-14079</t>
  </si>
  <si>
    <t>COMISIONES BBVA AL 28/03/2014</t>
  </si>
  <si>
    <t>CH-14080</t>
  </si>
  <si>
    <t>CH-14081</t>
  </si>
  <si>
    <t>CH-14082</t>
  </si>
  <si>
    <t>COMISIONES BBVA AL 31/03/2014</t>
  </si>
  <si>
    <t>COMISIONES BMX AL 28/03/2014</t>
  </si>
  <si>
    <t>COMISIONES BNTE AL 31/03/2014</t>
  </si>
  <si>
    <t>COMISIONES STDER AL 31/03/2014</t>
  </si>
  <si>
    <t>E    247</t>
  </si>
  <si>
    <t>COMISIONES AMEX MZO/2014</t>
  </si>
  <si>
    <t>COMISIONES BMX AL 31/03/2014</t>
  </si>
  <si>
    <t>COM.INVT</t>
  </si>
  <si>
    <t>COMISIONES INVERLAT MZO/2014</t>
  </si>
  <si>
    <t>E    258</t>
  </si>
  <si>
    <t>COMISIONES BJIO AL 31/03/2014</t>
  </si>
  <si>
    <t>LJIMENEZ:COMISIONES BNTE AL 31/03/2</t>
  </si>
  <si>
    <t>COM.CH.GIR</t>
  </si>
  <si>
    <t>COMISION CHEQUES GIRADOS</t>
  </si>
  <si>
    <t>CH-15766</t>
  </si>
  <si>
    <t>I    243</t>
  </si>
  <si>
    <t>EMBARQUE50</t>
  </si>
  <si>
    <t>EMBARQUE 50</t>
  </si>
  <si>
    <t>I    735</t>
  </si>
  <si>
    <t>EMB.61Y67</t>
  </si>
  <si>
    <t>EMBARQUE 61</t>
  </si>
  <si>
    <t>I    736</t>
  </si>
  <si>
    <t>EMB.67</t>
  </si>
  <si>
    <t>EMBARQUE 67</t>
  </si>
  <si>
    <t xml:space="preserve">MARZO </t>
  </si>
  <si>
    <t>FEBRERO</t>
  </si>
  <si>
    <t>AEI100407PH3</t>
  </si>
  <si>
    <t>GAJA530403QE7</t>
  </si>
  <si>
    <t>ADI090204QN7</t>
  </si>
  <si>
    <t>AUTOMOVILES DINAMICOS S DE RL DE CV</t>
  </si>
  <si>
    <t>AVA040106CP7</t>
  </si>
  <si>
    <t>AUTOMOVILES  VALLEJO S DE RL DE CV</t>
  </si>
  <si>
    <t>AUTOMOVILES  VALLEJO S DE  RL DE CV</t>
  </si>
  <si>
    <t>AARJ800227ID7</t>
  </si>
  <si>
    <t>CEVER  TOLUCA   S DE RL  DE CV</t>
  </si>
  <si>
    <t>ESC8504015Q1</t>
  </si>
  <si>
    <t xml:space="preserve">TIENDAS EXTRA SA </t>
  </si>
  <si>
    <t>FGU830930PD3</t>
  </si>
  <si>
    <t>VEBF490427NV8</t>
  </si>
  <si>
    <t>FODA6408118J3</t>
  </si>
  <si>
    <t>DGA030207HT1</t>
  </si>
  <si>
    <t>DOS GASTRONOMICO S.A. DE C.V.</t>
  </si>
  <si>
    <t>PRM030203UNA</t>
  </si>
  <si>
    <t xml:space="preserve">PLAZA REAL DE MINA SA  DE CV </t>
  </si>
  <si>
    <t>IDG890814KS0</t>
  </si>
  <si>
    <t>AIMJ651214GR7</t>
  </si>
  <si>
    <t>TABJ720124N78</t>
  </si>
  <si>
    <t>INTERNET AM-1129</t>
  </si>
  <si>
    <t>FRAME RELAY AM-1134</t>
  </si>
  <si>
    <t xml:space="preserve">TIENDAS SORIANA SA DE CV </t>
  </si>
  <si>
    <t>ICO980323HU9</t>
  </si>
  <si>
    <t>INFOTECNOLOGIA CORPORATIVA SC</t>
  </si>
  <si>
    <t>MTE440316E54</t>
  </si>
  <si>
    <t xml:space="preserve">MARCAS NESTLE SA DE CV </t>
  </si>
  <si>
    <t>MORE711231DZ0</t>
  </si>
  <si>
    <t>PES9001033K1</t>
  </si>
  <si>
    <t>PAS020528BY2</t>
  </si>
  <si>
    <t>PROMOTORA  AUTOMTRIZ DE  SANTA  FE</t>
  </si>
  <si>
    <t>SIA9309071A5</t>
  </si>
  <si>
    <t>TOY  MORELOS  S  D E RLD E  CV</t>
  </si>
  <si>
    <t>TPO0701266T0</t>
  </si>
  <si>
    <t>TOYOMOTORS DE  POLANCO SRL DE CV</t>
  </si>
  <si>
    <t xml:space="preserve">TOYOMOTORS SA DE CV </t>
  </si>
  <si>
    <t>TRA060703EB4</t>
  </si>
  <si>
    <t xml:space="preserve">AUTOBUSES ESTRELLA BLANCA SA </t>
  </si>
  <si>
    <t xml:space="preserve">ABASTECEDORA LA MORENITA SA DE CV </t>
  </si>
  <si>
    <t xml:space="preserve">NADYA YAZMIN PEREZ </t>
  </si>
  <si>
    <t>DIN010618PE2</t>
  </si>
  <si>
    <t xml:space="preserve">DINOGAS SA DE CV </t>
  </si>
  <si>
    <t>MOLE750127KM2</t>
  </si>
  <si>
    <t>ELIZABETH MONTERO LOPEZ</t>
  </si>
  <si>
    <t>SCO041130LR7</t>
  </si>
  <si>
    <t xml:space="preserve">EMISIONES SERVICIO COLORINES </t>
  </si>
  <si>
    <t>SSA930817FS3</t>
  </si>
  <si>
    <t xml:space="preserve">SERVICIO SAYULA SA DE CV </t>
  </si>
  <si>
    <t>GRUPO QL SA DE CV</t>
  </si>
  <si>
    <t>SGS020508BT8</t>
  </si>
  <si>
    <t xml:space="preserve">SERVICIOS GASOLINEROS SAN CARLOS </t>
  </si>
  <si>
    <t>GFC080612KG3</t>
  </si>
  <si>
    <t>GRUPO FERRETERA CALZADA SA DE CV</t>
  </si>
  <si>
    <t>SRM020306IP8</t>
  </si>
  <si>
    <t xml:space="preserve">SERVICIO REAL DE MORELIA SA DE CV </t>
  </si>
  <si>
    <t xml:space="preserve">JENARO SOLORZANO ESQUEDA </t>
  </si>
  <si>
    <t xml:space="preserve">MA. MERCEDES ROCHA CALDERON </t>
  </si>
  <si>
    <t>GBA060117351</t>
  </si>
  <si>
    <t xml:space="preserve">GAS BARRIENTOS SA DE CV </t>
  </si>
  <si>
    <t>SAMG330706538</t>
  </si>
  <si>
    <t xml:space="preserve">GRAZIELLA DEL SOCORRO SALAZAR Y MEDINA </t>
  </si>
  <si>
    <t>TSC070907QS5</t>
  </si>
  <si>
    <t xml:space="preserve">TIENDA SINDICAL DE CONSUMO SECCION X </t>
  </si>
  <si>
    <t>SMA950103FQA</t>
  </si>
  <si>
    <t xml:space="preserve">SERVICIO MAYELI SA DE CV </t>
  </si>
  <si>
    <t xml:space="preserve">TIENDAS SINDICAL DE CONSUMO SECCION X SAN FRANCISCO SA DE CV </t>
  </si>
  <si>
    <t>VEN930329559</t>
  </si>
  <si>
    <t xml:space="preserve">VALORES ENERGETICOS SA DE CV </t>
  </si>
  <si>
    <t>GOM040622MRA</t>
  </si>
  <si>
    <t xml:space="preserve">GASOLINERA OMEGA MATEHUALA II SA </t>
  </si>
  <si>
    <t xml:space="preserve">OMNIBUS DE MEXICO SA DE CV </t>
  </si>
  <si>
    <t>PET040903DH1</t>
  </si>
  <si>
    <t>PETROMAX SA DE CV</t>
  </si>
  <si>
    <t>PPA090403C75</t>
  </si>
  <si>
    <t xml:space="preserve">PARADERO DEL PARIENTE SA DE CV </t>
  </si>
  <si>
    <t xml:space="preserve">GASOLINERA HUASTECA SA DE CV </t>
  </si>
  <si>
    <t xml:space="preserve">CAMIONERA DEL GOLFO </t>
  </si>
  <si>
    <t xml:space="preserve">OPERADORA GASOLINERAS DEL SURESTE SA DE CV </t>
  </si>
  <si>
    <t xml:space="preserve">PETRO 107SA DE CV </t>
  </si>
  <si>
    <t>ASA990212AQ5</t>
  </si>
  <si>
    <t>AUTO SERVICIO ANGELOPOLIS SA DE CV</t>
  </si>
  <si>
    <t xml:space="preserve">AUTOSERVICIO ANGELOPOLIS SA DE CV </t>
  </si>
  <si>
    <t>GAS010424IDA</t>
  </si>
  <si>
    <t xml:space="preserve">GASOLUB SA DE CV </t>
  </si>
  <si>
    <t>DRO940516GC2</t>
  </si>
  <si>
    <t xml:space="preserve">DISTRIBUIDORA ROESMA SA DE CV </t>
  </si>
  <si>
    <t>UAM011124U83</t>
  </si>
  <si>
    <t>UNITED AUTO DE  MONTERREY  S  DE RL</t>
  </si>
  <si>
    <t>UAA011124IL4</t>
  </si>
  <si>
    <t>UNITED AUTO DE AGUASCALIENTES S DE DE RL DE CV</t>
  </si>
  <si>
    <t>VMT060106JC7</t>
  </si>
  <si>
    <t>VALOR MOTRIZ S. DE R.L. DE C.V.</t>
  </si>
  <si>
    <t>MSR990518KK8</t>
  </si>
  <si>
    <t xml:space="preserve">MULTISERVICIO SAN ROBERTO SA DE CV </t>
  </si>
  <si>
    <t>PBR130422TT0</t>
  </si>
  <si>
    <t xml:space="preserve">POLLO BRAVO S DE RL DE CV </t>
  </si>
  <si>
    <t>PNA690804L17</t>
  </si>
  <si>
    <t xml:space="preserve">PROVEEDORA NACIONAL SA </t>
  </si>
  <si>
    <t>SSF021003QT0</t>
  </si>
  <si>
    <t xml:space="preserve">SUPER SERVICIO FERMACAR SA DE CV </t>
  </si>
  <si>
    <t>ULTRA SERVICIO LOMAS SA</t>
  </si>
  <si>
    <t xml:space="preserve">GRUPO HERRADURA OCCIDENTE </t>
  </si>
  <si>
    <t>ZAMA621224BF3</t>
  </si>
  <si>
    <t>ALEJANDRO ZARATE MARTINEZ</t>
  </si>
  <si>
    <t>SCD021016CM9</t>
  </si>
  <si>
    <t xml:space="preserve">SERVICIO CASETA EL DORADO SA </t>
  </si>
  <si>
    <t xml:space="preserve">COMERCIALIZADORA FELIZ OCCIDENTE SA DE CV </t>
  </si>
  <si>
    <t>MIAJ571230CN4</t>
  </si>
  <si>
    <t xml:space="preserve">JUAN MANUEL MIRAMONTES ARTEAGA </t>
  </si>
  <si>
    <t>EVELIA ORTEGA AGUIRRE</t>
  </si>
  <si>
    <t xml:space="preserve">SERVICIO LAS JUNTAS SA DE CV </t>
  </si>
  <si>
    <t>SSV990224DC5</t>
  </si>
  <si>
    <t xml:space="preserve">SUPER SERVICIO VALLEJO SA DE CV </t>
  </si>
  <si>
    <t>MAL090814497</t>
  </si>
  <si>
    <t xml:space="preserve">MALI ALIMENTOS SA DE CV </t>
  </si>
  <si>
    <t>SCO6304011G1</t>
  </si>
  <si>
    <t xml:space="preserve">SERVICIO COLON SA DE CV </t>
  </si>
  <si>
    <t xml:space="preserve">GASOLINA </t>
  </si>
  <si>
    <t>RABELLO MARZO AM-1146</t>
  </si>
  <si>
    <t>D      8</t>
  </si>
  <si>
    <t>D      9</t>
  </si>
  <si>
    <t>D     33</t>
  </si>
  <si>
    <t>0463-TCN14</t>
  </si>
  <si>
    <t>AUTOMOTRIZ TOY S.A.  DE CV</t>
  </si>
  <si>
    <t>0464-TCN14</t>
  </si>
  <si>
    <t>SAMURAI MOTORS S DE RL DE CV</t>
  </si>
  <si>
    <t>D    218</t>
  </si>
  <si>
    <t>0465-TCN14</t>
  </si>
  <si>
    <t>D    219</t>
  </si>
  <si>
    <t>0466-TCN14</t>
  </si>
  <si>
    <t>D    378</t>
  </si>
  <si>
    <t>ALDEN SATELITE  S  DE RL  DE  CV</t>
  </si>
  <si>
    <t>D    381</t>
  </si>
  <si>
    <t>D    392</t>
  </si>
  <si>
    <t>0467-TCN14</t>
  </si>
  <si>
    <t>D    430</t>
  </si>
  <si>
    <t>0468-TCN14</t>
  </si>
  <si>
    <t>D    431</t>
  </si>
  <si>
    <t>0469-TCN14</t>
  </si>
  <si>
    <t>D    432</t>
  </si>
  <si>
    <t>0470-TCN14</t>
  </si>
  <si>
    <t>D    433</t>
  </si>
  <si>
    <t>0471-TCN14</t>
  </si>
  <si>
    <t>0475-TCN14</t>
  </si>
  <si>
    <t>CEVER  LOMAS  VERDES S  DE RL  DE</t>
  </si>
  <si>
    <t>D    485</t>
  </si>
  <si>
    <t>D    488</t>
  </si>
  <si>
    <t>0476-TCN14</t>
  </si>
  <si>
    <t>PROMOTORA AUTOMOTRIZ DE  SANTA  FE</t>
  </si>
  <si>
    <t>0477-TCN14</t>
  </si>
  <si>
    <t>D    549</t>
  </si>
  <si>
    <t>0478-TCN14</t>
  </si>
  <si>
    <t>OZ  AUTOMOTRIZ S DE RL DE CV</t>
  </si>
  <si>
    <t>D    552</t>
  </si>
  <si>
    <t>0479-TCN14</t>
  </si>
  <si>
    <t>LIDERAZGO  AUTOMOTRIZ  DE PUEBLA S</t>
  </si>
  <si>
    <t>F-1360977</t>
  </si>
  <si>
    <t>LJIMENEZ:MENSUALIDAD SIENNA ABRIL</t>
  </si>
  <si>
    <t>D    611</t>
  </si>
  <si>
    <t>0480-TCN14</t>
  </si>
  <si>
    <t>AUTOMOTRIZ OACAXA DE ANTEQUERA S DE</t>
  </si>
  <si>
    <t>SAMURAI  MOTORS  S DE RL  DE C.V.</t>
  </si>
  <si>
    <t>AM-0001157</t>
  </si>
  <si>
    <t>0481-TCN14</t>
  </si>
  <si>
    <t>AUTOMOVILES  DINAMICOS  S DE RL DE</t>
  </si>
  <si>
    <t>D    806</t>
  </si>
  <si>
    <t>P006938</t>
  </si>
  <si>
    <t>TRASLADO POLANCO-CYA</t>
  </si>
  <si>
    <t>D    808</t>
  </si>
  <si>
    <t>P006940</t>
  </si>
  <si>
    <t>TRASLADO ZARAGOZA-CYA</t>
  </si>
  <si>
    <t>D    810</t>
  </si>
  <si>
    <t>P006942</t>
  </si>
  <si>
    <t>TRASLADO DURANGO-CYA</t>
  </si>
  <si>
    <t>D    815</t>
  </si>
  <si>
    <t>p006950</t>
  </si>
  <si>
    <t>D    817</t>
  </si>
  <si>
    <t>P006952</t>
  </si>
  <si>
    <t>TRASLADO PUERTO VALLARTA-CYA</t>
  </si>
  <si>
    <t>D    819</t>
  </si>
  <si>
    <t>P006954</t>
  </si>
  <si>
    <t>TRASLADO PACHUCA-CYA</t>
  </si>
  <si>
    <t>D    823</t>
  </si>
  <si>
    <t>P006956</t>
  </si>
  <si>
    <t>TRASLADO OAXACA-CYA</t>
  </si>
  <si>
    <t>P006958</t>
  </si>
  <si>
    <t>P006960</t>
  </si>
  <si>
    <t>D    831</t>
  </si>
  <si>
    <t>P006962</t>
  </si>
  <si>
    <t>TRASLADO PTO.VALLARTA-CYA</t>
  </si>
  <si>
    <t>D    860</t>
  </si>
  <si>
    <t>0482-TCN14</t>
  </si>
  <si>
    <t>UNITED AUTO DE  MONTERREY  S DE RL</t>
  </si>
  <si>
    <t>0472-TCN14</t>
  </si>
  <si>
    <t>D    960</t>
  </si>
  <si>
    <t>0473-TCN14</t>
  </si>
  <si>
    <t>0474-TCN14</t>
  </si>
  <si>
    <t>D    996</t>
  </si>
  <si>
    <t>0484-TCN14</t>
  </si>
  <si>
    <t>TOY  MORELOS  S DE RL  DE  CV</t>
  </si>
  <si>
    <t>D  1,016</t>
  </si>
  <si>
    <t>0485-TCN14</t>
  </si>
  <si>
    <t>FAME PERISUR  S DE RL DE CV</t>
  </si>
  <si>
    <t>0486-TCN14</t>
  </si>
  <si>
    <t>D  1,073</t>
  </si>
  <si>
    <t>D  1,081</t>
  </si>
  <si>
    <t>D  1,082</t>
  </si>
  <si>
    <t>0487-TCN14</t>
  </si>
  <si>
    <t>D  1,112</t>
  </si>
  <si>
    <t>0489-TCN14</t>
  </si>
  <si>
    <t>0488-TCN14</t>
  </si>
  <si>
    <t>D  1,115</t>
  </si>
  <si>
    <t>D  1,116</t>
  </si>
  <si>
    <t>0490-TCN14</t>
  </si>
  <si>
    <t>OZ  AUTOMOTRIZ S DE  RL  DE CV</t>
  </si>
  <si>
    <t>D  1,117</t>
  </si>
  <si>
    <t>0491-TCN14</t>
  </si>
  <si>
    <t>D  1,200</t>
  </si>
  <si>
    <t>COMISIONES STDER AL 16/04/14</t>
  </si>
  <si>
    <t>0492-TCN14</t>
  </si>
  <si>
    <t>AM-0001171</t>
  </si>
  <si>
    <t>LJIMENEZ:INTERNET ABRIL AM-1171</t>
  </si>
  <si>
    <t>D  1,349</t>
  </si>
  <si>
    <t>AM-0001176</t>
  </si>
  <si>
    <t>LJIMENEZ:FRAME RELAY ABRIL AM-1176</t>
  </si>
  <si>
    <t>D  1,377</t>
  </si>
  <si>
    <t>0494-TCN14</t>
  </si>
  <si>
    <t>AUTOMOTRIZ  OAXACA  DE  ANTEQUERA S</t>
  </si>
  <si>
    <t>D  1,408</t>
  </si>
  <si>
    <t>0495-TCN14</t>
  </si>
  <si>
    <t>TRASLADO VERACRUZ-PUEBLA EW141</t>
  </si>
  <si>
    <t>D  1,423</t>
  </si>
  <si>
    <t>TRASLADO MEXICO-CYA E0259415</t>
  </si>
  <si>
    <t>D  1,426</t>
  </si>
  <si>
    <t>TRASLADO CUERNAVACA-CYA E14300</t>
  </si>
  <si>
    <t>D  1,428</t>
  </si>
  <si>
    <t>TRASLADO OAXACA-CYA E0116883</t>
  </si>
  <si>
    <t>D  1,430</t>
  </si>
  <si>
    <t>TRASLADO TEZIUTLAN-CYA EC48714</t>
  </si>
  <si>
    <t>D  1,432</t>
  </si>
  <si>
    <t>P006977</t>
  </si>
  <si>
    <t>TRASLADO SATELITE-CYA EW152183</t>
  </si>
  <si>
    <t>D  1,434</t>
  </si>
  <si>
    <t>P006979</t>
  </si>
  <si>
    <t>TRASLADO ANGELOPOLIS-CYA ES016</t>
  </si>
  <si>
    <t>D  1,437</t>
  </si>
  <si>
    <t>P006981</t>
  </si>
  <si>
    <t>TRASLADO CUERNAVACA-CYA EP0590</t>
  </si>
  <si>
    <t>D  1,439</t>
  </si>
  <si>
    <t>TRASLADO CYA-OAXACA 9S277123</t>
  </si>
  <si>
    <t>D  1,446</t>
  </si>
  <si>
    <t>P006985</t>
  </si>
  <si>
    <t>TRASLADO GUADALAJ-CYA ES459241</t>
  </si>
  <si>
    <t>D  1,451</t>
  </si>
  <si>
    <t>TRASLADO PUEBLA-QRO EG312682</t>
  </si>
  <si>
    <t>D  1,453</t>
  </si>
  <si>
    <t>P006989</t>
  </si>
  <si>
    <t>TRASLADO MEXICO-CYA EP096582</t>
  </si>
  <si>
    <t>D  1,455</t>
  </si>
  <si>
    <t>TRASLADO MORELIA-CYA EW089772</t>
  </si>
  <si>
    <t>D  1,458</t>
  </si>
  <si>
    <t>GRUPO COLOGICA SA DE CV</t>
  </si>
  <si>
    <t>D  1,459</t>
  </si>
  <si>
    <t>D  1,460</t>
  </si>
  <si>
    <t>D  1,461</t>
  </si>
  <si>
    <t>D  1,465</t>
  </si>
  <si>
    <t>D  1,469</t>
  </si>
  <si>
    <t>D  1,480</t>
  </si>
  <si>
    <t>0496-TCN14</t>
  </si>
  <si>
    <t>D  1,498</t>
  </si>
  <si>
    <t>0497-TCN14</t>
  </si>
  <si>
    <t>PROMOTORA  AUTOMOTRIZ  DE  IRAPUATO</t>
  </si>
  <si>
    <t>D  1,524</t>
  </si>
  <si>
    <t>0498-TCN14</t>
  </si>
  <si>
    <t>ALDEN QUERETARO S DE RL  DE  CV</t>
  </si>
  <si>
    <t>D  1,541</t>
  </si>
  <si>
    <t>0499-TCN14</t>
  </si>
  <si>
    <t>VALOR  FARRERA  AUTOMOTRIZ S DE  RL</t>
  </si>
  <si>
    <t>D  1,598</t>
  </si>
  <si>
    <t>0500-TCN14</t>
  </si>
  <si>
    <t>OZ  AUTOMOTRIZ  S  DE RL DE CV</t>
  </si>
  <si>
    <t>D  1,699</t>
  </si>
  <si>
    <t>0501-TCN14</t>
  </si>
  <si>
    <t>D  1,710</t>
  </si>
  <si>
    <t>0502-TCN14</t>
  </si>
  <si>
    <t>D  1,711</t>
  </si>
  <si>
    <t>0503-TCN14</t>
  </si>
  <si>
    <t>0504-TCN14</t>
  </si>
  <si>
    <t>TOYOMOTORS S.A  DE C.V</t>
  </si>
  <si>
    <t>D  1,753</t>
  </si>
  <si>
    <t>0505-TCN14</t>
  </si>
  <si>
    <t>D  1,755</t>
  </si>
  <si>
    <t>0506-TCN14</t>
  </si>
  <si>
    <t>CEVER  TOLUCA S.A   DE  C.V</t>
  </si>
  <si>
    <t>D  1,808</t>
  </si>
  <si>
    <t>0507-TCN14</t>
  </si>
  <si>
    <t>D  1,813</t>
  </si>
  <si>
    <t>0508-TCN14</t>
  </si>
  <si>
    <t>D  1,912</t>
  </si>
  <si>
    <t>0509-TCN14</t>
  </si>
  <si>
    <t>UNITED AUTO D E AGUASCALIENTES  S</t>
  </si>
  <si>
    <t>D  1,915</t>
  </si>
  <si>
    <t>0510-TCN14</t>
  </si>
  <si>
    <t>LIDERAZGO  AUTOMOTRIZ  DE  PUEBLA</t>
  </si>
  <si>
    <t>0511-TCN14</t>
  </si>
  <si>
    <t>0513-TCN14</t>
  </si>
  <si>
    <t>0514-TCN14</t>
  </si>
  <si>
    <t>GARCIA DEA</t>
  </si>
  <si>
    <t>D  1,978</t>
  </si>
  <si>
    <t>REFACCIONARIA CALIFORNIA</t>
  </si>
  <si>
    <t>TANIA GABRIELA MARTINEZ CASTIL</t>
  </si>
  <si>
    <t>DISTRIB.DE TORNILLOS Y BIRLOS</t>
  </si>
  <si>
    <t>DISTRIBUIDORA LIVERPOOL SA CV</t>
  </si>
  <si>
    <t>VERIFICENTRO DE QUERETARO SA C</t>
  </si>
  <si>
    <t>RESTAURANTES CALIFORNIA SA CV</t>
  </si>
  <si>
    <t>IMPRESIONES LASSER BEAM S RL D</t>
  </si>
  <si>
    <t>D  1,999</t>
  </si>
  <si>
    <t>FLETES DE AGUA SANTA MARIA</t>
  </si>
  <si>
    <t>D  2,000</t>
  </si>
  <si>
    <t>HULES Y PARCHES DEL BAJIO</t>
  </si>
  <si>
    <t>D  2,001</t>
  </si>
  <si>
    <t>D  2,002</t>
  </si>
  <si>
    <t>D  2,003</t>
  </si>
  <si>
    <t>SISTEMA ROTATIVO DE ESPADAS SR</t>
  </si>
  <si>
    <t>AUTOZONE DE MEXICO S RL CV</t>
  </si>
  <si>
    <t>D  2,011</t>
  </si>
  <si>
    <t>GOLDEN CHINA BUFFET SA DE CV</t>
  </si>
  <si>
    <t>D  2,012</t>
  </si>
  <si>
    <t>AEROPUERTO INTERNACIONAL DE ME</t>
  </si>
  <si>
    <t>ESPECIALISTAS EN ALTA COCINA S</t>
  </si>
  <si>
    <t>D  2,014</t>
  </si>
  <si>
    <t>D  2,015</t>
  </si>
  <si>
    <t>YAZMIN IVONNE VAZQUEZ ALCANTAR</t>
  </si>
  <si>
    <t>D  2,019</t>
  </si>
  <si>
    <t>IMPORTADORA EL LECHA SA DE CV</t>
  </si>
  <si>
    <t>D  2,020</t>
  </si>
  <si>
    <t>D  2,021</t>
  </si>
  <si>
    <t>OFFICE DEPOT DE MEXICO SA CV</t>
  </si>
  <si>
    <t>D  2,025</t>
  </si>
  <si>
    <t>D  2,026</t>
  </si>
  <si>
    <t>D  2,027</t>
  </si>
  <si>
    <t>D  2,028</t>
  </si>
  <si>
    <t>CASETAS ISMAEL FIGUEROA</t>
  </si>
  <si>
    <t>D  2,030</t>
  </si>
  <si>
    <t>P007064</t>
  </si>
  <si>
    <t>TRASLADO VERACRUZ-CYA</t>
  </si>
  <si>
    <t>D  2,031</t>
  </si>
  <si>
    <t>P007065</t>
  </si>
  <si>
    <t>D  2,033</t>
  </si>
  <si>
    <t>TRASLADO CYA-CORDOVA</t>
  </si>
  <si>
    <t>p007069</t>
  </si>
  <si>
    <t>TRASLADO MTY-CYA ES471847</t>
  </si>
  <si>
    <t>D  2,037</t>
  </si>
  <si>
    <t>ELITE MOTORS SA DE CV</t>
  </si>
  <si>
    <t>D  2,038</t>
  </si>
  <si>
    <t>P007072</t>
  </si>
  <si>
    <t>D  2,039</t>
  </si>
  <si>
    <t>R001297</t>
  </si>
  <si>
    <t>D  2,040</t>
  </si>
  <si>
    <t>R001313</t>
  </si>
  <si>
    <t>D  2,041</t>
  </si>
  <si>
    <t>R001320</t>
  </si>
  <si>
    <t>D  2,042</t>
  </si>
  <si>
    <t>R001328</t>
  </si>
  <si>
    <t>D  2,043</t>
  </si>
  <si>
    <t>S000869</t>
  </si>
  <si>
    <t>D  2,044</t>
  </si>
  <si>
    <t>S000891</t>
  </si>
  <si>
    <t>D  2,045</t>
  </si>
  <si>
    <t>S000892</t>
  </si>
  <si>
    <t>SEVIBA SA DE CV</t>
  </si>
  <si>
    <t>S000899</t>
  </si>
  <si>
    <t>S000979</t>
  </si>
  <si>
    <t>S000982</t>
  </si>
  <si>
    <t>OLEUM SERVICE SA DE CV</t>
  </si>
  <si>
    <t>D  2,049</t>
  </si>
  <si>
    <t>S000983</t>
  </si>
  <si>
    <t>p007077</t>
  </si>
  <si>
    <t>TRASLADO MEXICO-QRO</t>
  </si>
  <si>
    <t>D  2,054</t>
  </si>
  <si>
    <t>IMPORTADORA EL LECHE SA DE CV</t>
  </si>
  <si>
    <t>D  2,057</t>
  </si>
  <si>
    <t>D  2,061</t>
  </si>
  <si>
    <t>S000992</t>
  </si>
  <si>
    <t>D  2,062</t>
  </si>
  <si>
    <t>R001340</t>
  </si>
  <si>
    <t>CH-14091</t>
  </si>
  <si>
    <t>CH-14095</t>
  </si>
  <si>
    <t>E      8</t>
  </si>
  <si>
    <t>CH-14096</t>
  </si>
  <si>
    <t>E     13</t>
  </si>
  <si>
    <t>CH-14087</t>
  </si>
  <si>
    <t>E     14</t>
  </si>
  <si>
    <t>CH-14099</t>
  </si>
  <si>
    <t>CH-14100</t>
  </si>
  <si>
    <t>E     16</t>
  </si>
  <si>
    <t>CH-14088</t>
  </si>
  <si>
    <t>E     17</t>
  </si>
  <si>
    <t>CH-14085</t>
  </si>
  <si>
    <t>CH-14101</t>
  </si>
  <si>
    <t>CH-14102</t>
  </si>
  <si>
    <t>E     20</t>
  </si>
  <si>
    <t>CH-14103</t>
  </si>
  <si>
    <t>E     27</t>
  </si>
  <si>
    <t>CH-14107</t>
  </si>
  <si>
    <t>CH-14108</t>
  </si>
  <si>
    <t>E     29</t>
  </si>
  <si>
    <t>CH-14109</t>
  </si>
  <si>
    <t>LJIMENEZ:AGUILA MENDEZ PEDRO SERGIO</t>
  </si>
  <si>
    <t>E     33</t>
  </si>
  <si>
    <t>CH-14113</t>
  </si>
  <si>
    <t>CH-14119</t>
  </si>
  <si>
    <t>CH-14121</t>
  </si>
  <si>
    <t>E     51</t>
  </si>
  <si>
    <t>CH-14125</t>
  </si>
  <si>
    <t>E     56</t>
  </si>
  <si>
    <t>CH-14130</t>
  </si>
  <si>
    <t>CH-14131</t>
  </si>
  <si>
    <t>E     58</t>
  </si>
  <si>
    <t>CH-14132</t>
  </si>
  <si>
    <t>GARCIA OLIVOS MA TERESA</t>
  </si>
  <si>
    <t>CH-14143</t>
  </si>
  <si>
    <t>CH-14144</t>
  </si>
  <si>
    <t>T-962</t>
  </si>
  <si>
    <t>T-963</t>
  </si>
  <si>
    <t>T-410</t>
  </si>
  <si>
    <t>T-964</t>
  </si>
  <si>
    <t>INVERSORA EY SA DE CV</t>
  </si>
  <si>
    <t>T-965</t>
  </si>
  <si>
    <t>RENDON DE LA HOZ JOSE DE LA PAZ</t>
  </si>
  <si>
    <t>T-966</t>
  </si>
  <si>
    <t>T-967</t>
  </si>
  <si>
    <t>E     79</t>
  </si>
  <si>
    <t>T-968</t>
  </si>
  <si>
    <t>REPRESENTACIONES DYCO Y ASOCIADOS S</t>
  </si>
  <si>
    <t>E     81</t>
  </si>
  <si>
    <t>T-969</t>
  </si>
  <si>
    <t>T-970</t>
  </si>
  <si>
    <t>E     83</t>
  </si>
  <si>
    <t>T-411</t>
  </si>
  <si>
    <t>T-412</t>
  </si>
  <si>
    <t>T-971</t>
  </si>
  <si>
    <t>T-972</t>
  </si>
  <si>
    <t>T-973</t>
  </si>
  <si>
    <t>T-974</t>
  </si>
  <si>
    <t>T-413</t>
  </si>
  <si>
    <t>T-414</t>
  </si>
  <si>
    <t>T-975</t>
  </si>
  <si>
    <t>E     92</t>
  </si>
  <si>
    <t>T-976</t>
  </si>
  <si>
    <t>T-977</t>
  </si>
  <si>
    <t>T-415</t>
  </si>
  <si>
    <t>T-416</t>
  </si>
  <si>
    <t>T-978</t>
  </si>
  <si>
    <t>T-979</t>
  </si>
  <si>
    <t>LJIMENEZ:SERVICIO AUDITORIO SA DE C</t>
  </si>
  <si>
    <t>T-980</t>
  </si>
  <si>
    <t>CH-14145</t>
  </si>
  <si>
    <t>CH-14149</t>
  </si>
  <si>
    <t>CH-14150</t>
  </si>
  <si>
    <t>CH-14140</t>
  </si>
  <si>
    <t>CH-14151</t>
  </si>
  <si>
    <t>CH-14157</t>
  </si>
  <si>
    <t>CH-14156</t>
  </si>
  <si>
    <t>CH-14159</t>
  </si>
  <si>
    <t>CH-14160</t>
  </si>
  <si>
    <t>CH-14161</t>
  </si>
  <si>
    <t>CH-14164</t>
  </si>
  <si>
    <t>VASQUEZ ALCANTARA EDER OCTAVIO</t>
  </si>
  <si>
    <t>CH-14165</t>
  </si>
  <si>
    <t>CH-14167</t>
  </si>
  <si>
    <t>CH-14170</t>
  </si>
  <si>
    <t>CH-14171</t>
  </si>
  <si>
    <t>COMISIONES BBVA AL 14/04/14</t>
  </si>
  <si>
    <t>CH-14176</t>
  </si>
  <si>
    <t>E    135</t>
  </si>
  <si>
    <t>T-981</t>
  </si>
  <si>
    <t>E    136</t>
  </si>
  <si>
    <t>T-417</t>
  </si>
  <si>
    <t>T-983</t>
  </si>
  <si>
    <t>T-984</t>
  </si>
  <si>
    <t>T-985</t>
  </si>
  <si>
    <t>T-986</t>
  </si>
  <si>
    <t>T-987</t>
  </si>
  <si>
    <t>T-418</t>
  </si>
  <si>
    <t>T-988</t>
  </si>
  <si>
    <t>T-419</t>
  </si>
  <si>
    <t>GRUPO DE PRESTIGIO EN AUDIO Y VIDEO</t>
  </si>
  <si>
    <t>T-989</t>
  </si>
  <si>
    <t>T-990</t>
  </si>
  <si>
    <t>T-991</t>
  </si>
  <si>
    <t>T-992</t>
  </si>
  <si>
    <t>E    150</t>
  </si>
  <si>
    <t>T-993</t>
  </si>
  <si>
    <t>T-420</t>
  </si>
  <si>
    <t>T-994</t>
  </si>
  <si>
    <t>CH-14178</t>
  </si>
  <si>
    <t>CH-14179</t>
  </si>
  <si>
    <t>E    158</t>
  </si>
  <si>
    <t>COMISIONES BBVA AL 21/04/2014</t>
  </si>
  <si>
    <t>E    159</t>
  </si>
  <si>
    <t>CH-14182</t>
  </si>
  <si>
    <t>CH-14183</t>
  </si>
  <si>
    <t>CH-14185</t>
  </si>
  <si>
    <t>LJIMENEZ:CALIDAD CONSULTORIA Y CONS</t>
  </si>
  <si>
    <t>COMISIONES BNTE AL 11/04/14</t>
  </si>
  <si>
    <t>COMISIONES BAJIO AL 08/04/14</t>
  </si>
  <si>
    <t>E    165</t>
  </si>
  <si>
    <t>CH-14186</t>
  </si>
  <si>
    <t>E    167</t>
  </si>
  <si>
    <t>CH-14188</t>
  </si>
  <si>
    <t>E    168</t>
  </si>
  <si>
    <t>CH-14189</t>
  </si>
  <si>
    <t>E    169</t>
  </si>
  <si>
    <t>COMISIONES BMX AL 21/04/14</t>
  </si>
  <si>
    <t>E    175</t>
  </si>
  <si>
    <t>CH-14191</t>
  </si>
  <si>
    <t>E    176</t>
  </si>
  <si>
    <t>CH-14192</t>
  </si>
  <si>
    <t>CALATAYUD ESCALONA EDUADO</t>
  </si>
  <si>
    <t>T-995</t>
  </si>
  <si>
    <t>BERNAL VALLE TERESA LIZBETH</t>
  </si>
  <si>
    <t>T-421</t>
  </si>
  <si>
    <t>T-422</t>
  </si>
  <si>
    <t>E    186</t>
  </si>
  <si>
    <t>T-996</t>
  </si>
  <si>
    <t>E    187</t>
  </si>
  <si>
    <t>T-423</t>
  </si>
  <si>
    <t>E    188</t>
  </si>
  <si>
    <t>T-997</t>
  </si>
  <si>
    <t>LJIMENEZ:OFFICE DEPOT DE MEXICO S.A</t>
  </si>
  <si>
    <t>E    189</t>
  </si>
  <si>
    <t>T-998</t>
  </si>
  <si>
    <t>T-999</t>
  </si>
  <si>
    <t>T-424</t>
  </si>
  <si>
    <t>E    192</t>
  </si>
  <si>
    <t>T-1000</t>
  </si>
  <si>
    <t>E    193</t>
  </si>
  <si>
    <t>CH-14166</t>
  </si>
  <si>
    <t>GUTIERREZ GONZALEZ ENRIQUE FRANCISC</t>
  </si>
  <si>
    <t>CH-14195</t>
  </si>
  <si>
    <t>CH-14197</t>
  </si>
  <si>
    <t>COM-BBVA</t>
  </si>
  <si>
    <t>COMISIONES BBVA AL 25/04/2014</t>
  </si>
  <si>
    <t>E    200</t>
  </si>
  <si>
    <t>COMISIONES BMX AL 24/04/2014</t>
  </si>
  <si>
    <t>COM.IVLAT</t>
  </si>
  <si>
    <t>COMISION INVERLAT 04/2014</t>
  </si>
  <si>
    <t>CH-14205</t>
  </si>
  <si>
    <t>CH-14206</t>
  </si>
  <si>
    <t>CH-14207</t>
  </si>
  <si>
    <t>CH-14211</t>
  </si>
  <si>
    <t>E    219</t>
  </si>
  <si>
    <t>CH-14212</t>
  </si>
  <si>
    <t>CH-14214</t>
  </si>
  <si>
    <t>CH-14215</t>
  </si>
  <si>
    <t>E    224</t>
  </si>
  <si>
    <t>COMISIONES AL 29/04/2014</t>
  </si>
  <si>
    <t>E    225</t>
  </si>
  <si>
    <t>COMISIONES BMX AL 29/04/14</t>
  </si>
  <si>
    <t>E    226</t>
  </si>
  <si>
    <t>CH-14180</t>
  </si>
  <si>
    <t>CH-14202</t>
  </si>
  <si>
    <t>OZ AUTOMOTRIZ S. DE R.L. DE C.V.</t>
  </si>
  <si>
    <t>CH-14217</t>
  </si>
  <si>
    <t>CH-14218</t>
  </si>
  <si>
    <t>CH-14219</t>
  </si>
  <si>
    <t>CH-14222</t>
  </si>
  <si>
    <t>CH-14201</t>
  </si>
  <si>
    <t>JUAREZ JIMENEZ JARED</t>
  </si>
  <si>
    <t>COM.BMX AL 29/04/2014</t>
  </si>
  <si>
    <t>COMISIONES BBVA AL 30/04/14</t>
  </si>
  <si>
    <t>COMISIONES AMEX 04/2014</t>
  </si>
  <si>
    <t>COM.BMX AL 30/04/2014</t>
  </si>
  <si>
    <t>CH-14208</t>
  </si>
  <si>
    <t>COMISION BNTE AL 30/04/14</t>
  </si>
  <si>
    <t>REFACCIONE</t>
  </si>
  <si>
    <t>REFACCIONES CH-14196</t>
  </si>
  <si>
    <t>REFACCIONES CH-14094</t>
  </si>
  <si>
    <t>I    404</t>
  </si>
  <si>
    <t>EMBARQUE79</t>
  </si>
  <si>
    <t>EMBARQUE 79</t>
  </si>
  <si>
    <t>AIC980601988</t>
  </si>
  <si>
    <t>ATO0108161E1</t>
  </si>
  <si>
    <t>AUTOMOTRIZ TOY SA DE DE CV</t>
  </si>
  <si>
    <t>BEVT8309183A9</t>
  </si>
  <si>
    <t>CAEE580104DC6</t>
  </si>
  <si>
    <t>EMO99060242A</t>
  </si>
  <si>
    <t>EAC8504236U5</t>
  </si>
  <si>
    <t>CAMR7004154J8</t>
  </si>
  <si>
    <t xml:space="preserve">RECTIFICACIONES VAZCO SA DE CV </t>
  </si>
  <si>
    <t>CES130228LV4</t>
  </si>
  <si>
    <t xml:space="preserve">CORREGIDORA LA ESTANCIA SA DE CV </t>
  </si>
  <si>
    <t>GCB081127PK7</t>
  </si>
  <si>
    <t>GPA0810247F3</t>
  </si>
  <si>
    <t>GUGE6311182H3</t>
  </si>
  <si>
    <t>SAME501118ED3</t>
  </si>
  <si>
    <t>ILE070712D2A</t>
  </si>
  <si>
    <t>IEY091126RR3</t>
  </si>
  <si>
    <t>JUJJ8201259F0</t>
  </si>
  <si>
    <t>OSE110824C75</t>
  </si>
  <si>
    <t>CDO0509296I9</t>
  </si>
  <si>
    <t>REHP5603172N2</t>
  </si>
  <si>
    <t>RDY131009N83</t>
  </si>
  <si>
    <t>RCA950901KWA</t>
  </si>
  <si>
    <t>SRE1309034W9</t>
  </si>
  <si>
    <t>MACT880227TE2</t>
  </si>
  <si>
    <t>VAAE850203JA2</t>
  </si>
  <si>
    <t>VQU120907412</t>
  </si>
  <si>
    <t>SMO040908TU4</t>
  </si>
  <si>
    <t>AUMP360418JT8</t>
  </si>
  <si>
    <t>AGUILA MENDEZ PEDRO SERGIO</t>
  </si>
  <si>
    <t>FPE010903R76</t>
  </si>
  <si>
    <t>FAME   PERISUR  S  DELRL DE CV</t>
  </si>
  <si>
    <t>ABRIL</t>
  </si>
  <si>
    <t xml:space="preserve">AUTOBUSES ESTRELLA BLANCA SA DE CV </t>
  </si>
  <si>
    <t>ESB7607159X2</t>
  </si>
  <si>
    <t>ESTACION DE SERVICIOS BUENAVISTA SA</t>
  </si>
  <si>
    <t xml:space="preserve">SERVICIOS GASOLINEROS SAN CARLOS SA DE CV </t>
  </si>
  <si>
    <t>D  1,427</t>
  </si>
  <si>
    <t xml:space="preserve">NADYA YAZMIN CHAVEZ </t>
  </si>
  <si>
    <t>STE9204077W5</t>
  </si>
  <si>
    <t xml:space="preserve">SERVICIOS TURISTICOS ENRIQUEZ SA DE CV </t>
  </si>
  <si>
    <t>GATF491004TL7</t>
  </si>
  <si>
    <t xml:space="preserve">FRANCISCA GARCIA TORRES </t>
  </si>
  <si>
    <t xml:space="preserve">GASOLINERA OMEGA MATEHUALA II SA DE CV </t>
  </si>
  <si>
    <t>SCA9301296S4</t>
  </si>
  <si>
    <t xml:space="preserve">SERVICIOS CASTELLANOS SA DE CV </t>
  </si>
  <si>
    <t>SCI0804295X6</t>
  </si>
  <si>
    <t xml:space="preserve">SERVICIO EL CHINO SA DE CV </t>
  </si>
  <si>
    <t xml:space="preserve">AUTOBUSES DE LA PIEDAD </t>
  </si>
  <si>
    <t>PARO600528HKA</t>
  </si>
  <si>
    <t xml:space="preserve">OLIVIA PATLAN REA </t>
  </si>
  <si>
    <t>GORE6401196X2</t>
  </si>
  <si>
    <t xml:space="preserve">EDUARDO GABRIEL GONZALEZ REYNOSO </t>
  </si>
  <si>
    <t>AUTOBUSES DE LA PIEDAD SA DE CV</t>
  </si>
  <si>
    <t xml:space="preserve">COMERCIALIZADORA ALEXA SA DE CV </t>
  </si>
  <si>
    <t>STN020920H92</t>
  </si>
  <si>
    <t xml:space="preserve">SERVICIO TEOLOYUCAN NUEVO SIGLO SA DE CV </t>
  </si>
  <si>
    <t xml:space="preserve">TIENDA SINDICAL DE CONSUMO SECCION X SAN FRANCISCO SA DE CV </t>
  </si>
  <si>
    <t xml:space="preserve">LAURA LIDIA RANGEL TORRES </t>
  </si>
  <si>
    <t xml:space="preserve">PETROMAX SA DE CV </t>
  </si>
  <si>
    <t xml:space="preserve">OPERADORA DE GASOLINERAS DEL SURESTE SA DE CV </t>
  </si>
  <si>
    <t>SDU040607FA9</t>
  </si>
  <si>
    <t xml:space="preserve">SERVICIO DUBLIN SA DE CV </t>
  </si>
  <si>
    <t>AUTOBUSES DE LA PIEDAD SA</t>
  </si>
  <si>
    <t>CGM011210S71</t>
  </si>
  <si>
    <t>CORPORACION GASOLINERA MILLENIUM SA</t>
  </si>
  <si>
    <t>GESG611221RC9</t>
  </si>
  <si>
    <t xml:space="preserve">GILBERTO GYEK SANCHEZ </t>
  </si>
  <si>
    <t xml:space="preserve">AUTOBUSES DE LA PIEDAD SA </t>
  </si>
  <si>
    <t>LVI930623RN4</t>
  </si>
  <si>
    <t xml:space="preserve">LINEA VIA SA DE CV </t>
  </si>
  <si>
    <t>PEZG250609LJ5</t>
  </si>
  <si>
    <t xml:space="preserve">MARIA DE LA GRACIA CONSUELO </t>
  </si>
  <si>
    <t>RAVM5807174G3</t>
  </si>
  <si>
    <t xml:space="preserve">MARCO ALEJO RAMOS VILLA </t>
  </si>
  <si>
    <t>PCO850427JIA</t>
  </si>
  <si>
    <t xml:space="preserve">PROVEEDORA DE COMBUSTIBLES ORIZABA SA DE CV </t>
  </si>
  <si>
    <t>AMP521016875</t>
  </si>
  <si>
    <t xml:space="preserve">AUTOBUSES MEXICO ESTRELLA ROJA SA DE CV </t>
  </si>
  <si>
    <t>GRC1108097G1</t>
  </si>
  <si>
    <t xml:space="preserve">GASOLINERA RUIZ CORTINES SA </t>
  </si>
  <si>
    <t>HULA420421TQ8</t>
  </si>
  <si>
    <t xml:space="preserve">ANSELMA EDITH HUESCA LAGUNES </t>
  </si>
  <si>
    <t>AAGC630727PX8</t>
  </si>
  <si>
    <t xml:space="preserve">MA DEL CARMEN ALVAREZ GUERRERO </t>
  </si>
  <si>
    <t>D  1,421</t>
  </si>
  <si>
    <t>D    106</t>
  </si>
  <si>
    <t>0515-TCN14</t>
  </si>
  <si>
    <t>D    107</t>
  </si>
  <si>
    <t>0516-TCN14</t>
  </si>
  <si>
    <t>D    119</t>
  </si>
  <si>
    <t>F-1368663</t>
  </si>
  <si>
    <t>LJIMENEZ:MENSUALIDAD COROLLA MAYO</t>
  </si>
  <si>
    <t>D    120</t>
  </si>
  <si>
    <t>F-1396337</t>
  </si>
  <si>
    <t>LJIMENEZ:MENSUALIDAD HILUX MAYO</t>
  </si>
  <si>
    <t>D    128</t>
  </si>
  <si>
    <t>0517-TCN14</t>
  </si>
  <si>
    <t>D    129</t>
  </si>
  <si>
    <t>0518-TCN14</t>
  </si>
  <si>
    <t>D    130</t>
  </si>
  <si>
    <t>0519-TCN14</t>
  </si>
  <si>
    <t>D    140</t>
  </si>
  <si>
    <t>0520-TCN14</t>
  </si>
  <si>
    <t>LIDERAZGO  AUTOMOTRIZ DE PUEBLA S D</t>
  </si>
  <si>
    <t>D    144</t>
  </si>
  <si>
    <t>0521-TCN14</t>
  </si>
  <si>
    <t>D    145</t>
  </si>
  <si>
    <t>0522-TCN14</t>
  </si>
  <si>
    <t>D    147</t>
  </si>
  <si>
    <t>0523-TCN14</t>
  </si>
  <si>
    <t>0524-TCN14</t>
  </si>
  <si>
    <t>D    150</t>
  </si>
  <si>
    <t>0525-TCN14</t>
  </si>
  <si>
    <t>D    178</t>
  </si>
  <si>
    <t>0532-TCN14</t>
  </si>
  <si>
    <t>SAMURAI MOTORS S DE RL  DE  CV</t>
  </si>
  <si>
    <t>D    256</t>
  </si>
  <si>
    <t>0526-TCN14</t>
  </si>
  <si>
    <t>D    257</t>
  </si>
  <si>
    <t>0527-TCN14</t>
  </si>
  <si>
    <t>D    259</t>
  </si>
  <si>
    <t>0528-TCN14</t>
  </si>
  <si>
    <t>D    360</t>
  </si>
  <si>
    <t>0531-TCN14</t>
  </si>
  <si>
    <t>D    361</t>
  </si>
  <si>
    <t>0530-TCN14</t>
  </si>
  <si>
    <t>D    363</t>
  </si>
  <si>
    <t>0529-TCN14</t>
  </si>
  <si>
    <t>0534-TCN14</t>
  </si>
  <si>
    <t>D    420</t>
  </si>
  <si>
    <t>0535-TCN14</t>
  </si>
  <si>
    <t>0536-TCN14</t>
  </si>
  <si>
    <t>D    525</t>
  </si>
  <si>
    <t>0533-TCN14</t>
  </si>
  <si>
    <t>D    538</t>
  </si>
  <si>
    <t>0537-TCN14</t>
  </si>
  <si>
    <t>TOYOCOAPA  S D E RL DE CV</t>
  </si>
  <si>
    <t>D    542</t>
  </si>
  <si>
    <t>0539-TCN14</t>
  </si>
  <si>
    <t>PROMOTORA AUTOMOTRIZ  DE  IRAPUATO</t>
  </si>
  <si>
    <t>D    543</t>
  </si>
  <si>
    <t>0538-TCN14</t>
  </si>
  <si>
    <t>0553-TCN14</t>
  </si>
  <si>
    <t>AUTOMOTORES DE LA  LAGUNA  S,A  DE</t>
  </si>
  <si>
    <t>D    553</t>
  </si>
  <si>
    <t>0540-TCN14</t>
  </si>
  <si>
    <t>D    563</t>
  </si>
  <si>
    <t>0543-TCN14</t>
  </si>
  <si>
    <t>0544-TCN14</t>
  </si>
  <si>
    <t>D    566</t>
  </si>
  <si>
    <t>0545-TCN14</t>
  </si>
  <si>
    <t>D    567</t>
  </si>
  <si>
    <t>0546-TCN14</t>
  </si>
  <si>
    <t>D    568</t>
  </si>
  <si>
    <t>0547-TCN14</t>
  </si>
  <si>
    <t>D    570</t>
  </si>
  <si>
    <t>0548-TCN14</t>
  </si>
  <si>
    <t>D    572</t>
  </si>
  <si>
    <t>0549-TCN14</t>
  </si>
  <si>
    <t>D    573</t>
  </si>
  <si>
    <t>0550-TCN14</t>
  </si>
  <si>
    <t>D    574</t>
  </si>
  <si>
    <t>0551-TCN14</t>
  </si>
  <si>
    <t>D    575</t>
  </si>
  <si>
    <t>0552-TCN14</t>
  </si>
  <si>
    <t>D    581</t>
  </si>
  <si>
    <t>0541-TCN14</t>
  </si>
  <si>
    <t>D    582</t>
  </si>
  <si>
    <t>0542-TCN14</t>
  </si>
  <si>
    <t>D    584</t>
  </si>
  <si>
    <t>F-1380828</t>
  </si>
  <si>
    <t>LJIMENEZ:MENSUALIDAD SIENNA MAYO</t>
  </si>
  <si>
    <t>D    617</t>
  </si>
  <si>
    <t>AM-0001202</t>
  </si>
  <si>
    <t>D    648</t>
  </si>
  <si>
    <t>D    650</t>
  </si>
  <si>
    <t>D    656</t>
  </si>
  <si>
    <t>D    658</t>
  </si>
  <si>
    <t>FIX FERRETERIA CYA</t>
  </si>
  <si>
    <t>D    666</t>
  </si>
  <si>
    <t>PT CARLOS ARMANDO SOTO ANGELES</t>
  </si>
  <si>
    <t>D    673</t>
  </si>
  <si>
    <t>P007220</t>
  </si>
  <si>
    <t>TRASLADO AEROPUERTO MEX-CYA</t>
  </si>
  <si>
    <t>D    683</t>
  </si>
  <si>
    <t>HOME DEPOT MEXICO S RL CV</t>
  </si>
  <si>
    <t>D    685</t>
  </si>
  <si>
    <t>JAVIER DELGADO HERNANDEZ</t>
  </si>
  <si>
    <t>D    740</t>
  </si>
  <si>
    <t>D    743</t>
  </si>
  <si>
    <t>D    744</t>
  </si>
  <si>
    <t>D    745</t>
  </si>
  <si>
    <t>SERVICIO COMERCIAL GARIS SA CV</t>
  </si>
  <si>
    <t>D    746</t>
  </si>
  <si>
    <t>P007235</t>
  </si>
  <si>
    <t>JUMAPA</t>
  </si>
  <si>
    <t>D    747</t>
  </si>
  <si>
    <t>CASETAS GCIA.</t>
  </si>
  <si>
    <t>S000997</t>
  </si>
  <si>
    <t>D    778</t>
  </si>
  <si>
    <t>D    779</t>
  </si>
  <si>
    <t>D    780</t>
  </si>
  <si>
    <t>MARELA CALDERON CORREA ANTARES</t>
  </si>
  <si>
    <t>D    782</t>
  </si>
  <si>
    <t>VICTOR MANUEL YAÑEZ ALONSO</t>
  </si>
  <si>
    <t>D    891</t>
  </si>
  <si>
    <t>GATOSCAJA1</t>
  </si>
  <si>
    <t>LJIMENEZ:BALBUENA SALAZAR PATRICIA</t>
  </si>
  <si>
    <t>D    901</t>
  </si>
  <si>
    <t>LJIMENEZ:0040U/14RAMIREZ PROCEL MAR</t>
  </si>
  <si>
    <t>D    929</t>
  </si>
  <si>
    <t>0554-TCN14</t>
  </si>
  <si>
    <t>D    957</t>
  </si>
  <si>
    <t>0555-TCN14</t>
  </si>
  <si>
    <t>TOYOCOAPA  S DE RL DE CV</t>
  </si>
  <si>
    <t>D  1,051</t>
  </si>
  <si>
    <t>0556-TCN14</t>
  </si>
  <si>
    <t>PROMOTORA AUTOMOTRIZ DE  IRAPUATO</t>
  </si>
  <si>
    <t>D  1,055</t>
  </si>
  <si>
    <t>0557-TCN14</t>
  </si>
  <si>
    <t>D  1,109</t>
  </si>
  <si>
    <t>0558-TCN14</t>
  </si>
  <si>
    <t>DALTON AUTOMOTORES  S DE  RL DE CV</t>
  </si>
  <si>
    <t>D  1,284</t>
  </si>
  <si>
    <t>AM-0001215</t>
  </si>
  <si>
    <t>D  1,285</t>
  </si>
  <si>
    <t>AM-0001220</t>
  </si>
  <si>
    <t>D  1,318</t>
  </si>
  <si>
    <t>0559-TCN14</t>
  </si>
  <si>
    <t>UNITED  AUTO DE MONTERREY  S DE RL</t>
  </si>
  <si>
    <t>D  1,334</t>
  </si>
  <si>
    <t>0560-TCN14</t>
  </si>
  <si>
    <t>D  1,336</t>
  </si>
  <si>
    <t>0561-TCN14</t>
  </si>
  <si>
    <t>ALDEN  QUERETARO   S DE RL DE  CV</t>
  </si>
  <si>
    <t>0562-TCN14</t>
  </si>
  <si>
    <t>0563-TCN14</t>
  </si>
  <si>
    <t>D  1,468</t>
  </si>
  <si>
    <t>0564-TCN14</t>
  </si>
  <si>
    <t>PROMOTORA  AUTOMOTRIZ S DE RL DE CV</t>
  </si>
  <si>
    <t>D  1,474</t>
  </si>
  <si>
    <t>0565-TCN14</t>
  </si>
  <si>
    <t>D  1,513</t>
  </si>
  <si>
    <t>0566-TCN14</t>
  </si>
  <si>
    <t>D  1,518</t>
  </si>
  <si>
    <t>0567-TCN14</t>
  </si>
  <si>
    <t>D  1,521</t>
  </si>
  <si>
    <t>0568-TCN14</t>
  </si>
  <si>
    <t>0570-TCN14</t>
  </si>
  <si>
    <t>D  1,526</t>
  </si>
  <si>
    <t>0571-TCN14</t>
  </si>
  <si>
    <t>D  1,528</t>
  </si>
  <si>
    <t>0572-TCN14</t>
  </si>
  <si>
    <t>D  1,639</t>
  </si>
  <si>
    <t>0573-TCN14</t>
  </si>
  <si>
    <t>PROMOTORA  AUTOMOTRIZ SANTA  FE S.A</t>
  </si>
  <si>
    <t>D  1,682</t>
  </si>
  <si>
    <t>AR00013002</t>
  </si>
  <si>
    <t>D  1,684</t>
  </si>
  <si>
    <t>AR00013003</t>
  </si>
  <si>
    <t>D  1,685</t>
  </si>
  <si>
    <t>0574-TCN14</t>
  </si>
  <si>
    <t>D  1,686</t>
  </si>
  <si>
    <t>0575-TCN14</t>
  </si>
  <si>
    <t>D  1,687</t>
  </si>
  <si>
    <t>0576-TCN14</t>
  </si>
  <si>
    <t>0577-TCN14</t>
  </si>
  <si>
    <t>D  1,690</t>
  </si>
  <si>
    <t>0578-TCN14</t>
  </si>
  <si>
    <t>0579-TCN14</t>
  </si>
  <si>
    <t>0580-TCN14</t>
  </si>
  <si>
    <t>D  1,703</t>
  </si>
  <si>
    <t>0581-TCN14</t>
  </si>
  <si>
    <t>D  1,704</t>
  </si>
  <si>
    <t>0582-TCN14</t>
  </si>
  <si>
    <t>D  1,705</t>
  </si>
  <si>
    <t>0583-TCN14</t>
  </si>
  <si>
    <t>0584-TCN14</t>
  </si>
  <si>
    <t>D  1,715</t>
  </si>
  <si>
    <t>0585-TCN14</t>
  </si>
  <si>
    <t>D  1,716</t>
  </si>
  <si>
    <t>0586-TCN14</t>
  </si>
  <si>
    <t>D  1,742</t>
  </si>
  <si>
    <t>0587-TCN14</t>
  </si>
  <si>
    <t>OZ  AUTOMOTRIZ  S  DE  RL DE  CV</t>
  </si>
  <si>
    <t>D  1,747</t>
  </si>
  <si>
    <t>0588-TCN14</t>
  </si>
  <si>
    <t>D  1,754</t>
  </si>
  <si>
    <t>0589-TCN14</t>
  </si>
  <si>
    <t>0590-TCN14</t>
  </si>
  <si>
    <t>D  1,766</t>
  </si>
  <si>
    <t>0591-TCN14</t>
  </si>
  <si>
    <t>D  1,768</t>
  </si>
  <si>
    <t>0592-TCN14</t>
  </si>
  <si>
    <t>D  1,769</t>
  </si>
  <si>
    <t>0593-TCN14</t>
  </si>
  <si>
    <t>D  1,770</t>
  </si>
  <si>
    <t>0594-TCN14</t>
  </si>
  <si>
    <t>D  1,771</t>
  </si>
  <si>
    <t>0595-TCN14</t>
  </si>
  <si>
    <t>D  1,772</t>
  </si>
  <si>
    <t>0596-TCN14</t>
  </si>
  <si>
    <t>D  1,791</t>
  </si>
  <si>
    <t>D  1,796</t>
  </si>
  <si>
    <t>CURSOREGLA</t>
  </si>
  <si>
    <t>LJIMENEZ:GVA CONSULTORIA Y CAPACITA</t>
  </si>
  <si>
    <t>D  1,821</t>
  </si>
  <si>
    <t>0597-TCN14</t>
  </si>
  <si>
    <t>LIDERAZGO AUTOMOTRIZ S DE RL DE CV</t>
  </si>
  <si>
    <t>0598-TCN14</t>
  </si>
  <si>
    <t>D  1,871</t>
  </si>
  <si>
    <t>0599-TCN14</t>
  </si>
  <si>
    <t>OZ  AUTOMOTRIZ S D ERL DE CV</t>
  </si>
  <si>
    <t>D  1,872</t>
  </si>
  <si>
    <t>0605-TCN14</t>
  </si>
  <si>
    <t>ALECSA  PACHUCA  S  DE RL  DE CV</t>
  </si>
  <si>
    <t>D  1,880</t>
  </si>
  <si>
    <t>0604-TCN14</t>
  </si>
  <si>
    <t>ALDEN SATELITE  S DE  RL DE CV</t>
  </si>
  <si>
    <t>D  1,882</t>
  </si>
  <si>
    <t>0600-TCN14</t>
  </si>
  <si>
    <t>OZ  AUTOMOTRIZ  S DE RL DE CV</t>
  </si>
  <si>
    <t>D  1,883</t>
  </si>
  <si>
    <t>0603-TCN14</t>
  </si>
  <si>
    <t>OZ  AUTOMOTRIZ S  DE RL DE CV</t>
  </si>
  <si>
    <t>D  1,884</t>
  </si>
  <si>
    <t>0602-TCN14</t>
  </si>
  <si>
    <t>OZ AUTOMOTRIZ S DE RL  DE  CV</t>
  </si>
  <si>
    <t>D  1,885</t>
  </si>
  <si>
    <t>0601-TCN14</t>
  </si>
  <si>
    <t>OZ AUTOMOTRIZ S D RLD E CV</t>
  </si>
  <si>
    <t>0606-TCN14</t>
  </si>
  <si>
    <t>UNITED  AUTO DE  MONTERREY S DE RL</t>
  </si>
  <si>
    <t>0607-TCN14</t>
  </si>
  <si>
    <t>0608-TCN14</t>
  </si>
  <si>
    <t>CALIDAD  DE TABASCO S DE RL DE CV</t>
  </si>
  <si>
    <t>0609-TCN14</t>
  </si>
  <si>
    <t>AUTOMOTRIZ  OAXACA  DE  ANTEQUERA</t>
  </si>
  <si>
    <t>AM-0001241</t>
  </si>
  <si>
    <t>P007273</t>
  </si>
  <si>
    <t>TRASLADO INV.0532-TCN14</t>
  </si>
  <si>
    <t>P007275</t>
  </si>
  <si>
    <t>TRASLADO INV.0537-TCN14</t>
  </si>
  <si>
    <t>D  2,097</t>
  </si>
  <si>
    <t>P007277</t>
  </si>
  <si>
    <t>TRASLADO INV.0510-TCN14</t>
  </si>
  <si>
    <t>D  2,099</t>
  </si>
  <si>
    <t>P007279</t>
  </si>
  <si>
    <t>TRASLADO INV.0536-TCN14</t>
  </si>
  <si>
    <t>P007281</t>
  </si>
  <si>
    <t>TRASLADO VIN ES460954</t>
  </si>
  <si>
    <t>P007283</t>
  </si>
  <si>
    <t>TRASLADO IN.0508-TCN14</t>
  </si>
  <si>
    <t>D  2,114</t>
  </si>
  <si>
    <t>COMISIONES AL 30/05/2014</t>
  </si>
  <si>
    <t>P007285</t>
  </si>
  <si>
    <t>TRASLADO INV.0553-TCN14</t>
  </si>
  <si>
    <t>TRASLADO ES 531481</t>
  </si>
  <si>
    <t>TRASLADO EL150277</t>
  </si>
  <si>
    <t>TRASLADO SILAO-QRO</t>
  </si>
  <si>
    <t>D  2,148</t>
  </si>
  <si>
    <t>TRASLADO MEX-QRO</t>
  </si>
  <si>
    <t>P007296</t>
  </si>
  <si>
    <t>TRASLADO VIN E0006470</t>
  </si>
  <si>
    <t>P007298</t>
  </si>
  <si>
    <t>TRASLADO INV.0497-TCN14</t>
  </si>
  <si>
    <t>P007300</t>
  </si>
  <si>
    <t>TRASLADO INV.0509-TCN14</t>
  </si>
  <si>
    <t>S000956</t>
  </si>
  <si>
    <t>R001371</t>
  </si>
  <si>
    <t>D  2,157</t>
  </si>
  <si>
    <t>S000998</t>
  </si>
  <si>
    <t>s000906</t>
  </si>
  <si>
    <t>S000944</t>
  </si>
  <si>
    <t>S000909</t>
  </si>
  <si>
    <t>S000913</t>
  </si>
  <si>
    <t>BALEROS Y RETENES SUAREZ SA DE</t>
  </si>
  <si>
    <t>P007405</t>
  </si>
  <si>
    <t>TRASLADO DE CANCUN HIGHLANDER</t>
  </si>
  <si>
    <t>D  2,179</t>
  </si>
  <si>
    <t>D  2,181</t>
  </si>
  <si>
    <t>PINTURAS DE CELAYA SA DE CV</t>
  </si>
  <si>
    <t>D  2,183</t>
  </si>
  <si>
    <t>D  2,185</t>
  </si>
  <si>
    <t>D  2,187</t>
  </si>
  <si>
    <t>AUDATEX LTN S DE RL DE CV</t>
  </si>
  <si>
    <t>D  2,191</t>
  </si>
  <si>
    <t>D  2,196</t>
  </si>
  <si>
    <t>P007438</t>
  </si>
  <si>
    <t>GESTORIA UNID.COROLLA VINEP071</t>
  </si>
  <si>
    <t>P007439</t>
  </si>
  <si>
    <t>AUTOPAINT SA DE CV</t>
  </si>
  <si>
    <t>D  2,198</t>
  </si>
  <si>
    <t>P007440</t>
  </si>
  <si>
    <t>CASETAS TRAMITE VERIF.COROLLA</t>
  </si>
  <si>
    <t>TRASLADO INV.0533-TCN14</t>
  </si>
  <si>
    <t>P007444</t>
  </si>
  <si>
    <t>TRASLADO INV.0566-TCN14</t>
  </si>
  <si>
    <t>P007445</t>
  </si>
  <si>
    <t>TRASPASO VIN EK008170</t>
  </si>
  <si>
    <t>D  2,204</t>
  </si>
  <si>
    <t>P007446</t>
  </si>
  <si>
    <t>TRASLADO INV.0555-TCN14</t>
  </si>
  <si>
    <t>P007448</t>
  </si>
  <si>
    <t>TRASLADO QRO-CYA VIN EW096831</t>
  </si>
  <si>
    <t>D  2,208</t>
  </si>
  <si>
    <t>D  2,209</t>
  </si>
  <si>
    <t>P007453</t>
  </si>
  <si>
    <t>TRASLADO INV.0558-TCN14</t>
  </si>
  <si>
    <t>D  2,211</t>
  </si>
  <si>
    <t>P007455</t>
  </si>
  <si>
    <t>TRASLADO VIN E0260222</t>
  </si>
  <si>
    <t>D  2,213</t>
  </si>
  <si>
    <t>P007457</t>
  </si>
  <si>
    <t>TRASLADO INV.0587-TCN14</t>
  </si>
  <si>
    <t>D  2,215</t>
  </si>
  <si>
    <t>P007459</t>
  </si>
  <si>
    <t>TRASLADO INV.0557-TCN14</t>
  </si>
  <si>
    <t>D  2,217</t>
  </si>
  <si>
    <t>P007461</t>
  </si>
  <si>
    <t>TRASLADO INV.0561-TCN14</t>
  </si>
  <si>
    <t>D  2,218</t>
  </si>
  <si>
    <t>P007462</t>
  </si>
  <si>
    <t>TRASLADO INV.0556-TCN14</t>
  </si>
  <si>
    <t>D  2,219</t>
  </si>
  <si>
    <t>P007463</t>
  </si>
  <si>
    <t>TRASLADO INV.0549-TCN14</t>
  </si>
  <si>
    <t>D  2,228</t>
  </si>
  <si>
    <t>VIATICOS</t>
  </si>
  <si>
    <t>COMPROBACION VIATICOS AVION TO</t>
  </si>
  <si>
    <t>CH-14223</t>
  </si>
  <si>
    <t>E      5</t>
  </si>
  <si>
    <t>CH-14228</t>
  </si>
  <si>
    <t>E      9</t>
  </si>
  <si>
    <t>CH-14230</t>
  </si>
  <si>
    <t>E     11</t>
  </si>
  <si>
    <t>CH-14232</t>
  </si>
  <si>
    <t>CH-14239</t>
  </si>
  <si>
    <t>ARANDA FERRO SOTERO</t>
  </si>
  <si>
    <t>CH-14240</t>
  </si>
  <si>
    <t>CH-14241</t>
  </si>
  <si>
    <t>CH-14242</t>
  </si>
  <si>
    <t>MYSTERY SHOPPER MEXICO, S.A. DE C.V</t>
  </si>
  <si>
    <t>E     21</t>
  </si>
  <si>
    <t>CH-14244</t>
  </si>
  <si>
    <t>CH-14254</t>
  </si>
  <si>
    <t>LJIMENEZ:COMISION FEDERAL DE ELECTR</t>
  </si>
  <si>
    <t>T-1001</t>
  </si>
  <si>
    <t>T-425</t>
  </si>
  <si>
    <t>T-1002</t>
  </si>
  <si>
    <t>T-1003</t>
  </si>
  <si>
    <t>T-1004</t>
  </si>
  <si>
    <t>T-1005</t>
  </si>
  <si>
    <t>T-1006</t>
  </si>
  <si>
    <t>T-426</t>
  </si>
  <si>
    <t>T-427</t>
  </si>
  <si>
    <t>T-428</t>
  </si>
  <si>
    <t>T-1007</t>
  </si>
  <si>
    <t>T-429</t>
  </si>
  <si>
    <t>T-1008</t>
  </si>
  <si>
    <t>NOVAG COMUNICACIONES S DE RL DE CV</t>
  </si>
  <si>
    <t>T-1009</t>
  </si>
  <si>
    <t>T-430</t>
  </si>
  <si>
    <t>T-1010</t>
  </si>
  <si>
    <t>T-431</t>
  </si>
  <si>
    <t>E     60</t>
  </si>
  <si>
    <t>T-1011</t>
  </si>
  <si>
    <t>T-432</t>
  </si>
  <si>
    <t>E     62</t>
  </si>
  <si>
    <t>T-1012</t>
  </si>
  <si>
    <t>BAJA: CONSULTORES &amp; ASESORES INTEGR</t>
  </si>
  <si>
    <t>CH-14260</t>
  </si>
  <si>
    <t>CH-14263</t>
  </si>
  <si>
    <t>CH-14264</t>
  </si>
  <si>
    <t>CH-14265</t>
  </si>
  <si>
    <t>CH-14270</t>
  </si>
  <si>
    <t>BRAVO DORANTES FERNANDO</t>
  </si>
  <si>
    <t>CH-14271</t>
  </si>
  <si>
    <t>CH-14272</t>
  </si>
  <si>
    <t>CH-14224</t>
  </si>
  <si>
    <t>CH-14276</t>
  </si>
  <si>
    <t>CH-14277</t>
  </si>
  <si>
    <t>CH-14278</t>
  </si>
  <si>
    <t>CH-14279</t>
  </si>
  <si>
    <t>CORTES MONROY HECTOR</t>
  </si>
  <si>
    <t>CH-14280</t>
  </si>
  <si>
    <t>CH-14281</t>
  </si>
  <si>
    <t>VILLASEÑOR BALLESTEROS Y COMPAÑIA S</t>
  </si>
  <si>
    <t>CH-14286</t>
  </si>
  <si>
    <t>TOYOMOTORS S.A DE C.V.</t>
  </si>
  <si>
    <t>CH-14288</t>
  </si>
  <si>
    <t>CH-14289</t>
  </si>
  <si>
    <t>CH-14290</t>
  </si>
  <si>
    <t>CH-14302</t>
  </si>
  <si>
    <t>CH-14304</t>
  </si>
  <si>
    <t>CH-14306</t>
  </si>
  <si>
    <t>CH-14311</t>
  </si>
  <si>
    <t>T-1013</t>
  </si>
  <si>
    <t>T-433</t>
  </si>
  <si>
    <t>T-1014</t>
  </si>
  <si>
    <t>T-1015</t>
  </si>
  <si>
    <t>T-434</t>
  </si>
  <si>
    <t>T-1016</t>
  </si>
  <si>
    <t>T-1017</t>
  </si>
  <si>
    <t>COMISIONES BBVA AL 16/05/2014</t>
  </si>
  <si>
    <t>CH-14236</t>
  </si>
  <si>
    <t>AH STRATEGIE, S.C.</t>
  </si>
  <si>
    <t>E    154</t>
  </si>
  <si>
    <t>CH-14312</t>
  </si>
  <si>
    <t>CH-14313</t>
  </si>
  <si>
    <t>CH-14314</t>
  </si>
  <si>
    <t>E    157</t>
  </si>
  <si>
    <t>CH-14315</t>
  </si>
  <si>
    <t>CH-14316</t>
  </si>
  <si>
    <t>COMISIONES BBVA AL 20/05/2014</t>
  </si>
  <si>
    <t>COMISIONES BMX AL 19/05/2014</t>
  </si>
  <si>
    <t>COMISIONES BAJIO AL 16/05/2014</t>
  </si>
  <si>
    <t>CH-14322</t>
  </si>
  <si>
    <t>CH-14329</t>
  </si>
  <si>
    <t>CH-14330</t>
  </si>
  <si>
    <t>CH-14331</t>
  </si>
  <si>
    <t>CH-14334</t>
  </si>
  <si>
    <t>CH-14335</t>
  </si>
  <si>
    <t>CH-14336</t>
  </si>
  <si>
    <t>CH-14342</t>
  </si>
  <si>
    <t>E    204</t>
  </si>
  <si>
    <t>CH-14345</t>
  </si>
  <si>
    <t>T-435</t>
  </si>
  <si>
    <t>T-436</t>
  </si>
  <si>
    <t>T-437</t>
  </si>
  <si>
    <t>T-1019</t>
  </si>
  <si>
    <t>T-1020</t>
  </si>
  <si>
    <t>T-1021</t>
  </si>
  <si>
    <t>T-1022</t>
  </si>
  <si>
    <t>T-1023</t>
  </si>
  <si>
    <t>T-1024</t>
  </si>
  <si>
    <t>T-1025</t>
  </si>
  <si>
    <t>T-438</t>
  </si>
  <si>
    <t>COMISIONES AL 27/05/2014</t>
  </si>
  <si>
    <t>CH-14353</t>
  </si>
  <si>
    <t>CH-14354</t>
  </si>
  <si>
    <t>CH-14355</t>
  </si>
  <si>
    <t>CH-14356</t>
  </si>
  <si>
    <t>T-1027</t>
  </si>
  <si>
    <t>T-1028</t>
  </si>
  <si>
    <t>T-1029</t>
  </si>
  <si>
    <t>T-1030</t>
  </si>
  <si>
    <t>T-439</t>
  </si>
  <si>
    <t>T-1031</t>
  </si>
  <si>
    <t>T-440</t>
  </si>
  <si>
    <t>T-1032</t>
  </si>
  <si>
    <t>T-1033</t>
  </si>
  <si>
    <t>LJIMENEZ:VENTAS DIANA, SA DE CV</t>
  </si>
  <si>
    <t>COMISIONES BBVA AL 29/05/14</t>
  </si>
  <si>
    <t>CH-14358</t>
  </si>
  <si>
    <t>E    246</t>
  </si>
  <si>
    <t>CH-14360</t>
  </si>
  <si>
    <t>CH-14361</t>
  </si>
  <si>
    <t>CH-14364</t>
  </si>
  <si>
    <t>CH-14332</t>
  </si>
  <si>
    <t>LJIMENEZ:REFACCIONES CH14332</t>
  </si>
  <si>
    <t>CH-14333</t>
  </si>
  <si>
    <t>LJIMENEZ:REFACCIONES CH-14333</t>
  </si>
  <si>
    <t>CH-14368</t>
  </si>
  <si>
    <t>CH-14369</t>
  </si>
  <si>
    <t>E    263</t>
  </si>
  <si>
    <t>CH-14373</t>
  </si>
  <si>
    <t>CH-14375</t>
  </si>
  <si>
    <t>CH-14376</t>
  </si>
  <si>
    <t>COMISIONES BBVA AL 30/05/2014</t>
  </si>
  <si>
    <t>COMISIONES BMX 29/05/2014</t>
  </si>
  <si>
    <t>E    270</t>
  </si>
  <si>
    <t>COMISIONES BNTE AL 29/05/2014</t>
  </si>
  <si>
    <t>E    280</t>
  </si>
  <si>
    <t>COMISIONES AMEX AL 31/05/14</t>
  </si>
  <si>
    <t>E    282</t>
  </si>
  <si>
    <t>COM.BBVA AL 31/05/2014</t>
  </si>
  <si>
    <t>E    283</t>
  </si>
  <si>
    <t>COMISIONES BMX AL 30/05/2014</t>
  </si>
  <si>
    <t>E    284</t>
  </si>
  <si>
    <t>COM.BNTE.</t>
  </si>
  <si>
    <t>COMISION BNTE. AL 30/05/2014</t>
  </si>
  <si>
    <t>E    286</t>
  </si>
  <si>
    <t>COMISIONES INVLT AL 31/05/2014</t>
  </si>
  <si>
    <t>I    298</t>
  </si>
  <si>
    <t>EMBARQ.97</t>
  </si>
  <si>
    <t>EMBARQUE 97</t>
  </si>
  <si>
    <t>I    714</t>
  </si>
  <si>
    <t>EMB.107</t>
  </si>
  <si>
    <t>EMBARQUE 107</t>
  </si>
  <si>
    <t>MAYO</t>
  </si>
  <si>
    <t>AST120116KC0</t>
  </si>
  <si>
    <t>AAFS620103EL3</t>
  </si>
  <si>
    <t>ALT030210LV9</t>
  </si>
  <si>
    <t>ALA0210164S2</t>
  </si>
  <si>
    <t>AUT061204NX1</t>
  </si>
  <si>
    <t>BRS870126P22</t>
  </si>
  <si>
    <t>BADF760427S84</t>
  </si>
  <si>
    <t>CTA031008KMA</t>
  </si>
  <si>
    <t>CVA041027H80</t>
  </si>
  <si>
    <t xml:space="preserve">CONCESIONARIA VUELA COMPAÑÍA S.A.P.I </t>
  </si>
  <si>
    <t>COMH630430AT3</t>
  </si>
  <si>
    <t xml:space="preserve">COSTCO DE MEXICO SA DE CV </t>
  </si>
  <si>
    <t xml:space="preserve">ALDEN QUERETARO S DE RL DE CV </t>
  </si>
  <si>
    <t>WAKKA S NDE RL DE CV</t>
  </si>
  <si>
    <t>ATENCION RAPIDA A CLIENTES TRES SA DE CV</t>
  </si>
  <si>
    <t>CORREGIDORA LA ESTANCIA SA DE CV</t>
  </si>
  <si>
    <t>GHS130305ML2</t>
  </si>
  <si>
    <t>GRUPO HOTELERO SR SA DE CV</t>
  </si>
  <si>
    <t xml:space="preserve">OSCAR RAMIREZ MORENO </t>
  </si>
  <si>
    <t>DEHJ580405Q33</t>
  </si>
  <si>
    <t>CIES780509HI4</t>
  </si>
  <si>
    <t xml:space="preserve">SHEILA JANETH CHINCHILLAS ENCINAS </t>
  </si>
  <si>
    <t>CACM700805G74</t>
  </si>
  <si>
    <t>MSM010207IP3</t>
  </si>
  <si>
    <t>NCO090428F84</t>
  </si>
  <si>
    <t>SOAC780112US6</t>
  </si>
  <si>
    <t>SCG820209HP4</t>
  </si>
  <si>
    <t>TOY0507283C5</t>
  </si>
  <si>
    <t>ASJ060127HM1</t>
  </si>
  <si>
    <t xml:space="preserve">AUTOSERVICIO JANO SA DE CV </t>
  </si>
  <si>
    <t>CADJ370604TY9</t>
  </si>
  <si>
    <t xml:space="preserve">MARIA DE JESUS CABRERA DOMINGUEZ </t>
  </si>
  <si>
    <t>HEOA690212FM8</t>
  </si>
  <si>
    <t xml:space="preserve">ALFREDO HERNANDEZ DE LA O </t>
  </si>
  <si>
    <t>ICL0905275Q6</t>
  </si>
  <si>
    <t xml:space="preserve">INMOBILIARIA CASTILLA LA MANCHA SA DE CV </t>
  </si>
  <si>
    <t>OES010209154</t>
  </si>
  <si>
    <t xml:space="preserve">OPERADORA DE ESTACIONES DE SERVICIO VIDA SA DE CV </t>
  </si>
  <si>
    <t>PCO7903276Y9</t>
  </si>
  <si>
    <t xml:space="preserve">PLAZA COMERCIAL ORIENTE SA DE CV </t>
  </si>
  <si>
    <t>SCE0205204Z2</t>
  </si>
  <si>
    <t xml:space="preserve">SERVICIO CARIBE EXPRESO SA DE CV </t>
  </si>
  <si>
    <t>TAS931229US0</t>
  </si>
  <si>
    <t>TASS SA DE CV</t>
  </si>
  <si>
    <t>D    679</t>
  </si>
  <si>
    <t>BEN9501023I0</t>
  </si>
  <si>
    <t xml:space="preserve">BENZINA SA DE CV </t>
  </si>
  <si>
    <t>MCU101209FU6</t>
  </si>
  <si>
    <t xml:space="preserve">MINIHOTELES EN CUAUTLA SA DE CV </t>
  </si>
  <si>
    <t>TCC591104A74</t>
  </si>
  <si>
    <t xml:space="preserve">TRANSPORTES CUERNAVACA CUAUTLA AXOCHIAPAN JOLUTLA </t>
  </si>
  <si>
    <t xml:space="preserve">TIENDA SINDICAL DE CONSUMOSECCION X SAN FRANCISCO SA DE CV </t>
  </si>
  <si>
    <t xml:space="preserve">VALORES ENERGETICOS  SA DE CV </t>
  </si>
  <si>
    <t>FEM950814619</t>
  </si>
  <si>
    <t xml:space="preserve">FEMAL SA DE CV </t>
  </si>
  <si>
    <t>ABASTECEDORA LA MORENITA SA DE CV</t>
  </si>
  <si>
    <t>COV070910694</t>
  </si>
  <si>
    <t xml:space="preserve">COVESU SA DE CV </t>
  </si>
  <si>
    <t>SES020720AL6</t>
  </si>
  <si>
    <t xml:space="preserve">SERVICIO ESCAMELA SA DE CV </t>
  </si>
  <si>
    <t xml:space="preserve">SEVIBA SA DE CV </t>
  </si>
  <si>
    <t>GDD060814BR3</t>
  </si>
  <si>
    <t xml:space="preserve">GAS DIAMANTE 2 SA DE CV </t>
  </si>
  <si>
    <t>GSE01092169A</t>
  </si>
  <si>
    <t xml:space="preserve">GASOLINERA SERVITEC SA DE CV </t>
  </si>
  <si>
    <t>ITE830426646</t>
  </si>
  <si>
    <t xml:space="preserve">INMOBILIARIA TEPEPAN SA DE CV </t>
  </si>
  <si>
    <t xml:space="preserve">TIENDA SINDICAL DE CONSUMO </t>
  </si>
  <si>
    <t>GIN970606Q58</t>
  </si>
  <si>
    <t xml:space="preserve">GASOLINERA INSURGENTES SA DE CV </t>
  </si>
  <si>
    <t>D  2,216</t>
  </si>
  <si>
    <t>SSL040309B32</t>
  </si>
  <si>
    <t xml:space="preserve">SUPER SERVICIO LAJA BAJIO SA DE CV </t>
  </si>
  <si>
    <t>ASC1104193JA</t>
  </si>
  <si>
    <t xml:space="preserve">ALIMENTOS SANOS DEL CENTRO SA DE CV  </t>
  </si>
  <si>
    <t>D  2,210</t>
  </si>
  <si>
    <t>D  2,212</t>
  </si>
  <si>
    <t>D  2,214</t>
  </si>
  <si>
    <t>ALIMENTOS SANOS DEL CENTRO SA DE CV</t>
  </si>
  <si>
    <t>SAE090311IS8</t>
  </si>
  <si>
    <t xml:space="preserve">SERVIEXPRES AEROPUERTO SA DE CV </t>
  </si>
  <si>
    <t>D    681</t>
  </si>
  <si>
    <t>CASETA</t>
  </si>
  <si>
    <t>SERVICIOS TURISTICOS ENRIQUEZ SA DE CV</t>
  </si>
  <si>
    <t>YAAV8412238W3</t>
  </si>
  <si>
    <t>VBA040611LUA</t>
  </si>
  <si>
    <t>CASETA S</t>
  </si>
  <si>
    <t>D      3</t>
  </si>
  <si>
    <t>F-1396944</t>
  </si>
  <si>
    <t>LJIMENEZ:MENSUALIDAD COROLLA JUNIO</t>
  </si>
  <si>
    <t>D      4</t>
  </si>
  <si>
    <t>F-1417525</t>
  </si>
  <si>
    <t>LJIMENEZ:MENSUALIDAD HILUX JUNIO</t>
  </si>
  <si>
    <t>D     44</t>
  </si>
  <si>
    <t>0611-TCN14</t>
  </si>
  <si>
    <t>D     45</t>
  </si>
  <si>
    <t>0610-TCN14</t>
  </si>
  <si>
    <t>0613-TCN14</t>
  </si>
  <si>
    <t>D    260</t>
  </si>
  <si>
    <t>0614-TCN14</t>
  </si>
  <si>
    <t>AUTOMOTRIZ  TOY S.A DE C.V</t>
  </si>
  <si>
    <t>D    388</t>
  </si>
  <si>
    <t>0615-TCN14</t>
  </si>
  <si>
    <t>0616-TCN14</t>
  </si>
  <si>
    <t>D    546</t>
  </si>
  <si>
    <t>COMP.VIATICOS MA.CARMEN STEFAN</t>
  </si>
  <si>
    <t>D    548</t>
  </si>
  <si>
    <t>COMP.VIATICOS MA CARMEN STEFAN</t>
  </si>
  <si>
    <t>D    550</t>
  </si>
  <si>
    <t>D    585</t>
  </si>
  <si>
    <t>0617-TCN14</t>
  </si>
  <si>
    <t>D    591</t>
  </si>
  <si>
    <t>0618-TCN14</t>
  </si>
  <si>
    <t>D    623</t>
  </si>
  <si>
    <t>0619-TCN14</t>
  </si>
  <si>
    <t>F-1402291</t>
  </si>
  <si>
    <t>LJIMENEZ:MENSUALIDAD SIENNA</t>
  </si>
  <si>
    <t>D    851</t>
  </si>
  <si>
    <t>0620-TCN14</t>
  </si>
  <si>
    <t>0621-TCN14</t>
  </si>
  <si>
    <t>D    950</t>
  </si>
  <si>
    <t>P007479</t>
  </si>
  <si>
    <t>D    951</t>
  </si>
  <si>
    <t>D    953</t>
  </si>
  <si>
    <t>D    954</t>
  </si>
  <si>
    <t>D    955</t>
  </si>
  <si>
    <t>GRUPO FERNANDO AUTOMOTRIZ SA C</t>
  </si>
  <si>
    <t>D    958</t>
  </si>
  <si>
    <t>D    959</t>
  </si>
  <si>
    <t>D    962</t>
  </si>
  <si>
    <t>D    967</t>
  </si>
  <si>
    <t>D    969</t>
  </si>
  <si>
    <t>D    973</t>
  </si>
  <si>
    <t>D    974</t>
  </si>
  <si>
    <t>MARTIN CHAVEZ LOPEZ</t>
  </si>
  <si>
    <t>D    976</t>
  </si>
  <si>
    <t>PROVEEDORA DE SEGURIDAD IND.SA</t>
  </si>
  <si>
    <t>D    977</t>
  </si>
  <si>
    <t>D    979</t>
  </si>
  <si>
    <t>P007498</t>
  </si>
  <si>
    <t>ESTAFETA MEXICANA SA DE CV</t>
  </si>
  <si>
    <t>D    980</t>
  </si>
  <si>
    <t>D    981</t>
  </si>
  <si>
    <t>D    983</t>
  </si>
  <si>
    <t>D    987</t>
  </si>
  <si>
    <t>RAFAEL ARTURO RIOS TRUJILLO</t>
  </si>
  <si>
    <t>D    988</t>
  </si>
  <si>
    <t>LJIMENEZ:ELECTROCOMPONENTES SA DE C</t>
  </si>
  <si>
    <t>0622-TCN14</t>
  </si>
  <si>
    <t>ALDEN QUERETARO, S. DE R.L. DE C.V.</t>
  </si>
  <si>
    <t>0623-TCN14</t>
  </si>
  <si>
    <t>D  1,203</t>
  </si>
  <si>
    <t>F-VARIAS</t>
  </si>
  <si>
    <t>S0922 FAC. C176</t>
  </si>
  <si>
    <t>S0957 FACT.C170</t>
  </si>
  <si>
    <t>S0991 FACT.C124</t>
  </si>
  <si>
    <t>0624-TCN14</t>
  </si>
  <si>
    <t>D  1,209</t>
  </si>
  <si>
    <t>CEVER  TOLUCA  S  DE  RL DE CV</t>
  </si>
  <si>
    <t>0625-TCN14</t>
  </si>
  <si>
    <t>DECADA  AUTOMOTRIZ S DE RL DE  CV</t>
  </si>
  <si>
    <t>D  1,215</t>
  </si>
  <si>
    <t>0626-TCN14</t>
  </si>
  <si>
    <t>AUTOMOVILES  VALLEJO  S DE RL DE CV</t>
  </si>
  <si>
    <t>0627-TCN14</t>
  </si>
  <si>
    <t>D  1,252</t>
  </si>
  <si>
    <t>0628-TCN14</t>
  </si>
  <si>
    <t>D  1,277</t>
  </si>
  <si>
    <t>D  1,320</t>
  </si>
  <si>
    <t>LJIMENEZ:ALDEN QUERETARO, S. DE R.L</t>
  </si>
  <si>
    <t>D  1,322</t>
  </si>
  <si>
    <t>LJIMENEZ:OZ AUTOMOTRIZ S. DE R.L. D</t>
  </si>
  <si>
    <t>OZ AUTOMOTRIZ S DE RL DE CV</t>
  </si>
  <si>
    <t>D  1,329</t>
  </si>
  <si>
    <t>0629-TCN14</t>
  </si>
  <si>
    <t>D  1,343</t>
  </si>
  <si>
    <t>LJIMENEZ:C.VIATICOS VICTOR H.TIERRA</t>
  </si>
  <si>
    <t>D  1,344</t>
  </si>
  <si>
    <t>C.VIATICOS MA.CARMEN STEFANI C</t>
  </si>
  <si>
    <t>D  1,411</t>
  </si>
  <si>
    <t>0630-TCN14</t>
  </si>
  <si>
    <t>ALDEN  SATELITE  S  DE  RL DE  CV</t>
  </si>
  <si>
    <t>D  1,482</t>
  </si>
  <si>
    <t>0631-TCN14</t>
  </si>
  <si>
    <t>D  1,574</t>
  </si>
  <si>
    <t>0632-TCN14</t>
  </si>
  <si>
    <t>ALDEN SATELITE S DE  RL  DE CV</t>
  </si>
  <si>
    <t>D  1,582</t>
  </si>
  <si>
    <t>0633-TCN14</t>
  </si>
  <si>
    <t>ALECSA  PACHUCA S DE  RL DE CV</t>
  </si>
  <si>
    <t>0634-TCN14</t>
  </si>
  <si>
    <t>SAMURAI MOTORS S DE  RL DE CV</t>
  </si>
  <si>
    <t>D  1,628</t>
  </si>
  <si>
    <t>0635-TCN14</t>
  </si>
  <si>
    <t>DALTON AUTOMOTORES S  DE RL DE CV</t>
  </si>
  <si>
    <t>0636-TCN14</t>
  </si>
  <si>
    <t>0637-TCN14</t>
  </si>
  <si>
    <t>AUTOMOTRIZ OAXACA  DE ANTEQUERA S D</t>
  </si>
  <si>
    <t>D  1,653</t>
  </si>
  <si>
    <t>D  1,655</t>
  </si>
  <si>
    <t>0638-TCN14</t>
  </si>
  <si>
    <t>D  1,679</t>
  </si>
  <si>
    <t>0639-TCN14</t>
  </si>
  <si>
    <t>D  1,694</t>
  </si>
  <si>
    <t>0640-TCN14</t>
  </si>
  <si>
    <t>D  1,695</t>
  </si>
  <si>
    <t>0641-TCN14</t>
  </si>
  <si>
    <t>D  1,697</t>
  </si>
  <si>
    <t>0642-TCN14</t>
  </si>
  <si>
    <t>D  1,698</t>
  </si>
  <si>
    <t>0643-TCN14</t>
  </si>
  <si>
    <t>D  1,707</t>
  </si>
  <si>
    <t>AM-0001252</t>
  </si>
  <si>
    <t>LJIMENEZ:TELCEL MAYO AM-1252</t>
  </si>
  <si>
    <t>D  1,708</t>
  </si>
  <si>
    <t>AM-0001264</t>
  </si>
  <si>
    <t>LJIMENEZ:INTERNET JUNIO AM-1264</t>
  </si>
  <si>
    <t>D  1,712</t>
  </si>
  <si>
    <t>AM-0001269</t>
  </si>
  <si>
    <t>LJIMENEZ:FRAME RELAY JUNIO AM-1269</t>
  </si>
  <si>
    <t>0644-TCN14</t>
  </si>
  <si>
    <t>0645-TCN14</t>
  </si>
  <si>
    <t>D  1,731</t>
  </si>
  <si>
    <t>0646-TCN14</t>
  </si>
  <si>
    <t>D  1,749</t>
  </si>
  <si>
    <t>0652-TCN14</t>
  </si>
  <si>
    <t>OZ  AUTOMOTRIZ  S  DE  RL DE CV</t>
  </si>
  <si>
    <t>D  1,751</t>
  </si>
  <si>
    <t>0653-TCN14</t>
  </si>
  <si>
    <t>GRUPO   PENNINSULA  MOTORS S D E RL</t>
  </si>
  <si>
    <t>D  1,761</t>
  </si>
  <si>
    <t>0647-TCN14</t>
  </si>
  <si>
    <t>D  1,762</t>
  </si>
  <si>
    <t>0648-TCN14</t>
  </si>
  <si>
    <t>D  1,763</t>
  </si>
  <si>
    <t>0649-TCN14</t>
  </si>
  <si>
    <t>D  1,764</t>
  </si>
  <si>
    <t>0650-TCN14</t>
  </si>
  <si>
    <t>0651-TCN14</t>
  </si>
  <si>
    <t>0654-TCN14</t>
  </si>
  <si>
    <t>0655-TCN14</t>
  </si>
  <si>
    <t>D  1,773</t>
  </si>
  <si>
    <t>0656-TCN14</t>
  </si>
  <si>
    <t>D  1,775</t>
  </si>
  <si>
    <t>0657-TCN14</t>
  </si>
  <si>
    <t>D  1,777</t>
  </si>
  <si>
    <t>0658-TCN14</t>
  </si>
  <si>
    <t>D  1,835</t>
  </si>
  <si>
    <t>0659-TCN14</t>
  </si>
  <si>
    <t>AUTOMOTRIZ TOY S,A  DE C.V</t>
  </si>
  <si>
    <t>COMP DE VIATICOS CONVENCION TO</t>
  </si>
  <si>
    <t>D  1,874</t>
  </si>
  <si>
    <t>COMISION BAJIO/JUN/14</t>
  </si>
  <si>
    <t>0660-TCN14</t>
  </si>
  <si>
    <t>D  1,925</t>
  </si>
  <si>
    <t>F-1419946</t>
  </si>
  <si>
    <t>LJIMENEZ:MENSUALIDAD COROLLA JULIO</t>
  </si>
  <si>
    <t>D  1,926</t>
  </si>
  <si>
    <t>F-1435634</t>
  </si>
  <si>
    <t>LJIMENEZ:MENSUALIDAD HILUX JULIO</t>
  </si>
  <si>
    <t>0662-TCN14</t>
  </si>
  <si>
    <t>0663-TCN14</t>
  </si>
  <si>
    <t>DALTON AUTOMOTORES S  DE  RL DE CV</t>
  </si>
  <si>
    <t>0664-TCN14</t>
  </si>
  <si>
    <t>AUTOMOTRIZ TOY S.A DE  CV</t>
  </si>
  <si>
    <t>0665-TCN14</t>
  </si>
  <si>
    <t>DECADA  AUTOMOTRIZ S DE  RL DE  CV</t>
  </si>
  <si>
    <t>0666-TCN14</t>
  </si>
  <si>
    <t>0667-TCN14</t>
  </si>
  <si>
    <t>D  2,078</t>
  </si>
  <si>
    <t>0668-TCN14</t>
  </si>
  <si>
    <t>0669-TCN14</t>
  </si>
  <si>
    <t>0670-TCN14</t>
  </si>
  <si>
    <t>D  2,117</t>
  </si>
  <si>
    <t>COMISIONES AMEX JUN/2014</t>
  </si>
  <si>
    <t>P007593</t>
  </si>
  <si>
    <t>traslado inv.0635-tcn14</t>
  </si>
  <si>
    <t>PAGO NEXTEL</t>
  </si>
  <si>
    <t>RYSE DE IRAPUATO SA DE CV</t>
  </si>
  <si>
    <t>COMEX PINTURAS DE CELAYA SA CV</t>
  </si>
  <si>
    <t>COSTCO DE MEXICO SA CV</t>
  </si>
  <si>
    <t>MA.GUADALUPE AYALA ARROYO</t>
  </si>
  <si>
    <t>ELECTROCOMPONENTES SA CV</t>
  </si>
  <si>
    <t>DON PULCRO SA DE CV</t>
  </si>
  <si>
    <t>FERRETERIA LA AZTECA SA DE CV</t>
  </si>
  <si>
    <t>PRODUCTOS METALICOS SUAREZ SA</t>
  </si>
  <si>
    <t>MARCAS NESTLE SA CV</t>
  </si>
  <si>
    <t>D  2,162</t>
  </si>
  <si>
    <t>FIX FERRETERIAS</t>
  </si>
  <si>
    <t>LA CASA DEL ELECTRICISTA</t>
  </si>
  <si>
    <t>TRAPOTEX SA CV</t>
  </si>
  <si>
    <t>P007591</t>
  </si>
  <si>
    <t>TRASLADO INV0659-TCN14</t>
  </si>
  <si>
    <t>P007595</t>
  </si>
  <si>
    <t>TRASLADO INV.0588-TCN14</t>
  </si>
  <si>
    <t>P007702</t>
  </si>
  <si>
    <t>TRASLADO INV.0623-TCN14</t>
  </si>
  <si>
    <t>P007704</t>
  </si>
  <si>
    <t>TRASLADO INV.0626-TCN14</t>
  </si>
  <si>
    <t>P007706</t>
  </si>
  <si>
    <t>TRASLADO INV.0625-TCN14</t>
  </si>
  <si>
    <t>D  2,189</t>
  </si>
  <si>
    <t>P007708</t>
  </si>
  <si>
    <t>TRASLADO INV.0606-TCN14</t>
  </si>
  <si>
    <t>P007710</t>
  </si>
  <si>
    <t>D  2,193</t>
  </si>
  <si>
    <t>P007712</t>
  </si>
  <si>
    <t>TRASLADO INV.0614-TCN14</t>
  </si>
  <si>
    <t>P007714</t>
  </si>
  <si>
    <t>TRASLADO INV.0611-TCN14</t>
  </si>
  <si>
    <t>P007716</t>
  </si>
  <si>
    <t>TRASLADO INV.0604-TCN14</t>
  </si>
  <si>
    <t>P007720</t>
  </si>
  <si>
    <t>TRASLADO INV.0597-TCN14</t>
  </si>
  <si>
    <t>P007722</t>
  </si>
  <si>
    <t>TRASLADO INV.0559-TCN14</t>
  </si>
  <si>
    <t>P007724</t>
  </si>
  <si>
    <t>TRASLADO ED595244</t>
  </si>
  <si>
    <t>P007725</t>
  </si>
  <si>
    <t>TRASLADO INV.0599-TCN14</t>
  </si>
  <si>
    <t>P007718</t>
  </si>
  <si>
    <t>TRASLADO INV.0610-TCN14</t>
  </si>
  <si>
    <t>P007727</t>
  </si>
  <si>
    <t>TRASLADO INV.0608-TCN14</t>
  </si>
  <si>
    <t>P007729</t>
  </si>
  <si>
    <t>TRASLADO INV.0602-TCN14</t>
  </si>
  <si>
    <t>P007731</t>
  </si>
  <si>
    <t>TRASLADO INV.0609-TCN14</t>
  </si>
  <si>
    <t>P007733</t>
  </si>
  <si>
    <t>TRASLADO INV.0600-TCN14</t>
  </si>
  <si>
    <t>P007735</t>
  </si>
  <si>
    <t>TRASLADO INV.0601-TCN14</t>
  </si>
  <si>
    <t>P007737</t>
  </si>
  <si>
    <t>TRASLADO INV.0365-TCN14</t>
  </si>
  <si>
    <t>D  2,220</t>
  </si>
  <si>
    <t>P007739</t>
  </si>
  <si>
    <t>TRASLADO INV.0360-TCN14</t>
  </si>
  <si>
    <t>D  2,222</t>
  </si>
  <si>
    <t>GILBERTO FERNANDEZ ANDRES</t>
  </si>
  <si>
    <t>D  2,223</t>
  </si>
  <si>
    <t>P007743</t>
  </si>
  <si>
    <t>TRASLADO INV.0661-TCN14</t>
  </si>
  <si>
    <t>D  2,224</t>
  </si>
  <si>
    <t>P007744</t>
  </si>
  <si>
    <t>TRASLADO INV.0622-TCN14</t>
  </si>
  <si>
    <t>D  2,225</t>
  </si>
  <si>
    <t>P007745</t>
  </si>
  <si>
    <t>TRASLADO INV.0629-TCN14</t>
  </si>
  <si>
    <t>D  2,227</t>
  </si>
  <si>
    <t>P007747</t>
  </si>
  <si>
    <t>TRASLADO INV.0630-TCN14</t>
  </si>
  <si>
    <t>D  2,229</t>
  </si>
  <si>
    <t>P007749</t>
  </si>
  <si>
    <t>TRASLADO INV.0624-TCN14</t>
  </si>
  <si>
    <t>D  2,231</t>
  </si>
  <si>
    <t>P007751</t>
  </si>
  <si>
    <t>TRASLADO INV.0634-TCN14</t>
  </si>
  <si>
    <t>D  2,233</t>
  </si>
  <si>
    <t>S000921</t>
  </si>
  <si>
    <t>D  2,234</t>
  </si>
  <si>
    <t>S000959</t>
  </si>
  <si>
    <t>D  2,235</t>
  </si>
  <si>
    <t>r001430</t>
  </si>
  <si>
    <t>MEMOS ALARMA VIPER</t>
  </si>
  <si>
    <t>D  2,236</t>
  </si>
  <si>
    <t>S000923</t>
  </si>
  <si>
    <t>D  2,237</t>
  </si>
  <si>
    <t>R001443</t>
  </si>
  <si>
    <t>D  2,238</t>
  </si>
  <si>
    <t>S000942</t>
  </si>
  <si>
    <t>MANOLOS REFACCIONES AUTOMOTRIC</t>
  </si>
  <si>
    <t>D  2,239</t>
  </si>
  <si>
    <t>S000927</t>
  </si>
  <si>
    <t>D  2,240</t>
  </si>
  <si>
    <t>R001414</t>
  </si>
  <si>
    <t>MA.ELENA SANCHEZ MONDRAGON</t>
  </si>
  <si>
    <t>D  2,241</t>
  </si>
  <si>
    <t>R001411</t>
  </si>
  <si>
    <t>D  2,242</t>
  </si>
  <si>
    <t>R001410</t>
  </si>
  <si>
    <t>D  2,243</t>
  </si>
  <si>
    <t>S000941</t>
  </si>
  <si>
    <t>D  2,244</t>
  </si>
  <si>
    <t>S000958</t>
  </si>
  <si>
    <t>CH-14386</t>
  </si>
  <si>
    <t>CH-14387</t>
  </si>
  <si>
    <t>CH-14391</t>
  </si>
  <si>
    <t>CH-14399</t>
  </si>
  <si>
    <t>CH-14401</t>
  </si>
  <si>
    <t>CH-14402</t>
  </si>
  <si>
    <t>E     30</t>
  </si>
  <si>
    <t>T-441</t>
  </si>
  <si>
    <t>E     31</t>
  </si>
  <si>
    <t>T-1034</t>
  </si>
  <si>
    <t>E     32</t>
  </si>
  <si>
    <t>T-442</t>
  </si>
  <si>
    <t>T-443</t>
  </si>
  <si>
    <t>E     34</t>
  </si>
  <si>
    <t>T-1035</t>
  </si>
  <si>
    <t>T-1036</t>
  </si>
  <si>
    <t>T-1037</t>
  </si>
  <si>
    <t>T-1038</t>
  </si>
  <si>
    <t>T-1039</t>
  </si>
  <si>
    <t>T-1040</t>
  </si>
  <si>
    <t>T-1041</t>
  </si>
  <si>
    <t>E     41</t>
  </si>
  <si>
    <t>T-1042</t>
  </si>
  <si>
    <t>CH-14405</t>
  </si>
  <si>
    <t>CH-14417</t>
  </si>
  <si>
    <t>CH-14419</t>
  </si>
  <si>
    <t>CH-14423</t>
  </si>
  <si>
    <t>CH-14426</t>
  </si>
  <si>
    <t>LJIMENEZ:LAGUNA MENDOZA MARTIN ALBE</t>
  </si>
  <si>
    <t>CH-14428</t>
  </si>
  <si>
    <t>CH-14429</t>
  </si>
  <si>
    <t>CH-14431</t>
  </si>
  <si>
    <t>CH-14432</t>
  </si>
  <si>
    <t>CH-14434</t>
  </si>
  <si>
    <t>CH-14435</t>
  </si>
  <si>
    <t>CH-14437</t>
  </si>
  <si>
    <t>CH-14438</t>
  </si>
  <si>
    <t>T-1043</t>
  </si>
  <si>
    <t>ARTE Y DISTINCION EN MUEBLES, SA DE</t>
  </si>
  <si>
    <t>T-444</t>
  </si>
  <si>
    <t>T-1044</t>
  </si>
  <si>
    <t>T-1045</t>
  </si>
  <si>
    <t>T-1046</t>
  </si>
  <si>
    <t>T-1047</t>
  </si>
  <si>
    <t>T-445</t>
  </si>
  <si>
    <t>T-1048</t>
  </si>
  <si>
    <t>GRANJA LOPEZ DANIEL</t>
  </si>
  <si>
    <t>T-446</t>
  </si>
  <si>
    <t>T-1049</t>
  </si>
  <si>
    <t>CH-14441</t>
  </si>
  <si>
    <t>LOPEZ RODRIGUEZ PAOLA</t>
  </si>
  <si>
    <t>CH-14443</t>
  </si>
  <si>
    <t>LJIMENEZ:VALDIVIA ANAYA JORGE ARTUR</t>
  </si>
  <si>
    <t>CH-14450</t>
  </si>
  <si>
    <t>CH-14455</t>
  </si>
  <si>
    <t>CH-14458</t>
  </si>
  <si>
    <t>CH-14460</t>
  </si>
  <si>
    <t>CH-14461</t>
  </si>
  <si>
    <t>CH-14471</t>
  </si>
  <si>
    <t>CH-14478</t>
  </si>
  <si>
    <t>T-1051</t>
  </si>
  <si>
    <t>T-447</t>
  </si>
  <si>
    <t>T-1052</t>
  </si>
  <si>
    <t>T-1053</t>
  </si>
  <si>
    <t>T-1054</t>
  </si>
  <si>
    <t>T-1055</t>
  </si>
  <si>
    <t>T-1056</t>
  </si>
  <si>
    <t>CH-14480</t>
  </si>
  <si>
    <t>CH-14487</t>
  </si>
  <si>
    <t>SOTERO ARANDA FERRO</t>
  </si>
  <si>
    <t>E    178</t>
  </si>
  <si>
    <t>T-448</t>
  </si>
  <si>
    <t>T-449</t>
  </si>
  <si>
    <t>T-1059</t>
  </si>
  <si>
    <t>T-450</t>
  </si>
  <si>
    <t>T-451</t>
  </si>
  <si>
    <t>T-1060</t>
  </si>
  <si>
    <t>T-1061</t>
  </si>
  <si>
    <t>T-1062</t>
  </si>
  <si>
    <t>T-452</t>
  </si>
  <si>
    <t>T-453</t>
  </si>
  <si>
    <t>T-1063</t>
  </si>
  <si>
    <t>T-1064</t>
  </si>
  <si>
    <t>T-1065</t>
  </si>
  <si>
    <t>T-1066</t>
  </si>
  <si>
    <t>T-1067</t>
  </si>
  <si>
    <t>T-454</t>
  </si>
  <si>
    <t>T-1068</t>
  </si>
  <si>
    <t>COM.BBVA AL 26/06/2013</t>
  </si>
  <si>
    <t>CH-14499</t>
  </si>
  <si>
    <t>COM.BMX 06</t>
  </si>
  <si>
    <t>COMISIONES BMX AL 25/06/2014</t>
  </si>
  <si>
    <t>CH-14500</t>
  </si>
  <si>
    <t>CH-14501</t>
  </si>
  <si>
    <t>CH-14503</t>
  </si>
  <si>
    <t>CH-14504</t>
  </si>
  <si>
    <t>CH-14506</t>
  </si>
  <si>
    <t>COMISIONES BNTE JUN/2014</t>
  </si>
  <si>
    <t>COMISIONES STDER JUN/2014</t>
  </si>
  <si>
    <t>CH-14512</t>
  </si>
  <si>
    <t>CH-14513</t>
  </si>
  <si>
    <t>CH-14516</t>
  </si>
  <si>
    <t>CH-14517</t>
  </si>
  <si>
    <t>CH-14520</t>
  </si>
  <si>
    <t>CH-14521</t>
  </si>
  <si>
    <t>COMISIONES BBVA AL 30/06/2014</t>
  </si>
  <si>
    <t>COMISIONES BMX AL 30/06/2014</t>
  </si>
  <si>
    <t>COM.BNTE AL 30/06/2014</t>
  </si>
  <si>
    <t>E    290</t>
  </si>
  <si>
    <t>COM.06/14</t>
  </si>
  <si>
    <t>COMISIONES STDER AL 30/06/2014</t>
  </si>
  <si>
    <t>I    704</t>
  </si>
  <si>
    <t>EMB.127</t>
  </si>
  <si>
    <t>EMBARQUE 127 0052U/14</t>
  </si>
  <si>
    <t>I    706</t>
  </si>
  <si>
    <t>EMB.131</t>
  </si>
  <si>
    <t>EMBARQUE 131 0054U/14</t>
  </si>
  <si>
    <t>I    884</t>
  </si>
  <si>
    <t>EMBARQ.SB</t>
  </si>
  <si>
    <t>LJIMENEZ:EMBARQUE SUB.10/06/2014</t>
  </si>
  <si>
    <t>LJIMENEZ:EMBARQUE SUB.30/06/2014</t>
  </si>
  <si>
    <t>JUNIO</t>
  </si>
  <si>
    <t>AH STRATEGIE SC</t>
  </si>
  <si>
    <t>ANUNCIOS EXITOSOS EN INTERNET SA DE CV</t>
  </si>
  <si>
    <t>ADM0607075R2</t>
  </si>
  <si>
    <t>ARTE Y DISTINCION EN MUEBLES SA DE CV</t>
  </si>
  <si>
    <t>TERESA LIZBETH BERNAL VALLE</t>
  </si>
  <si>
    <t>RESTAURANTE LA PARROQUIA POTOSINA SA</t>
  </si>
  <si>
    <t>COM071220BU9</t>
  </si>
  <si>
    <t>COMBURED SA DE CV</t>
  </si>
  <si>
    <t>EDUARDO CALATAYUD ESCALONA</t>
  </si>
  <si>
    <t>CENTRO METALICO DEL BAJIO</t>
  </si>
  <si>
    <t>CMG EXCELENCIA EN SERVICIOS S DE RL DE CV</t>
  </si>
  <si>
    <t>GTG051118PM0</t>
  </si>
  <si>
    <t>GROUP TO GO SA DE CV</t>
  </si>
  <si>
    <t>TLU080610C81</t>
  </si>
  <si>
    <t>ETN TURISTAR LUJO SA DE CV</t>
  </si>
  <si>
    <t>CSI020226MV4</t>
  </si>
  <si>
    <t>CAFÉ SIRENA S DE RL DE CV</t>
  </si>
  <si>
    <t>GGG110420163</t>
  </si>
  <si>
    <t>GRUPO GASTRONOMICO GLOTONERI SA DE CV</t>
  </si>
  <si>
    <t>OET0806125B1</t>
  </si>
  <si>
    <t>OPERADORA DE ESTANCIAS TURISTICAS SC</t>
  </si>
  <si>
    <t>DAU030729946</t>
  </si>
  <si>
    <t>LUIS FERNANDO DELGADILLO LARA</t>
  </si>
  <si>
    <t>DOLORES GRACIELA ORTEGA PALACIOS</t>
  </si>
  <si>
    <t>DPU991209HW4</t>
  </si>
  <si>
    <t>EME880309SK5</t>
  </si>
  <si>
    <t>FAZ8608051T4</t>
  </si>
  <si>
    <t>GALAZ YAMAZAKI RUIZ URQUIZA SC</t>
  </si>
  <si>
    <t>FEAG530301I54</t>
  </si>
  <si>
    <t>GALD860705157</t>
  </si>
  <si>
    <t>DANIEL GRANJA LOPEZ</t>
  </si>
  <si>
    <t>GFA050929612</t>
  </si>
  <si>
    <t>GRUPO FERNANDO AUTOMOTRIZ SA DE CV</t>
  </si>
  <si>
    <t>IMPULSORA DE TRANSPORTES MEXICANOS SA DE CV</t>
  </si>
  <si>
    <t>INDUSTRIA DISEÑADORA DE AUTOPARTES SA DE CV</t>
  </si>
  <si>
    <t>JC IMAGEN AUTOMOTRIZ SA DE CV</t>
  </si>
  <si>
    <t>BOLETOS PP</t>
  </si>
  <si>
    <t>ALFONSO CAMPERO CRUZ</t>
  </si>
  <si>
    <t>LORP760922EW9</t>
  </si>
  <si>
    <t>AAAG7203031N4</t>
  </si>
  <si>
    <t>ROVJ710710QB3</t>
  </si>
  <si>
    <t>MANOLOS REFACCIONES AUTOMOTRICES</t>
  </si>
  <si>
    <t xml:space="preserve">MAPFRE TEPEYAC SA </t>
  </si>
  <si>
    <t>CALM680315MX1</t>
  </si>
  <si>
    <t>MARIANA RODRIGUEZ DE LAZARIN</t>
  </si>
  <si>
    <t>PARABRISAS ARAMBURO SA DE CV</t>
  </si>
  <si>
    <t>PMS010822BU2</t>
  </si>
  <si>
    <t>PRODUCTOS METALICOS SUAREZ SA DE CV</t>
  </si>
  <si>
    <t>PSI8906083F8</t>
  </si>
  <si>
    <t>PROVEEDORA DE SEGURIDAD INDUSTRIAL SA DE CV</t>
  </si>
  <si>
    <t>RITR8406178P2</t>
  </si>
  <si>
    <t>ARELI REYES MORALES</t>
  </si>
  <si>
    <t>RIR810420H38</t>
  </si>
  <si>
    <t>TELEFONOS DE MEXICO SAB DE CV</t>
  </si>
  <si>
    <t>REBI660220RV6</t>
  </si>
  <si>
    <t>INOSENCIO REYES BELMAN</t>
  </si>
  <si>
    <t>SERVICIO MURANO SA DE CV</t>
  </si>
  <si>
    <t>HME100504UP9</t>
  </si>
  <si>
    <t>HIRSCHE DE MEXICO S DE RL DE CV</t>
  </si>
  <si>
    <t>OLIVIA PATLAN REA</t>
  </si>
  <si>
    <t>SERVICIOS GASOLINEROS DE MEXICO SA DE CV</t>
  </si>
  <si>
    <t>OMG921216CI8</t>
  </si>
  <si>
    <t>OPERADORA MARTINEZ GARRIGOS SA DE CV</t>
  </si>
  <si>
    <t>TIENDA SINDICAL DE CONSUMO X SAN FRANCISCO SA DE CV</t>
  </si>
  <si>
    <t>AUTOBUSES ESTRELLA BLANCA SA DE CV</t>
  </si>
  <si>
    <t>ALIMENTARIA COMPANY S DE RL CV</t>
  </si>
  <si>
    <t>AAG921219GY9</t>
  </si>
  <si>
    <t>AUTOSERVICIO EL AGUILA SA DE CV</t>
  </si>
  <si>
    <t>SERVICIO BASE AEREA SA DE CV</t>
  </si>
  <si>
    <t>GJA0611296P7</t>
  </si>
  <si>
    <t>GRUPO JALYD SA DE CV</t>
  </si>
  <si>
    <t>ROCM620808M64</t>
  </si>
  <si>
    <t>MA.MERCEDES ROCHA CALDERON</t>
  </si>
  <si>
    <t>EDUARDO GABRIEL GONZALEZ REYNOSO</t>
  </si>
  <si>
    <t>GAS BARRIENTOS SA DE CV</t>
  </si>
  <si>
    <t>GLA081211594</t>
  </si>
  <si>
    <t>GASOLINERA LATINOAMERICANA SA DE CV</t>
  </si>
  <si>
    <t>GOD9304161X2</t>
  </si>
  <si>
    <t>GRUPO OMEGA DIVISION PETROLEUM S SA DE CV</t>
  </si>
  <si>
    <t>GASOLINERA OMEGA MATEHUALA II SA DE CV</t>
  </si>
  <si>
    <t>OMNIBUS DE MEXICO SA DE CV</t>
  </si>
  <si>
    <t>AUTOS PULLMAN SA DE CV</t>
  </si>
  <si>
    <t>NADYA YAZMIN CHAVEZ PEREZ</t>
  </si>
  <si>
    <t>ANSELMA EDITH HUESCA LAGUNES</t>
  </si>
  <si>
    <t>OPERADORA SAN ISIDRO SA DE CV</t>
  </si>
  <si>
    <t>RORM470106PA7</t>
  </si>
  <si>
    <t>MARIO DE LA ROSA RIVERA</t>
  </si>
  <si>
    <t>SUS000505B90</t>
  </si>
  <si>
    <t>SERVICIOS USUMACINTA SA DE CV</t>
  </si>
  <si>
    <t>OPERADORA DE GASOLINERAS DEL SURESTE SA CV</t>
  </si>
  <si>
    <t>MACM3501063N3</t>
  </si>
  <si>
    <t>MARIA MACIAS CARRILLO</t>
  </si>
  <si>
    <t>SGI060411263</t>
  </si>
  <si>
    <t>SERVICIO GASOLINERO DE IXTLAN SA CV</t>
  </si>
  <si>
    <t>DISTRIBUIDORA ROESMA SA DE CV</t>
  </si>
  <si>
    <t>AUTOSERVICIO GASHR SA DE CV</t>
  </si>
  <si>
    <t>CADENA COMERCIAL OXO SA DE CV</t>
  </si>
  <si>
    <t>ESB001206281</t>
  </si>
  <si>
    <t>ESTACION DE SERVICIO BIDASOA SA DE CV</t>
  </si>
  <si>
    <t>REATAURANTE LAS TEXAS</t>
  </si>
  <si>
    <t>HMA1011256N1</t>
  </si>
  <si>
    <t>HIDROCARBUROS MARADEVI SA DE CV</t>
  </si>
  <si>
    <t>JAZMIN DEL ROCIO LOPEZ</t>
  </si>
  <si>
    <t>AGI990422EL7</t>
  </si>
  <si>
    <t>ADMINISTRADORA DE GASOLINERAS INTERLOMAS SA DE CV</t>
  </si>
  <si>
    <t>ASA021115EA8</t>
  </si>
  <si>
    <t>AUTOSERVICIO AUTOPISTA QUECHOLAC SA DE CV</t>
  </si>
  <si>
    <t>ISA691014US9</t>
  </si>
  <si>
    <t>IMPILSORA DE SERVICIOS AUTOMOTRICES SA</t>
  </si>
  <si>
    <t>CGA010307N18</t>
  </si>
  <si>
    <t>CENTRO GASOLINERO ANIMAS SA DE CV</t>
  </si>
  <si>
    <t>CASETASINV.0635N/14</t>
  </si>
  <si>
    <t>SERVICIOS CASTELLANOS SA DE CV</t>
  </si>
  <si>
    <t>SERVICIO EL CHINO SA DE CV</t>
  </si>
  <si>
    <t>SSI960329TL8</t>
  </si>
  <si>
    <t>SUPER SERVICIO IZCALLI SA DE CV</t>
  </si>
  <si>
    <t>CASETAS INV.659N/14</t>
  </si>
  <si>
    <t>WURTH MEXICO SA DE CV</t>
  </si>
  <si>
    <t>VAAJ680423JG2</t>
  </si>
  <si>
    <t>:VALDIVIA ANAYA JORGE ARTUR</t>
  </si>
  <si>
    <t>LAMM840503R12</t>
  </si>
  <si>
    <t>:LAGUNA MENDOZA MARTIN ALBE</t>
  </si>
  <si>
    <t>D     19</t>
  </si>
  <si>
    <t>0672-TCN14</t>
  </si>
  <si>
    <t>DURANGO  AUTOMOTORES  S  DE RL DE C</t>
  </si>
  <si>
    <t>D     52</t>
  </si>
  <si>
    <t>0673-TCN14</t>
  </si>
  <si>
    <t>VALOR FARRERA AUTOMOTRIZ S  DE  RL</t>
  </si>
  <si>
    <t>D    137</t>
  </si>
  <si>
    <t>0675-TCN14</t>
  </si>
  <si>
    <t>TOYOCOAPA S  DE  RL DE CV</t>
  </si>
  <si>
    <t>D    174</t>
  </si>
  <si>
    <t>0061-TCU14</t>
  </si>
  <si>
    <t>LJIMENEZ:DISTRIBUIDORA VOLKSWAGEN D</t>
  </si>
  <si>
    <t>D    276</t>
  </si>
  <si>
    <t>0676-TCN14</t>
  </si>
  <si>
    <t>0684-TCN14</t>
  </si>
  <si>
    <t>0677-TCN14</t>
  </si>
  <si>
    <t>D    383</t>
  </si>
  <si>
    <t>0678-TCN14</t>
  </si>
  <si>
    <t>D    384</t>
  </si>
  <si>
    <t>0679-TCN14</t>
  </si>
  <si>
    <t>D    387</t>
  </si>
  <si>
    <t>0680-TCN14</t>
  </si>
  <si>
    <t>D    389</t>
  </si>
  <si>
    <t>0681-TCN14</t>
  </si>
  <si>
    <t>D    390</t>
  </si>
  <si>
    <t>0682-TCN14</t>
  </si>
  <si>
    <t>D    391</t>
  </si>
  <si>
    <t>0683-TCN14</t>
  </si>
  <si>
    <t>0685-TCN14</t>
  </si>
  <si>
    <t>D    478</t>
  </si>
  <si>
    <t>0687-TCN14</t>
  </si>
  <si>
    <t>D    479</t>
  </si>
  <si>
    <t>0686-TCN14</t>
  </si>
  <si>
    <t>DECADA   COATZACOALCOS  S DE RL DE</t>
  </si>
  <si>
    <t>D    493</t>
  </si>
  <si>
    <t>0689-TCN14</t>
  </si>
  <si>
    <t>OZ  AUTOMOTRIZ S  DE  RL DE  CV</t>
  </si>
  <si>
    <t>D    494</t>
  </si>
  <si>
    <t>0688-TCN14</t>
  </si>
  <si>
    <t>ALECSA PACHUCA   S  DE  RL DE  CV</t>
  </si>
  <si>
    <t>D    579</t>
  </si>
  <si>
    <t>0690-TCN14</t>
  </si>
  <si>
    <t>FAME PERISUR  S DE RL  DE  CV</t>
  </si>
  <si>
    <t>D    588</t>
  </si>
  <si>
    <t>0691-TCN14</t>
  </si>
  <si>
    <t>DURANGO AUTOMOTORES  S  DE  RL DE</t>
  </si>
  <si>
    <t>D    602</t>
  </si>
  <si>
    <t>F-1426428</t>
  </si>
  <si>
    <t>LJIMENEZ:MENSUALIDAD SIENNA JULIO</t>
  </si>
  <si>
    <t>D    615</t>
  </si>
  <si>
    <t>0692-TCN14</t>
  </si>
  <si>
    <t>D    631</t>
  </si>
  <si>
    <t>0693-TCN14</t>
  </si>
  <si>
    <t>D    674</t>
  </si>
  <si>
    <t>S000961</t>
  </si>
  <si>
    <t>LJIMENEZ:ARMANDO DURAN MEJIA</t>
  </si>
  <si>
    <t>S000962</t>
  </si>
  <si>
    <t>R001473</t>
  </si>
  <si>
    <t>COMEX PINTURAS DE CELAYA SA DE</t>
  </si>
  <si>
    <t>P007771</t>
  </si>
  <si>
    <t>LIDERAZGO AUTOMOTRIZ DE PUEBLA</t>
  </si>
  <si>
    <t>P007774</t>
  </si>
  <si>
    <t>P007776</t>
  </si>
  <si>
    <t>LJIMENEZ:COMUNICACIONES NEXTEL DE M</t>
  </si>
  <si>
    <t>P007783</t>
  </si>
  <si>
    <t>TRASLADO INV.0672-TCN14</t>
  </si>
  <si>
    <t>D    700</t>
  </si>
  <si>
    <t>P007785</t>
  </si>
  <si>
    <t>TRASLADO INV.0662-TCN14</t>
  </si>
  <si>
    <t>D    704</t>
  </si>
  <si>
    <t>P007787</t>
  </si>
  <si>
    <t>TRASLADO INV.0665-TCN14</t>
  </si>
  <si>
    <t>P007789</t>
  </si>
  <si>
    <t>TRASLADO INV.0653-TCN14</t>
  </si>
  <si>
    <t>P007791</t>
  </si>
  <si>
    <t>TRASLADO INV.0652-TCN14</t>
  </si>
  <si>
    <t>0694-TCN14</t>
  </si>
  <si>
    <t>0695-TCN14</t>
  </si>
  <si>
    <t>0696-TCN14</t>
  </si>
  <si>
    <t>0697-TCN14</t>
  </si>
  <si>
    <t>UNITED  AUTO DE  AGUASCALIENTES S</t>
  </si>
  <si>
    <t>D  1,006</t>
  </si>
  <si>
    <t>0698-TCN14</t>
  </si>
  <si>
    <t>0699-TCN14</t>
  </si>
  <si>
    <t>TOYOMOTORS  SA  DE  CV</t>
  </si>
  <si>
    <t>0700-TCN14</t>
  </si>
  <si>
    <t>D  1,256</t>
  </si>
  <si>
    <t>0701-TCN14</t>
  </si>
  <si>
    <t>D  1,257</t>
  </si>
  <si>
    <t>0702-TCN14</t>
  </si>
  <si>
    <t>D  1,258</t>
  </si>
  <si>
    <t>0703-TCN14</t>
  </si>
  <si>
    <t>D  1,259</t>
  </si>
  <si>
    <t>0704-TCN14</t>
  </si>
  <si>
    <t>D  1,261</t>
  </si>
  <si>
    <t>0705-TCN14</t>
  </si>
  <si>
    <t>D  1,262</t>
  </si>
  <si>
    <t>0706-TCN14</t>
  </si>
  <si>
    <t>0707-TCN14</t>
  </si>
  <si>
    <t>0709-TCN14</t>
  </si>
  <si>
    <t>UNITED AUTO DE MONTERREY S  DE  RL</t>
  </si>
  <si>
    <t>0710-TCN14</t>
  </si>
  <si>
    <t>D  1,445</t>
  </si>
  <si>
    <t>0711-TCN14</t>
  </si>
  <si>
    <t>CCD,  AUTOSALES  PUERTO VALLARTA</t>
  </si>
  <si>
    <t>0717-TCN14</t>
  </si>
  <si>
    <t>D  1,485</t>
  </si>
  <si>
    <t>P007901</t>
  </si>
  <si>
    <t>TRASLADO INV.0693-TCN14</t>
  </si>
  <si>
    <t>D  1,487</t>
  </si>
  <si>
    <t>P007903</t>
  </si>
  <si>
    <t>TRASLADO INV.0689-TCN14</t>
  </si>
  <si>
    <t>D  1,489</t>
  </si>
  <si>
    <t>P007905</t>
  </si>
  <si>
    <t>TRASLADO INV.0688-TCN14</t>
  </si>
  <si>
    <t>D  1,490</t>
  </si>
  <si>
    <t>P007906</t>
  </si>
  <si>
    <t>TRASLADO.INV.0673-TCN14</t>
  </si>
  <si>
    <t>D  1,492</t>
  </si>
  <si>
    <t>D  1,494</t>
  </si>
  <si>
    <t>D  1,495</t>
  </si>
  <si>
    <t>FARMACIA GUADALAJARA SA DE CV</t>
  </si>
  <si>
    <t>D  1,500</t>
  </si>
  <si>
    <t>D  1,502</t>
  </si>
  <si>
    <t>D  1,504</t>
  </si>
  <si>
    <t>D  1,508</t>
  </si>
  <si>
    <t>D  1,510</t>
  </si>
  <si>
    <t>D  1,511</t>
  </si>
  <si>
    <t>D  1,514</t>
  </si>
  <si>
    <t>0712-TCN14</t>
  </si>
  <si>
    <t>D  1,515</t>
  </si>
  <si>
    <t>P007935</t>
  </si>
  <si>
    <t>D  1,516</t>
  </si>
  <si>
    <t>ROSALINDA HERNANDEZ ROSILES</t>
  </si>
  <si>
    <t>D  1,517</t>
  </si>
  <si>
    <t>S000971</t>
  </si>
  <si>
    <t>S000970</t>
  </si>
  <si>
    <t>D  1,519</t>
  </si>
  <si>
    <t>S000937</t>
  </si>
  <si>
    <t>VANESSA ABOYTES PATIÑO</t>
  </si>
  <si>
    <t>D  1,520</t>
  </si>
  <si>
    <t>R001489</t>
  </si>
  <si>
    <t>R001500</t>
  </si>
  <si>
    <t>D  1,522</t>
  </si>
  <si>
    <t>S000940</t>
  </si>
  <si>
    <t>D  1,581</t>
  </si>
  <si>
    <t>0713-TCN14</t>
  </si>
  <si>
    <t>0714-TCN14</t>
  </si>
  <si>
    <t>D  1,588</t>
  </si>
  <si>
    <t>0715-TCN14</t>
  </si>
  <si>
    <t>D  1,590</t>
  </si>
  <si>
    <t>0726-TCN14</t>
  </si>
  <si>
    <t>AUTOMOTRIZ HIHON S.A  DE  C.V</t>
  </si>
  <si>
    <t>0727-TCN14</t>
  </si>
  <si>
    <t>FAME  PERISUR SA  DE CV</t>
  </si>
  <si>
    <t>D  1,648</t>
  </si>
  <si>
    <t>COMISIONES BMX AL 24/07/2014</t>
  </si>
  <si>
    <t>D  1,665</t>
  </si>
  <si>
    <t>0728-TCN14</t>
  </si>
  <si>
    <t>D  1,667</t>
  </si>
  <si>
    <t>0716-TCN14</t>
  </si>
  <si>
    <t>D  1,668</t>
  </si>
  <si>
    <t>0718-TCN14</t>
  </si>
  <si>
    <t>D  1,669</t>
  </si>
  <si>
    <t>0719-TCN14</t>
  </si>
  <si>
    <t>D  1,671</t>
  </si>
  <si>
    <t>0720-TCN14</t>
  </si>
  <si>
    <t>D  1,672</t>
  </si>
  <si>
    <t>0721-TCN14</t>
  </si>
  <si>
    <t>D  1,673</t>
  </si>
  <si>
    <t>0722-TCN14</t>
  </si>
  <si>
    <t>D  1,674</t>
  </si>
  <si>
    <t>0723-TCN14</t>
  </si>
  <si>
    <t>D  1,677</t>
  </si>
  <si>
    <t>0724-TCN14</t>
  </si>
  <si>
    <t>D  1,678</t>
  </si>
  <si>
    <t>0725-TCN14</t>
  </si>
  <si>
    <t>D  1,681</t>
  </si>
  <si>
    <t>0729-TCN14</t>
  </si>
  <si>
    <t>AUTOMOTRIZ TOY  DEL SURESTE</t>
  </si>
  <si>
    <t>D  1,793</t>
  </si>
  <si>
    <t>0730-TCN14</t>
  </si>
  <si>
    <t>D  1,794</t>
  </si>
  <si>
    <t>0731-TCN14</t>
  </si>
  <si>
    <t>D  1,795</t>
  </si>
  <si>
    <t>0732-TCN14</t>
  </si>
  <si>
    <t>0733-TCN14</t>
  </si>
  <si>
    <t>D  1,815</t>
  </si>
  <si>
    <t>P007937</t>
  </si>
  <si>
    <t>TRASLADO INV.0675-TCN14</t>
  </si>
  <si>
    <t>P007939</t>
  </si>
  <si>
    <t>TRASLADO INV.0711-TCN14</t>
  </si>
  <si>
    <t>D  1,819</t>
  </si>
  <si>
    <t>P007941</t>
  </si>
  <si>
    <t>TRASLADO INV.0666-TCN14</t>
  </si>
  <si>
    <t>P007943</t>
  </si>
  <si>
    <t>TRASLADO INV.0699-TCN14</t>
  </si>
  <si>
    <t>D  1,823</t>
  </si>
  <si>
    <t>P007945</t>
  </si>
  <si>
    <t>TRASLADO INV.0664-TCN14</t>
  </si>
  <si>
    <t>P007946</t>
  </si>
  <si>
    <t>TRASLADO INV.0060-TCU14</t>
  </si>
  <si>
    <t>0734-TCN14</t>
  </si>
  <si>
    <t>REGUPA SA DE CV</t>
  </si>
  <si>
    <t>D  1,833</t>
  </si>
  <si>
    <t>MARILUZ HERNANDEZ BRIBIESSCA</t>
  </si>
  <si>
    <t>D  1,834</t>
  </si>
  <si>
    <t>D  1,837</t>
  </si>
  <si>
    <t>D  1,857</t>
  </si>
  <si>
    <t>D  1,858</t>
  </si>
  <si>
    <t>D  1,859</t>
  </si>
  <si>
    <t>D  1,875</t>
  </si>
  <si>
    <t>S001003</t>
  </si>
  <si>
    <t>D  1,876</t>
  </si>
  <si>
    <t>S000972</t>
  </si>
  <si>
    <t>D  1,904</t>
  </si>
  <si>
    <t>0735-TCN14</t>
  </si>
  <si>
    <t>PURDY MOTORS S  DE  RL DE  CV</t>
  </si>
  <si>
    <t>D  1,913</t>
  </si>
  <si>
    <t>0736-TCN14</t>
  </si>
  <si>
    <t>0737-TCN14</t>
  </si>
  <si>
    <t>D  1,916</t>
  </si>
  <si>
    <t>0738-TCN14</t>
  </si>
  <si>
    <t>0739-TCN14</t>
  </si>
  <si>
    <t>D  1,918</t>
  </si>
  <si>
    <t>0740-TCN14</t>
  </si>
  <si>
    <t>D  1,919</t>
  </si>
  <si>
    <t>0741-TCN14</t>
  </si>
  <si>
    <t>0742-TCN14</t>
  </si>
  <si>
    <t>D  1,922</t>
  </si>
  <si>
    <t>0743-TCN14</t>
  </si>
  <si>
    <t>0744-TCN14</t>
  </si>
  <si>
    <t>COMISION STDER AL 30/07/2014</t>
  </si>
  <si>
    <t>C.VIAT.ALFREDO ARREGUIN</t>
  </si>
  <si>
    <t>0745-TCN14</t>
  </si>
  <si>
    <t>0746-TCN14</t>
  </si>
  <si>
    <t>0747-TCN14</t>
  </si>
  <si>
    <t>LIDERAZGO AUTOMOTRIZ DE  PUEBLA S</t>
  </si>
  <si>
    <t>0748-TCN14</t>
  </si>
  <si>
    <t>CALIDAD DE TABASCO  S DE RL DE CV</t>
  </si>
  <si>
    <t>0749-TCN14</t>
  </si>
  <si>
    <t>CCD, AUTOSALES PUERTO VALLARTA</t>
  </si>
  <si>
    <t>CH-14651</t>
  </si>
  <si>
    <t>PAGO REFACCIONES JUN 2014</t>
  </si>
  <si>
    <t>F-1438824</t>
  </si>
  <si>
    <t>LJIMENEZ:MENSUALIDAD COROLLA AGOSTO</t>
  </si>
  <si>
    <t>F-1460320</t>
  </si>
  <si>
    <t>LJIMENEZ:MENSUALIDAD HILUX AGOSTO</t>
  </si>
  <si>
    <t>AM-0001317</t>
  </si>
  <si>
    <t>LJIMENEZ:TELCEL JUNIO AM-1317</t>
  </si>
  <si>
    <t>AM-0001329</t>
  </si>
  <si>
    <t>LJIMENEZ:INTERNET JULIO AM-1329</t>
  </si>
  <si>
    <t>AM-0001334</t>
  </si>
  <si>
    <t>LJIMENEZ:FRAME RELAY JULIO AM-1334</t>
  </si>
  <si>
    <t>AM-0001346</t>
  </si>
  <si>
    <t>LJIMENEZ:RABELLO JULIO AM-1346</t>
  </si>
  <si>
    <t>0750-TCN14</t>
  </si>
  <si>
    <t>DALTON  AUTMOTRIZ S  DE  RL DE  CV</t>
  </si>
  <si>
    <t>0751-TCN14</t>
  </si>
  <si>
    <t>DALTON AUTMOTRIZ  S DE  RL DE CV</t>
  </si>
  <si>
    <t>0752-TCN14</t>
  </si>
  <si>
    <t>LIDERAZGO  AUTOMOTRIZ DE  PUEBLA</t>
  </si>
  <si>
    <t>0753-TCN14</t>
  </si>
  <si>
    <t>AUTOMOTRIZ TOY SA DE CV</t>
  </si>
  <si>
    <t>0754-TCN14</t>
  </si>
  <si>
    <t>DALTON AUTOMOTRIZ S  DE  RL DE  CV</t>
  </si>
  <si>
    <t>D  2,273</t>
  </si>
  <si>
    <t>P007980</t>
  </si>
  <si>
    <t>TRASLADO INV.0727-TCN14</t>
  </si>
  <si>
    <t>D  2,275</t>
  </si>
  <si>
    <t>P007982</t>
  </si>
  <si>
    <t>TRASLADO INV.0447-TCN14</t>
  </si>
  <si>
    <t>D  2,277</t>
  </si>
  <si>
    <t>P007984</t>
  </si>
  <si>
    <t>TRASLADO INV.0697-TCN14</t>
  </si>
  <si>
    <t>D  2,279</t>
  </si>
  <si>
    <t>P007986</t>
  </si>
  <si>
    <t>TRASLADO INV.0726-TCN14</t>
  </si>
  <si>
    <t>D  2,281</t>
  </si>
  <si>
    <t>P007988</t>
  </si>
  <si>
    <t>TRASLADO INV.0690-TCN14</t>
  </si>
  <si>
    <t>D  2,282</t>
  </si>
  <si>
    <t>NOVOGAS JURIQUILLA SA DE CV</t>
  </si>
  <si>
    <t>D  2,283</t>
  </si>
  <si>
    <t>LJIMENEZ:C.VIATICOS MA.CARMEN STEFA</t>
  </si>
  <si>
    <t>D  2,284</t>
  </si>
  <si>
    <t>D  2,286</t>
  </si>
  <si>
    <t>MERCANTIL CERRAJERIA SA DE CV</t>
  </si>
  <si>
    <t>D  2,287</t>
  </si>
  <si>
    <t>D  2,288</t>
  </si>
  <si>
    <t>D  2,289</t>
  </si>
  <si>
    <t>D  2,290</t>
  </si>
  <si>
    <t>D  2,291</t>
  </si>
  <si>
    <t>VIATICOS COMONUEVOS PABLO ALFA</t>
  </si>
  <si>
    <t>D  2,294</t>
  </si>
  <si>
    <t>D  2,295</t>
  </si>
  <si>
    <t>r001536</t>
  </si>
  <si>
    <t>MA.DEL ROSARIO ENRIQUEZ SAAVED</t>
  </si>
  <si>
    <t>D  2,296</t>
  </si>
  <si>
    <t>R001535</t>
  </si>
  <si>
    <t>D  2,298</t>
  </si>
  <si>
    <t>D  2,301</t>
  </si>
  <si>
    <t>P008106</t>
  </si>
  <si>
    <t>TRASLADO INV.0669-TCN14</t>
  </si>
  <si>
    <t>D  2,302</t>
  </si>
  <si>
    <t>P008107</t>
  </si>
  <si>
    <t>TRASLADO INV.0685-TCN14</t>
  </si>
  <si>
    <t>D  2,303</t>
  </si>
  <si>
    <t>P008108</t>
  </si>
  <si>
    <t>TRASLADO INV.0709-TCN14</t>
  </si>
  <si>
    <t>D  2,306</t>
  </si>
  <si>
    <t>S001025</t>
  </si>
  <si>
    <t>CH-14522</t>
  </si>
  <si>
    <t>CH-14533</t>
  </si>
  <si>
    <t>LJIMENEZ:GARCIA TAPIA JUAN ANTONIO</t>
  </si>
  <si>
    <t>CH-14535</t>
  </si>
  <si>
    <t>CH-14543</t>
  </si>
  <si>
    <t>T-1069</t>
  </si>
  <si>
    <t>T-1070</t>
  </si>
  <si>
    <t>T-455</t>
  </si>
  <si>
    <t>T-456</t>
  </si>
  <si>
    <t>T-1071</t>
  </si>
  <si>
    <t>T-457</t>
  </si>
  <si>
    <t>T-1072</t>
  </si>
  <si>
    <t>T-458</t>
  </si>
  <si>
    <t>T-1073</t>
  </si>
  <si>
    <t>T-1074</t>
  </si>
  <si>
    <t>T-1075</t>
  </si>
  <si>
    <t>T-1076</t>
  </si>
  <si>
    <t>T-1077</t>
  </si>
  <si>
    <t>T-1078</t>
  </si>
  <si>
    <t>BAJA: REPRESENTACIONES DYCO Y ASOCI</t>
  </si>
  <si>
    <t>T-1079</t>
  </si>
  <si>
    <t>CH-14550</t>
  </si>
  <si>
    <t>LJIMENEZ:GARCIA OLIVOS MARIA TERESA</t>
  </si>
  <si>
    <t>CH-14551</t>
  </si>
  <si>
    <t>AUTO TERRESTRES MEXICO SA DE CV</t>
  </si>
  <si>
    <t>CH-14552</t>
  </si>
  <si>
    <t>CH-14553</t>
  </si>
  <si>
    <t>CH-14569</t>
  </si>
  <si>
    <t>CH-14575</t>
  </si>
  <si>
    <t>CH-14577</t>
  </si>
  <si>
    <t>LJIMENEZ:SERVICIOS AMBIENTALES Y DE</t>
  </si>
  <si>
    <t>CH-14578</t>
  </si>
  <si>
    <t>CH-14579</t>
  </si>
  <si>
    <t>CH-14580</t>
  </si>
  <si>
    <t>CH-14581</t>
  </si>
  <si>
    <t>T-1080</t>
  </si>
  <si>
    <t>T-1081</t>
  </si>
  <si>
    <t>T-459</t>
  </si>
  <si>
    <t>T-1082</t>
  </si>
  <si>
    <t>T-460</t>
  </si>
  <si>
    <t>T-1083</t>
  </si>
  <si>
    <t>T-461</t>
  </si>
  <si>
    <t>T-1084</t>
  </si>
  <si>
    <t>T-1086</t>
  </si>
  <si>
    <t>COMISIONES BBVA AL 14/07/2014</t>
  </si>
  <si>
    <t>CH-14585</t>
  </si>
  <si>
    <t>CH-14588</t>
  </si>
  <si>
    <t>CH-14586</t>
  </si>
  <si>
    <t>CH-14590</t>
  </si>
  <si>
    <t>CH-14591</t>
  </si>
  <si>
    <t>CH-14541</t>
  </si>
  <si>
    <t>CH-14594</t>
  </si>
  <si>
    <t>CH-14608</t>
  </si>
  <si>
    <t>CH-14609</t>
  </si>
  <si>
    <t>CH-14610</t>
  </si>
  <si>
    <t>CH-14611</t>
  </si>
  <si>
    <t>CH-14612</t>
  </si>
  <si>
    <t>CH-14613</t>
  </si>
  <si>
    <t>CH-14615</t>
  </si>
  <si>
    <t>CH-14616</t>
  </si>
  <si>
    <t>T-1087</t>
  </si>
  <si>
    <t>T-462</t>
  </si>
  <si>
    <t>T-1088</t>
  </si>
  <si>
    <t>T-1089</t>
  </si>
  <si>
    <t>T-190</t>
  </si>
  <si>
    <t>T-1091</t>
  </si>
  <si>
    <t>T-1092</t>
  </si>
  <si>
    <t>T-463</t>
  </si>
  <si>
    <t>T-464</t>
  </si>
  <si>
    <t>T-1094</t>
  </si>
  <si>
    <t>T-1095</t>
  </si>
  <si>
    <t>T-1096</t>
  </si>
  <si>
    <t>T-1097</t>
  </si>
  <si>
    <t>T-465</t>
  </si>
  <si>
    <t>CH-14618</t>
  </si>
  <si>
    <t>DURANGO AUTOMOTORES S. DE R.L. DE C</t>
  </si>
  <si>
    <t>CH-14619</t>
  </si>
  <si>
    <t>MERCADO LIBRE S DE RL DE CV</t>
  </si>
  <si>
    <t>CH-14620</t>
  </si>
  <si>
    <t>CH-14621</t>
  </si>
  <si>
    <t>CH-14623</t>
  </si>
  <si>
    <t>CH-14624</t>
  </si>
  <si>
    <t>CH-14626</t>
  </si>
  <si>
    <t>CH-14627</t>
  </si>
  <si>
    <t>E    177</t>
  </si>
  <si>
    <t>CH-014628</t>
  </si>
  <si>
    <t>CH- 014629</t>
  </si>
  <si>
    <t>COM.BBVA AL 24/07/2014</t>
  </si>
  <si>
    <t>CH-14636</t>
  </si>
  <si>
    <t>BAJA: IMPULSORA DE TRANSPORTES MEXI</t>
  </si>
  <si>
    <t>COMISIONES BBVA AL 29/07/2014</t>
  </si>
  <si>
    <t>CH-14653</t>
  </si>
  <si>
    <t>CH-14655</t>
  </si>
  <si>
    <t>COM.BAJIO AL 28/07/2014</t>
  </si>
  <si>
    <t>CH-14657</t>
  </si>
  <si>
    <t>CH-14658</t>
  </si>
  <si>
    <t>CH-14661</t>
  </si>
  <si>
    <t>CH-14633</t>
  </si>
  <si>
    <t>COMISIONES BBVA AL 31/07/2014</t>
  </si>
  <si>
    <t>REFACCIONES</t>
  </si>
  <si>
    <t>T-1099</t>
  </si>
  <si>
    <t>T-1100</t>
  </si>
  <si>
    <t>DRIDCO MEXICO SA DE CV</t>
  </si>
  <si>
    <t>T-466</t>
  </si>
  <si>
    <t>LJIMENEZ:LUBRICANTES DEL BAJIO, S.A</t>
  </si>
  <si>
    <t>T-467</t>
  </si>
  <si>
    <t>T-468</t>
  </si>
  <si>
    <t>T-1101</t>
  </si>
  <si>
    <t>T-469</t>
  </si>
  <si>
    <t>T-1102</t>
  </si>
  <si>
    <t>T-470</t>
  </si>
  <si>
    <t>T-1103</t>
  </si>
  <si>
    <t>T-1104</t>
  </si>
  <si>
    <t>T-1105</t>
  </si>
  <si>
    <t>T-471</t>
  </si>
  <si>
    <t>T-1106</t>
  </si>
  <si>
    <t>T-1107</t>
  </si>
  <si>
    <t>T-472</t>
  </si>
  <si>
    <t>T-1108</t>
  </si>
  <si>
    <t>T-1109</t>
  </si>
  <si>
    <t>T-1110</t>
  </si>
  <si>
    <t>T-1111</t>
  </si>
  <si>
    <t>T-1112</t>
  </si>
  <si>
    <t>T-1113</t>
  </si>
  <si>
    <t>TORRE GALLEGO ELAINE</t>
  </si>
  <si>
    <t>T-1114</t>
  </si>
  <si>
    <t>T-1115</t>
  </si>
  <si>
    <t>T-473</t>
  </si>
  <si>
    <t>COM.BMX AL 31/07/2014</t>
  </si>
  <si>
    <t>CH-14667</t>
  </si>
  <si>
    <t>COM/SGCH</t>
  </si>
  <si>
    <t>COMISION S/GIRO CH</t>
  </si>
  <si>
    <t>COMISIONES AMEX</t>
  </si>
  <si>
    <t>COMISIONES BNTE AL 31/07/2014</t>
  </si>
  <si>
    <t>COMISION STDER AL 31/07/2014</t>
  </si>
  <si>
    <t>COMISION INVLAT AL 31/07/2014</t>
  </si>
  <si>
    <t>CH-14680</t>
  </si>
  <si>
    <t>T-1116</t>
  </si>
  <si>
    <t>CH-14462</t>
  </si>
  <si>
    <t>I    908</t>
  </si>
  <si>
    <t>EMB.153</t>
  </si>
  <si>
    <t>EMBARQUE 153</t>
  </si>
  <si>
    <t>JULIO</t>
  </si>
  <si>
    <t>ATM1111075LA</t>
  </si>
  <si>
    <t>ANI140616N87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</si>
</sst>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#,##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9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3" fontId="2" fillId="0" borderId="0" xfId="1" applyFont="1" applyAlignment="1">
      <alignment horizontal="center"/>
    </xf>
    <xf numFmtId="0" fontId="0" fillId="3" borderId="0" xfId="0" applyNumberFormat="1" applyFont="1" applyFill="1"/>
    <xf numFmtId="0" fontId="0" fillId="0" borderId="0" xfId="0" applyFill="1"/>
    <xf numFmtId="0" fontId="4" fillId="6" borderId="0" xfId="2" applyFill="1"/>
    <xf numFmtId="0" fontId="4" fillId="6" borderId="0" xfId="2" applyFill="1"/>
    <xf numFmtId="0" fontId="4" fillId="6" borderId="0" xfId="2" applyFill="1"/>
    <xf numFmtId="43" fontId="0" fillId="0" borderId="0" xfId="0" applyNumberFormat="1"/>
    <xf numFmtId="0" fontId="4" fillId="6" borderId="0" xfId="2" applyFill="1"/>
    <xf numFmtId="0" fontId="0" fillId="0" borderId="0" xfId="0" applyNumberFormat="1" applyFont="1" applyFill="1" applyAlignment="1"/>
    <xf numFmtId="0" fontId="6" fillId="6" borderId="0" xfId="0" applyFont="1" applyFill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0" fillId="6" borderId="0" xfId="0" applyFill="1"/>
    <xf numFmtId="0" fontId="0" fillId="6" borderId="0" xfId="0" applyNumberFormat="1" applyFont="1" applyFill="1" applyAlignment="1"/>
    <xf numFmtId="0" fontId="0" fillId="6" borderId="0" xfId="0" applyFill="1" applyAlignment="1"/>
    <xf numFmtId="0" fontId="4" fillId="6" borderId="0" xfId="2" applyFill="1"/>
    <xf numFmtId="0" fontId="4" fillId="0" borderId="0" xfId="2"/>
    <xf numFmtId="0" fontId="4" fillId="2" borderId="0" xfId="2" applyNumberFormat="1" applyFont="1" applyFill="1" applyAlignment="1"/>
    <xf numFmtId="0" fontId="4" fillId="2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 applyAlignment="1"/>
    <xf numFmtId="0" fontId="4" fillId="6" borderId="0" xfId="2" applyFont="1" applyFill="1"/>
    <xf numFmtId="0" fontId="4" fillId="6" borderId="0" xfId="2" applyFont="1" applyFill="1" applyAlignment="1"/>
    <xf numFmtId="164" fontId="4" fillId="0" borderId="0" xfId="3" applyFont="1" applyFill="1"/>
    <xf numFmtId="164" fontId="5" fillId="0" borderId="0" xfId="3" applyFont="1" applyFill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 applyAlignment="1">
      <alignment horizontal="left"/>
    </xf>
    <xf numFmtId="0" fontId="4" fillId="0" borderId="0" xfId="2" applyFill="1"/>
    <xf numFmtId="0" fontId="4" fillId="0" borderId="0" xfId="2"/>
    <xf numFmtId="0" fontId="4" fillId="0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/>
    <xf numFmtId="0" fontId="6" fillId="6" borderId="0" xfId="3" applyNumberFormat="1" applyFont="1" applyFill="1" applyBorder="1" applyAlignment="1" applyProtection="1">
      <alignment horizontal="left"/>
    </xf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NumberFormat="1" applyFont="1" applyFill="1" applyAlignment="1"/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Fill="1"/>
    <xf numFmtId="164" fontId="4" fillId="6" borderId="0" xfId="3" applyFont="1" applyFill="1"/>
    <xf numFmtId="0" fontId="0" fillId="3" borderId="0" xfId="0" applyNumberFormat="1" applyFont="1" applyFill="1" applyAlignment="1"/>
    <xf numFmtId="0" fontId="4" fillId="0" borderId="0" xfId="2"/>
    <xf numFmtId="164" fontId="4" fillId="0" borderId="0" xfId="3" applyFont="1"/>
    <xf numFmtId="164" fontId="4" fillId="5" borderId="0" xfId="3" applyFont="1" applyFill="1"/>
    <xf numFmtId="0" fontId="4" fillId="0" borderId="0" xfId="2" applyFill="1"/>
    <xf numFmtId="0" fontId="4" fillId="0" borderId="0" xfId="2" applyNumberFormat="1" applyFill="1" applyAlignment="1"/>
    <xf numFmtId="164" fontId="4" fillId="0" borderId="0" xfId="3" applyFont="1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ill="1" applyAlignment="1"/>
    <xf numFmtId="164" fontId="4" fillId="6" borderId="0" xfId="3" applyFont="1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 applyAlignment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3" borderId="0" xfId="2" applyNumberFormat="1" applyFont="1" applyFill="1" applyAlignment="1"/>
    <xf numFmtId="0" fontId="4" fillId="3" borderId="0" xfId="2" applyNumberFormat="1" applyFont="1" applyFill="1"/>
    <xf numFmtId="0" fontId="4" fillId="3" borderId="0" xfId="2" applyNumberFormat="1" applyFont="1" applyFill="1" applyAlignment="1"/>
    <xf numFmtId="0" fontId="4" fillId="3" borderId="0" xfId="2" applyNumberFormat="1" applyFont="1" applyFill="1"/>
    <xf numFmtId="0" fontId="4" fillId="3" borderId="0" xfId="2" applyNumberFormat="1" applyFont="1" applyFill="1" applyAlignment="1"/>
    <xf numFmtId="0" fontId="4" fillId="3" borderId="0" xfId="2" applyNumberFormat="1" applyFont="1" applyFill="1"/>
    <xf numFmtId="0" fontId="4" fillId="6" borderId="0" xfId="2" applyFill="1"/>
    <xf numFmtId="0" fontId="4" fillId="6" borderId="0" xfId="2" applyFill="1" applyAlignment="1"/>
    <xf numFmtId="0" fontId="4" fillId="0" borderId="0" xfId="2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0" borderId="0" xfId="2"/>
    <xf numFmtId="0" fontId="4" fillId="4" borderId="0" xfId="2" applyFill="1"/>
    <xf numFmtId="164" fontId="4" fillId="0" borderId="0" xfId="3" applyFont="1"/>
    <xf numFmtId="164" fontId="4" fillId="0" borderId="0" xfId="3" applyFont="1" applyFill="1"/>
    <xf numFmtId="164" fontId="4" fillId="4" borderId="0" xfId="3" applyFont="1" applyFill="1"/>
    <xf numFmtId="0" fontId="4" fillId="0" borderId="0" xfId="2"/>
    <xf numFmtId="164" fontId="4" fillId="0" borderId="0" xfId="3" applyFont="1"/>
    <xf numFmtId="164" fontId="4" fillId="0" borderId="0" xfId="3" applyFont="1" applyFill="1"/>
    <xf numFmtId="0" fontId="4" fillId="6" borderId="0" xfId="2" applyFill="1"/>
    <xf numFmtId="0" fontId="4" fillId="6" borderId="0" xfId="2" applyFill="1"/>
    <xf numFmtId="0" fontId="4" fillId="6" borderId="0" xfId="2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0" fillId="4" borderId="0" xfId="0" applyFill="1"/>
    <xf numFmtId="0" fontId="0" fillId="0" borderId="0" xfId="0" applyFill="1" applyAlignment="1"/>
    <xf numFmtId="0" fontId="0" fillId="4" borderId="0" xfId="0" applyFill="1" applyAlignment="1"/>
    <xf numFmtId="43" fontId="0" fillId="6" borderId="0" xfId="1" applyFont="1" applyFill="1"/>
    <xf numFmtId="43" fontId="0" fillId="0" borderId="0" xfId="1" applyFont="1" applyFill="1"/>
    <xf numFmtId="43" fontId="0" fillId="4" borderId="0" xfId="1" applyFont="1" applyFill="1"/>
    <xf numFmtId="0" fontId="6" fillId="4" borderId="0" xfId="0" applyFont="1" applyFill="1"/>
    <xf numFmtId="43" fontId="6" fillId="4" borderId="0" xfId="1" applyFont="1" applyFill="1"/>
    <xf numFmtId="0" fontId="6" fillId="0" borderId="0" xfId="0" applyFont="1"/>
    <xf numFmtId="43" fontId="6" fillId="0" borderId="0" xfId="1" applyFont="1" applyFill="1"/>
    <xf numFmtId="0" fontId="0" fillId="5" borderId="0" xfId="0" applyNumberFormat="1" applyFont="1" applyFill="1" applyAlignment="1"/>
    <xf numFmtId="0" fontId="0" fillId="5" borderId="0" xfId="0" applyFill="1"/>
    <xf numFmtId="0" fontId="0" fillId="7" borderId="0" xfId="0" applyFill="1"/>
    <xf numFmtId="0" fontId="0" fillId="7" borderId="0" xfId="0" applyFill="1" applyAlignment="1"/>
    <xf numFmtId="0" fontId="6" fillId="7" borderId="0" xfId="0" applyFont="1" applyFill="1" applyAlignment="1">
      <alignment wrapText="1"/>
    </xf>
    <xf numFmtId="0" fontId="0" fillId="7" borderId="0" xfId="0" applyNumberFormat="1" applyFont="1" applyFill="1" applyAlignment="1"/>
    <xf numFmtId="0" fontId="0" fillId="7" borderId="0" xfId="0" applyNumberFormat="1" applyFont="1" applyFill="1"/>
    <xf numFmtId="0" fontId="0" fillId="7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6" fillId="7" borderId="0" xfId="1" applyNumberFormat="1" applyFont="1" applyFill="1" applyBorder="1" applyAlignment="1" applyProtection="1">
      <alignment horizontal="left"/>
    </xf>
    <xf numFmtId="4" fontId="0" fillId="7" borderId="0" xfId="0" applyNumberFormat="1" applyFill="1"/>
    <xf numFmtId="0" fontId="6" fillId="0" borderId="0" xfId="0" applyFont="1" applyAlignment="1">
      <alignment wrapText="1"/>
    </xf>
    <xf numFmtId="4" fontId="0" fillId="0" borderId="0" xfId="0" applyNumberFormat="1" applyFill="1"/>
    <xf numFmtId="4" fontId="0" fillId="4" borderId="0" xfId="0" applyNumberFormat="1" applyFill="1"/>
    <xf numFmtId="0" fontId="0" fillId="7" borderId="0" xfId="0" applyFont="1" applyFill="1" applyAlignment="1"/>
    <xf numFmtId="0" fontId="0" fillId="2" borderId="0" xfId="0" applyNumberFormat="1" applyFont="1" applyFill="1" applyAlignment="1"/>
    <xf numFmtId="0" fontId="0" fillId="2" borderId="0" xfId="0" applyFill="1"/>
    <xf numFmtId="0" fontId="6" fillId="4" borderId="0" xfId="0" applyFont="1" applyFill="1" applyAlignment="1">
      <alignment wrapText="1"/>
    </xf>
    <xf numFmtId="4" fontId="0" fillId="0" borderId="0" xfId="0" applyNumberFormat="1" applyFont="1" applyFill="1"/>
    <xf numFmtId="4" fontId="0" fillId="7" borderId="0" xfId="0" applyNumberFormat="1" applyFont="1" applyFill="1"/>
    <xf numFmtId="4" fontId="0" fillId="4" borderId="0" xfId="0" applyNumberFormat="1" applyFont="1" applyFill="1"/>
    <xf numFmtId="0" fontId="6" fillId="0" borderId="0" xfId="0" applyFont="1" applyFill="1" applyAlignment="1">
      <alignment wrapText="1"/>
    </xf>
    <xf numFmtId="0" fontId="6" fillId="7" borderId="0" xfId="3" applyNumberFormat="1" applyFont="1" applyFill="1" applyBorder="1" applyAlignment="1" applyProtection="1">
      <alignment horizontal="left"/>
    </xf>
    <xf numFmtId="164" fontId="0" fillId="7" borderId="0" xfId="3" applyFont="1" applyFill="1"/>
    <xf numFmtId="0" fontId="6" fillId="7" borderId="0" xfId="0" applyFont="1" applyFill="1" applyAlignment="1">
      <alignment horizontal="left" vertical="top"/>
    </xf>
    <xf numFmtId="0" fontId="0" fillId="4" borderId="0" xfId="0" applyNumberFormat="1" applyFont="1" applyFill="1" applyAlignment="1"/>
    <xf numFmtId="0" fontId="0" fillId="4" borderId="0" xfId="0" applyNumberFormat="1" applyFont="1" applyFill="1" applyAlignment="1">
      <alignment horizontal="left"/>
    </xf>
    <xf numFmtId="164" fontId="0" fillId="4" borderId="0" xfId="3" applyFont="1" applyFill="1"/>
    <xf numFmtId="164" fontId="0" fillId="0" borderId="0" xfId="3" applyFont="1"/>
    <xf numFmtId="164" fontId="0" fillId="0" borderId="0" xfId="3" applyFont="1" applyFill="1"/>
    <xf numFmtId="0" fontId="0" fillId="5" borderId="0" xfId="0" applyFill="1" applyAlignment="1"/>
    <xf numFmtId="0" fontId="4" fillId="7" borderId="0" xfId="3" applyNumberFormat="1" applyFont="1" applyFill="1" applyBorder="1" applyAlignment="1" applyProtection="1"/>
    <xf numFmtId="0" fontId="0" fillId="7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NumberFormat="1" applyFont="1" applyFill="1" applyBorder="1" applyAlignment="1">
      <alignment horizontal="left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wrapText="1"/>
    </xf>
    <xf numFmtId="0" fontId="0" fillId="4" borderId="0" xfId="0" applyFill="1" applyAlignment="1">
      <alignment horizontal="left"/>
    </xf>
    <xf numFmtId="0" fontId="0" fillId="7" borderId="0" xfId="0" applyFill="1" applyBorder="1" applyAlignment="1"/>
    <xf numFmtId="0" fontId="0" fillId="7" borderId="0" xfId="0" applyFill="1" applyBorder="1"/>
    <xf numFmtId="0" fontId="0" fillId="0" borderId="0" xfId="0" applyAlignment="1">
      <alignment horizontal="left"/>
    </xf>
    <xf numFmtId="165" fontId="0" fillId="0" borderId="0" xfId="0" applyNumberFormat="1"/>
    <xf numFmtId="4" fontId="0" fillId="8" borderId="0" xfId="0" applyNumberFormat="1" applyFill="1"/>
    <xf numFmtId="4" fontId="0" fillId="9" borderId="0" xfId="0" applyNumberFormat="1" applyFill="1"/>
    <xf numFmtId="0" fontId="0" fillId="10" borderId="0" xfId="0" applyFill="1" applyAlignment="1">
      <alignment horizontal="left"/>
    </xf>
    <xf numFmtId="0" fontId="8" fillId="10" borderId="0" xfId="0" applyFont="1" applyFill="1"/>
    <xf numFmtId="0" fontId="0" fillId="10" borderId="0" xfId="0" applyFill="1" applyAlignment="1"/>
    <xf numFmtId="0" fontId="0" fillId="10" borderId="0" xfId="0" applyFill="1"/>
    <xf numFmtId="0" fontId="6" fillId="10" borderId="0" xfId="0" applyFont="1" applyFill="1" applyAlignment="1">
      <alignment wrapText="1"/>
    </xf>
    <xf numFmtId="0" fontId="0" fillId="10" borderId="0" xfId="0" applyNumberFormat="1" applyFont="1" applyFill="1" applyAlignment="1">
      <alignment horizontal="left"/>
    </xf>
    <xf numFmtId="0" fontId="0" fillId="10" borderId="0" xfId="0" applyNumberFormat="1" applyFont="1" applyFill="1" applyAlignment="1"/>
    <xf numFmtId="0" fontId="8" fillId="10" borderId="0" xfId="0" applyNumberFormat="1" applyFont="1" applyFill="1" applyAlignment="1">
      <alignment horizontal="left"/>
    </xf>
    <xf numFmtId="0" fontId="0" fillId="10" borderId="0" xfId="0" applyNumberFormat="1" applyFont="1" applyFill="1"/>
    <xf numFmtId="0" fontId="8" fillId="10" borderId="0" xfId="3" applyNumberFormat="1" applyFont="1" applyFill="1" applyBorder="1" applyAlignment="1" applyProtection="1">
      <alignment horizontal="left"/>
    </xf>
    <xf numFmtId="0" fontId="8" fillId="0" borderId="0" xfId="0" applyFont="1"/>
    <xf numFmtId="0" fontId="8" fillId="3" borderId="0" xfId="0" applyNumberFormat="1" applyFont="1" applyFill="1"/>
    <xf numFmtId="0" fontId="0" fillId="0" borderId="0" xfId="0" applyFill="1" applyAlignment="1">
      <alignment horizontal="left"/>
    </xf>
    <xf numFmtId="0" fontId="8" fillId="0" borderId="0" xfId="0" applyFont="1" applyFill="1"/>
    <xf numFmtId="0" fontId="8" fillId="4" borderId="0" xfId="0" applyFont="1" applyFill="1"/>
    <xf numFmtId="0" fontId="0" fillId="10" borderId="0" xfId="0" applyFont="1" applyFill="1" applyAlignment="1"/>
    <xf numFmtId="0" fontId="8" fillId="5" borderId="0" xfId="0" applyFont="1" applyFill="1"/>
    <xf numFmtId="0" fontId="0" fillId="10" borderId="0" xfId="0" applyFill="1" applyBorder="1" applyAlignment="1"/>
    <xf numFmtId="0" fontId="8" fillId="10" borderId="0" xfId="0" applyFont="1" applyFill="1" applyBorder="1"/>
    <xf numFmtId="0" fontId="6" fillId="10" borderId="0" xfId="0" applyFont="1" applyFill="1" applyAlignment="1">
      <alignment horizontal="left"/>
    </xf>
    <xf numFmtId="0" fontId="8" fillId="2" borderId="0" xfId="0" applyFont="1" applyFill="1"/>
    <xf numFmtId="43" fontId="8" fillId="10" borderId="0" xfId="1" applyFont="1" applyFill="1"/>
    <xf numFmtId="43" fontId="8" fillId="0" borderId="0" xfId="1" applyFont="1"/>
    <xf numFmtId="43" fontId="8" fillId="0" borderId="0" xfId="1" applyFont="1" applyFill="1"/>
    <xf numFmtId="43" fontId="8" fillId="4" borderId="0" xfId="1" applyFont="1" applyFill="1"/>
    <xf numFmtId="43" fontId="0" fillId="0" borderId="0" xfId="5" applyFont="1" applyFill="1"/>
    <xf numFmtId="0" fontId="6" fillId="0" borderId="0" xfId="0" applyFont="1" applyAlignment="1">
      <alignment horizontal="left"/>
    </xf>
    <xf numFmtId="14" fontId="0" fillId="0" borderId="0" xfId="0" applyNumberFormat="1" applyFill="1"/>
    <xf numFmtId="0" fontId="0" fillId="0" borderId="0" xfId="0" applyAlignment="1"/>
    <xf numFmtId="0" fontId="8" fillId="0" borderId="0" xfId="0" applyFont="1" applyFill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8" fillId="10" borderId="0" xfId="0" applyFont="1" applyFill="1" applyAlignment="1"/>
    <xf numFmtId="0" fontId="8" fillId="6" borderId="0" xfId="0" applyFont="1" applyFill="1" applyAlignment="1"/>
    <xf numFmtId="0" fontId="0" fillId="0" borderId="0" xfId="0" applyNumberFormat="1" applyFont="1" applyFill="1"/>
    <xf numFmtId="0" fontId="6" fillId="0" borderId="0" xfId="1" applyNumberFormat="1" applyFont="1" applyFill="1" applyBorder="1" applyAlignment="1" applyProtection="1"/>
    <xf numFmtId="0" fontId="8" fillId="3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ill="1" applyBorder="1" applyAlignment="1"/>
    <xf numFmtId="0" fontId="8" fillId="0" borderId="0" xfId="0" applyFont="1" applyFill="1" applyBorder="1" applyAlignment="1"/>
    <xf numFmtId="0" fontId="8" fillId="2" borderId="0" xfId="0" applyFont="1" applyFill="1" applyAlignment="1"/>
    <xf numFmtId="0" fontId="0" fillId="6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/>
    <xf numFmtId="0" fontId="7" fillId="0" borderId="0" xfId="0" applyFont="1"/>
    <xf numFmtId="0" fontId="7" fillId="0" borderId="0" xfId="0" applyFont="1" applyFill="1"/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</cellXfs>
  <cellStyles count="6">
    <cellStyle name="Millares" xfId="1" builtinId="3"/>
    <cellStyle name="Millares 2" xfId="3"/>
    <cellStyle name="Millares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Grupo%20LMJS/CELAYA/Conciliacion%20de%20cuentas%20contables%20Celaya/CELAYA%202014/INFORMATIVA20141/PAPEL%20DE%20TRABAJO%20DIO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mayo2.2"/>
      <sheetName val="ABRIL (2)"/>
      <sheetName val="MARZO (2)"/>
      <sheetName val="FEB (2)"/>
      <sheetName val="ENERO (2)"/>
      <sheetName val="ENERO"/>
      <sheetName val="FEB"/>
      <sheetName val="MAR"/>
      <sheetName val="ABR"/>
      <sheetName val="MAY"/>
      <sheetName val="JUN"/>
      <sheetName val="JULIO"/>
      <sheetName val="AGO"/>
      <sheetName val="SEP"/>
      <sheetName val="OCT"/>
      <sheetName val="NOV"/>
      <sheetName val="DIC"/>
      <sheetName val="Hoja8"/>
      <sheetName val="Hoja7"/>
      <sheetName val="Hoja5"/>
      <sheetName val="Hoja6"/>
      <sheetName val="Hoja4"/>
      <sheetName val="Hoja3"/>
      <sheetName val="Hoja2"/>
      <sheetName val="HO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3">
          <cell r="H183">
            <v>132978.75</v>
          </cell>
        </row>
      </sheetData>
      <sheetData sheetId="10" refreshError="1"/>
      <sheetData sheetId="11">
        <row r="172">
          <cell r="H172">
            <v>132978.75</v>
          </cell>
          <cell r="I172">
            <v>21276.6</v>
          </cell>
        </row>
        <row r="198">
          <cell r="H198">
            <v>132978.75</v>
          </cell>
          <cell r="I198">
            <v>21276.6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88"/>
  <sheetViews>
    <sheetView workbookViewId="0">
      <pane ySplit="5" topLeftCell="A354" activePane="bottomLeft" state="frozen"/>
      <selection pane="bottomLeft" activeCell="L237" sqref="L23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.28515625" bestFit="1" customWidth="1"/>
    <col min="4" max="4" width="2" bestFit="1" customWidth="1"/>
    <col min="5" max="5" width="40.28515625" bestFit="1" customWidth="1"/>
    <col min="6" max="6" width="17.28515625" customWidth="1"/>
    <col min="7" max="7" width="13.28515625" customWidth="1"/>
    <col min="8" max="8" width="15.7109375" style="3" customWidth="1"/>
    <col min="9" max="9" width="13.140625" style="3" bestFit="1" customWidth="1"/>
    <col min="10" max="10" width="16.28515625" customWidth="1"/>
    <col min="11" max="11" width="6.5703125" bestFit="1" customWidth="1"/>
  </cols>
  <sheetData>
    <row r="1" spans="1:9">
      <c r="A1" t="s">
        <v>707</v>
      </c>
    </row>
    <row r="2" spans="1:9">
      <c r="A2" t="s">
        <v>708</v>
      </c>
      <c r="B2">
        <v>2014</v>
      </c>
    </row>
    <row r="3" spans="1:9">
      <c r="A3" t="s">
        <v>709</v>
      </c>
    </row>
    <row r="5" spans="1:9">
      <c r="A5" s="4" t="s">
        <v>710</v>
      </c>
      <c r="B5" s="4" t="s">
        <v>711</v>
      </c>
      <c r="C5" s="4" t="s">
        <v>712</v>
      </c>
      <c r="D5" s="4" t="s">
        <v>713</v>
      </c>
      <c r="E5" s="4" t="s">
        <v>714</v>
      </c>
      <c r="F5" s="5" t="s">
        <v>715</v>
      </c>
      <c r="G5" s="6" t="s">
        <v>716</v>
      </c>
      <c r="H5" s="7" t="s">
        <v>717</v>
      </c>
      <c r="I5" s="4" t="s">
        <v>718</v>
      </c>
    </row>
    <row r="6" spans="1:9">
      <c r="A6" t="s">
        <v>48</v>
      </c>
      <c r="B6" s="1">
        <v>41655</v>
      </c>
      <c r="C6" t="s">
        <v>49</v>
      </c>
      <c r="D6">
        <v>1</v>
      </c>
      <c r="E6" t="s">
        <v>765</v>
      </c>
      <c r="F6" s="42" t="s">
        <v>787</v>
      </c>
      <c r="G6" s="42" t="s">
        <v>788</v>
      </c>
      <c r="H6" s="3">
        <f t="shared" ref="H6:H37" si="0">+I6/0.16</f>
        <v>202725.8125</v>
      </c>
      <c r="I6" s="3">
        <v>32436.13</v>
      </c>
    </row>
    <row r="7" spans="1:9">
      <c r="A7" t="s">
        <v>50</v>
      </c>
      <c r="B7" s="1">
        <v>41655</v>
      </c>
      <c r="C7" t="s">
        <v>51</v>
      </c>
      <c r="D7">
        <v>1</v>
      </c>
      <c r="E7" t="s">
        <v>766</v>
      </c>
      <c r="F7" s="39" t="s">
        <v>783</v>
      </c>
      <c r="G7" s="39" t="s">
        <v>784</v>
      </c>
      <c r="H7" s="3">
        <f t="shared" si="0"/>
        <v>168134.0625</v>
      </c>
      <c r="I7" s="3">
        <v>26901.45</v>
      </c>
    </row>
    <row r="8" spans="1:9">
      <c r="A8" t="s">
        <v>218</v>
      </c>
      <c r="B8" s="1">
        <v>41668</v>
      </c>
      <c r="C8" t="s">
        <v>219</v>
      </c>
      <c r="D8">
        <v>1</v>
      </c>
      <c r="E8" t="s">
        <v>767</v>
      </c>
      <c r="F8" s="39" t="s">
        <v>783</v>
      </c>
      <c r="G8" s="39" t="s">
        <v>767</v>
      </c>
      <c r="H8" s="3">
        <f t="shared" si="0"/>
        <v>295037.5625</v>
      </c>
      <c r="I8" s="3">
        <v>47206.01</v>
      </c>
    </row>
    <row r="9" spans="1:9">
      <c r="A9" t="s">
        <v>271</v>
      </c>
      <c r="B9" s="1">
        <v>41670</v>
      </c>
      <c r="C9">
        <v>9611</v>
      </c>
      <c r="D9">
        <v>1</v>
      </c>
      <c r="E9" t="s">
        <v>272</v>
      </c>
      <c r="F9" s="33" t="s">
        <v>719</v>
      </c>
      <c r="G9" s="10" t="s">
        <v>272</v>
      </c>
      <c r="H9" s="3">
        <f t="shared" si="0"/>
        <v>270.6875</v>
      </c>
      <c r="I9" s="3">
        <v>43.31</v>
      </c>
    </row>
    <row r="10" spans="1:9">
      <c r="A10" t="s">
        <v>414</v>
      </c>
      <c r="B10" s="1">
        <v>41670</v>
      </c>
      <c r="C10" t="s">
        <v>415</v>
      </c>
      <c r="D10">
        <v>1</v>
      </c>
      <c r="E10" t="s">
        <v>768</v>
      </c>
      <c r="H10" s="3">
        <f t="shared" si="0"/>
        <v>3521.5000000000005</v>
      </c>
      <c r="I10" s="3">
        <v>563.44000000000005</v>
      </c>
    </row>
    <row r="11" spans="1:9">
      <c r="A11" t="s">
        <v>471</v>
      </c>
      <c r="B11" s="1">
        <v>41649</v>
      </c>
      <c r="C11" t="s">
        <v>472</v>
      </c>
      <c r="D11">
        <v>1</v>
      </c>
      <c r="E11" t="s">
        <v>473</v>
      </c>
      <c r="F11" s="11" t="s">
        <v>720</v>
      </c>
      <c r="G11" s="11" t="s">
        <v>473</v>
      </c>
      <c r="H11" s="3">
        <f t="shared" si="0"/>
        <v>4500</v>
      </c>
      <c r="I11" s="3">
        <v>720</v>
      </c>
    </row>
    <row r="12" spans="1:9">
      <c r="A12" t="s">
        <v>600</v>
      </c>
      <c r="B12" s="1">
        <v>41663</v>
      </c>
      <c r="C12" t="s">
        <v>601</v>
      </c>
      <c r="D12">
        <v>1</v>
      </c>
      <c r="E12" t="s">
        <v>473</v>
      </c>
      <c r="F12" s="11" t="s">
        <v>720</v>
      </c>
      <c r="G12" s="11" t="s">
        <v>473</v>
      </c>
      <c r="H12" s="3">
        <f t="shared" si="0"/>
        <v>1800</v>
      </c>
      <c r="I12" s="3">
        <v>288</v>
      </c>
    </row>
    <row r="13" spans="1:9">
      <c r="A13" t="s">
        <v>668</v>
      </c>
      <c r="B13" s="1">
        <v>41670</v>
      </c>
      <c r="C13" t="s">
        <v>669</v>
      </c>
      <c r="D13">
        <v>1</v>
      </c>
      <c r="E13" t="s">
        <v>473</v>
      </c>
      <c r="F13" s="34" t="s">
        <v>720</v>
      </c>
      <c r="G13" s="11" t="s">
        <v>473</v>
      </c>
      <c r="H13" s="3">
        <f t="shared" si="0"/>
        <v>4550</v>
      </c>
      <c r="I13" s="3">
        <v>728</v>
      </c>
    </row>
    <row r="14" spans="1:9">
      <c r="A14" t="s">
        <v>121</v>
      </c>
      <c r="B14" s="1">
        <v>41663</v>
      </c>
      <c r="C14" t="s">
        <v>122</v>
      </c>
      <c r="D14">
        <v>1</v>
      </c>
      <c r="E14" t="s">
        <v>123</v>
      </c>
      <c r="F14" s="11" t="s">
        <v>721</v>
      </c>
      <c r="G14" s="11" t="s">
        <v>123</v>
      </c>
      <c r="H14" s="3">
        <f t="shared" si="0"/>
        <v>215.49999999999997</v>
      </c>
      <c r="I14" s="3">
        <v>34.479999999999997</v>
      </c>
    </row>
    <row r="15" spans="1:9">
      <c r="A15" t="s">
        <v>131</v>
      </c>
      <c r="B15" s="1">
        <v>41663</v>
      </c>
      <c r="C15" t="s">
        <v>132</v>
      </c>
      <c r="D15">
        <v>1</v>
      </c>
      <c r="E15" t="s">
        <v>123</v>
      </c>
      <c r="F15" s="11" t="s">
        <v>721</v>
      </c>
      <c r="G15" s="11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139</v>
      </c>
      <c r="B16" s="1">
        <v>41663</v>
      </c>
      <c r="C16" t="s">
        <v>140</v>
      </c>
      <c r="D16">
        <v>1</v>
      </c>
      <c r="E16" t="s">
        <v>123</v>
      </c>
      <c r="F16" s="11" t="s">
        <v>721</v>
      </c>
      <c r="G16" s="11" t="s">
        <v>123</v>
      </c>
      <c r="H16" s="3">
        <f t="shared" si="0"/>
        <v>215.49999999999997</v>
      </c>
      <c r="I16" s="3">
        <v>34.479999999999997</v>
      </c>
    </row>
    <row r="17" spans="1:9">
      <c r="A17" t="s">
        <v>141</v>
      </c>
      <c r="B17" s="1">
        <v>41663</v>
      </c>
      <c r="C17" t="s">
        <v>142</v>
      </c>
      <c r="D17">
        <v>1</v>
      </c>
      <c r="E17" t="s">
        <v>123</v>
      </c>
      <c r="F17" s="11" t="s">
        <v>721</v>
      </c>
      <c r="G17" s="11" t="s">
        <v>123</v>
      </c>
      <c r="H17" s="3">
        <f t="shared" si="0"/>
        <v>215.49999999999997</v>
      </c>
      <c r="I17" s="3">
        <v>34.479999999999997</v>
      </c>
    </row>
    <row r="18" spans="1:9">
      <c r="A18" t="s">
        <v>143</v>
      </c>
      <c r="B18" s="1">
        <v>41663</v>
      </c>
      <c r="C18" t="s">
        <v>144</v>
      </c>
      <c r="D18">
        <v>1</v>
      </c>
      <c r="E18" t="s">
        <v>123</v>
      </c>
      <c r="F18" s="11" t="s">
        <v>721</v>
      </c>
      <c r="G18" s="11" t="s">
        <v>123</v>
      </c>
      <c r="H18" s="3">
        <f t="shared" si="0"/>
        <v>431.0625</v>
      </c>
      <c r="I18" s="3">
        <v>68.97</v>
      </c>
    </row>
    <row r="19" spans="1:9">
      <c r="A19" t="s">
        <v>145</v>
      </c>
      <c r="B19" s="1">
        <v>41663</v>
      </c>
      <c r="C19" t="s">
        <v>146</v>
      </c>
      <c r="D19">
        <v>1</v>
      </c>
      <c r="E19" t="s">
        <v>123</v>
      </c>
      <c r="F19" s="11" t="s">
        <v>721</v>
      </c>
      <c r="G19" s="11" t="s">
        <v>123</v>
      </c>
      <c r="H19" s="3">
        <f t="shared" si="0"/>
        <v>215.49999999999997</v>
      </c>
      <c r="I19" s="3">
        <v>34.479999999999997</v>
      </c>
    </row>
    <row r="20" spans="1:9">
      <c r="A20" t="s">
        <v>147</v>
      </c>
      <c r="B20" s="1">
        <v>41663</v>
      </c>
      <c r="C20" t="s">
        <v>148</v>
      </c>
      <c r="D20">
        <v>1</v>
      </c>
      <c r="E20" t="s">
        <v>123</v>
      </c>
      <c r="F20" s="11" t="s">
        <v>721</v>
      </c>
      <c r="G20" s="11" t="s">
        <v>123</v>
      </c>
      <c r="H20" s="3">
        <f t="shared" si="0"/>
        <v>215.49999999999997</v>
      </c>
      <c r="I20" s="3">
        <v>34.479999999999997</v>
      </c>
    </row>
    <row r="21" spans="1:9">
      <c r="A21" t="s">
        <v>149</v>
      </c>
      <c r="B21" s="1">
        <v>41663</v>
      </c>
      <c r="C21" t="s">
        <v>150</v>
      </c>
      <c r="D21">
        <v>1</v>
      </c>
      <c r="E21" t="s">
        <v>123</v>
      </c>
      <c r="F21" s="11" t="s">
        <v>721</v>
      </c>
      <c r="G21" s="11" t="s">
        <v>123</v>
      </c>
      <c r="H21" s="3">
        <f t="shared" si="0"/>
        <v>215.49999999999997</v>
      </c>
      <c r="I21" s="3">
        <v>34.479999999999997</v>
      </c>
    </row>
    <row r="22" spans="1:9">
      <c r="A22" t="s">
        <v>154</v>
      </c>
      <c r="B22" s="1">
        <v>41663</v>
      </c>
      <c r="C22" t="s">
        <v>155</v>
      </c>
      <c r="D22">
        <v>1</v>
      </c>
      <c r="E22" t="s">
        <v>123</v>
      </c>
      <c r="F22" s="12" t="s">
        <v>721</v>
      </c>
      <c r="G22" s="12" t="s">
        <v>123</v>
      </c>
      <c r="H22" s="3">
        <f t="shared" si="0"/>
        <v>215.49999999999997</v>
      </c>
      <c r="I22" s="3">
        <v>34.479999999999997</v>
      </c>
    </row>
    <row r="23" spans="1:9">
      <c r="A23" t="s">
        <v>156</v>
      </c>
      <c r="B23" s="1">
        <v>41663</v>
      </c>
      <c r="C23" t="s">
        <v>157</v>
      </c>
      <c r="D23">
        <v>1</v>
      </c>
      <c r="E23" t="s">
        <v>123</v>
      </c>
      <c r="F23" s="33" t="s">
        <v>721</v>
      </c>
      <c r="G23" s="12" t="s">
        <v>123</v>
      </c>
      <c r="H23" s="3">
        <f t="shared" si="0"/>
        <v>215.49999999999997</v>
      </c>
      <c r="I23" s="3">
        <v>34.479999999999997</v>
      </c>
    </row>
    <row r="24" spans="1:9">
      <c r="A24" t="s">
        <v>294</v>
      </c>
      <c r="B24" s="1">
        <v>41670</v>
      </c>
      <c r="C24" t="s">
        <v>295</v>
      </c>
      <c r="D24">
        <v>1</v>
      </c>
      <c r="E24" t="s">
        <v>123</v>
      </c>
      <c r="F24" s="33" t="s">
        <v>721</v>
      </c>
      <c r="G24" s="14" t="s">
        <v>123</v>
      </c>
      <c r="H24" s="3">
        <f t="shared" si="0"/>
        <v>215.49999999999997</v>
      </c>
      <c r="I24" s="3">
        <v>34.479999999999997</v>
      </c>
    </row>
    <row r="25" spans="1:9">
      <c r="A25" t="s">
        <v>298</v>
      </c>
      <c r="B25" s="1">
        <v>41670</v>
      </c>
      <c r="C25" t="s">
        <v>299</v>
      </c>
      <c r="D25">
        <v>1</v>
      </c>
      <c r="E25" t="s">
        <v>123</v>
      </c>
      <c r="F25" s="17" t="s">
        <v>721</v>
      </c>
      <c r="G25" s="17" t="s">
        <v>123</v>
      </c>
      <c r="H25" s="3">
        <f t="shared" si="0"/>
        <v>215.49999999999997</v>
      </c>
      <c r="I25" s="3">
        <v>34.479999999999997</v>
      </c>
    </row>
    <row r="26" spans="1:9">
      <c r="A26" t="s">
        <v>281</v>
      </c>
      <c r="B26" s="1">
        <v>41670</v>
      </c>
      <c r="C26">
        <v>9623</v>
      </c>
      <c r="D26">
        <v>1</v>
      </c>
      <c r="E26" t="s">
        <v>282</v>
      </c>
      <c r="F26" s="17" t="s">
        <v>722</v>
      </c>
      <c r="G26" s="17" t="s">
        <v>282</v>
      </c>
      <c r="H26" s="3">
        <f t="shared" si="0"/>
        <v>53</v>
      </c>
      <c r="I26" s="3">
        <v>8.48</v>
      </c>
    </row>
    <row r="27" spans="1:9">
      <c r="A27" t="s">
        <v>378</v>
      </c>
      <c r="B27" s="1">
        <v>41670</v>
      </c>
      <c r="C27">
        <v>9651</v>
      </c>
      <c r="D27">
        <v>1</v>
      </c>
      <c r="E27" t="s">
        <v>282</v>
      </c>
      <c r="F27" s="18" t="s">
        <v>722</v>
      </c>
      <c r="G27" s="19" t="s">
        <v>282</v>
      </c>
      <c r="H27" s="3">
        <f t="shared" si="0"/>
        <v>176.75</v>
      </c>
      <c r="I27" s="3">
        <v>28.28</v>
      </c>
    </row>
    <row r="28" spans="1:9">
      <c r="A28" t="s">
        <v>445</v>
      </c>
      <c r="B28" s="1">
        <v>41647</v>
      </c>
      <c r="C28" t="s">
        <v>446</v>
      </c>
      <c r="D28">
        <v>1</v>
      </c>
      <c r="E28" t="s">
        <v>447</v>
      </c>
      <c r="F28" s="32" t="s">
        <v>723</v>
      </c>
      <c r="G28" s="33" t="s">
        <v>447</v>
      </c>
      <c r="H28" s="3">
        <f t="shared" si="0"/>
        <v>2327.5625</v>
      </c>
      <c r="I28" s="3">
        <v>372.41</v>
      </c>
    </row>
    <row r="29" spans="1:9">
      <c r="A29" t="s">
        <v>119</v>
      </c>
      <c r="B29" s="1">
        <v>41663</v>
      </c>
      <c r="C29" t="s">
        <v>120</v>
      </c>
      <c r="D29">
        <v>1</v>
      </c>
      <c r="E29" t="s">
        <v>769</v>
      </c>
      <c r="F29" s="41" t="s">
        <v>785</v>
      </c>
      <c r="G29" s="40" t="s">
        <v>786</v>
      </c>
      <c r="H29" s="3">
        <f t="shared" si="0"/>
        <v>436676.375</v>
      </c>
      <c r="I29" s="3">
        <v>69868.22</v>
      </c>
    </row>
    <row r="30" spans="1:9">
      <c r="A30" t="s">
        <v>230</v>
      </c>
      <c r="B30" s="1">
        <v>41670</v>
      </c>
      <c r="C30" t="s">
        <v>231</v>
      </c>
      <c r="D30">
        <v>1</v>
      </c>
      <c r="E30" t="s">
        <v>770</v>
      </c>
      <c r="F30" s="41" t="s">
        <v>785</v>
      </c>
      <c r="G30" s="40" t="s">
        <v>786</v>
      </c>
      <c r="H30" s="3">
        <f t="shared" si="0"/>
        <v>301376.1875</v>
      </c>
      <c r="I30" s="3">
        <v>48220.19</v>
      </c>
    </row>
    <row r="31" spans="1:9">
      <c r="A31" t="s">
        <v>236</v>
      </c>
      <c r="B31" s="1">
        <v>41670</v>
      </c>
      <c r="C31" t="s">
        <v>237</v>
      </c>
      <c r="D31">
        <v>1</v>
      </c>
      <c r="E31" t="s">
        <v>771</v>
      </c>
      <c r="F31" s="41" t="s">
        <v>785</v>
      </c>
      <c r="G31" s="40" t="s">
        <v>786</v>
      </c>
      <c r="H31" s="3">
        <f t="shared" si="0"/>
        <v>224994</v>
      </c>
      <c r="I31" s="3">
        <v>35999.040000000001</v>
      </c>
    </row>
    <row r="32" spans="1:9">
      <c r="A32" t="s">
        <v>263</v>
      </c>
      <c r="B32" s="1">
        <v>41670</v>
      </c>
      <c r="C32">
        <v>9601</v>
      </c>
      <c r="D32">
        <v>1</v>
      </c>
      <c r="E32" t="s">
        <v>264</v>
      </c>
      <c r="F32" s="33" t="s">
        <v>724</v>
      </c>
      <c r="G32" s="33" t="s">
        <v>264</v>
      </c>
      <c r="H32" s="3">
        <f t="shared" si="0"/>
        <v>206.74999999999997</v>
      </c>
      <c r="I32" s="3">
        <v>33.08</v>
      </c>
    </row>
    <row r="33" spans="1:10">
      <c r="A33" t="s">
        <v>341</v>
      </c>
      <c r="B33" s="1">
        <v>41670</v>
      </c>
      <c r="C33">
        <v>9588</v>
      </c>
      <c r="D33">
        <v>1</v>
      </c>
      <c r="E33" t="s">
        <v>264</v>
      </c>
      <c r="F33" s="33" t="s">
        <v>724</v>
      </c>
      <c r="G33" s="33" t="s">
        <v>264</v>
      </c>
      <c r="H33" s="3">
        <f t="shared" si="0"/>
        <v>473.8125</v>
      </c>
      <c r="I33" s="3">
        <v>75.81</v>
      </c>
    </row>
    <row r="34" spans="1:10">
      <c r="A34" t="s">
        <v>583</v>
      </c>
      <c r="B34" s="1">
        <v>41660</v>
      </c>
      <c r="C34" t="s">
        <v>584</v>
      </c>
      <c r="D34">
        <v>1</v>
      </c>
      <c r="E34" t="s">
        <v>585</v>
      </c>
      <c r="F34" s="32" t="s">
        <v>725</v>
      </c>
      <c r="G34" s="33" t="s">
        <v>585</v>
      </c>
      <c r="H34" s="3">
        <f t="shared" si="0"/>
        <v>6362.125</v>
      </c>
      <c r="I34" s="3">
        <v>1017.94</v>
      </c>
    </row>
    <row r="35" spans="1:10">
      <c r="A35" t="s">
        <v>418</v>
      </c>
      <c r="B35" s="1">
        <v>41641</v>
      </c>
      <c r="C35" t="s">
        <v>419</v>
      </c>
      <c r="D35">
        <v>1</v>
      </c>
      <c r="E35" t="s">
        <v>420</v>
      </c>
      <c r="H35" s="3">
        <f t="shared" si="0"/>
        <v>-224137.9375</v>
      </c>
      <c r="I35" s="3">
        <v>-35862.07</v>
      </c>
      <c r="J35" s="2"/>
    </row>
    <row r="36" spans="1:10">
      <c r="A36" t="s">
        <v>416</v>
      </c>
      <c r="B36" s="1">
        <v>41670</v>
      </c>
      <c r="C36" t="s">
        <v>415</v>
      </c>
      <c r="D36">
        <v>1</v>
      </c>
      <c r="E36" t="s">
        <v>417</v>
      </c>
      <c r="H36" s="3">
        <f t="shared" si="0"/>
        <v>3521.5625</v>
      </c>
      <c r="I36" s="3">
        <v>563.45000000000005</v>
      </c>
    </row>
    <row r="37" spans="1:10">
      <c r="A37" t="s">
        <v>457</v>
      </c>
      <c r="B37" s="1">
        <v>41647</v>
      </c>
      <c r="C37" t="s">
        <v>458</v>
      </c>
      <c r="D37">
        <v>1</v>
      </c>
      <c r="E37" t="s">
        <v>459</v>
      </c>
      <c r="F37" s="33" t="s">
        <v>762</v>
      </c>
      <c r="G37" s="20" t="s">
        <v>459</v>
      </c>
      <c r="H37" s="3">
        <f t="shared" si="0"/>
        <v>17000</v>
      </c>
      <c r="I37" s="3">
        <v>2720</v>
      </c>
    </row>
    <row r="38" spans="1:10">
      <c r="A38" t="s">
        <v>625</v>
      </c>
      <c r="B38" s="1">
        <v>41668</v>
      </c>
      <c r="C38" t="s">
        <v>626</v>
      </c>
      <c r="D38">
        <v>1</v>
      </c>
      <c r="E38" t="s">
        <v>459</v>
      </c>
      <c r="F38" s="33" t="s">
        <v>762</v>
      </c>
      <c r="G38" s="20" t="s">
        <v>459</v>
      </c>
      <c r="H38" s="3">
        <f t="shared" ref="H38:H66" si="1">+I38/0.16</f>
        <v>14500</v>
      </c>
      <c r="I38" s="3">
        <v>2320</v>
      </c>
    </row>
    <row r="39" spans="1:10">
      <c r="A39" t="s">
        <v>359</v>
      </c>
      <c r="B39" s="1">
        <v>41670</v>
      </c>
      <c r="C39">
        <v>9636</v>
      </c>
      <c r="D39">
        <v>1</v>
      </c>
      <c r="E39" t="s">
        <v>360</v>
      </c>
      <c r="F39" s="44" t="s">
        <v>763</v>
      </c>
      <c r="G39" s="43" t="s">
        <v>360</v>
      </c>
      <c r="H39" s="3">
        <f t="shared" si="1"/>
        <v>280.3125</v>
      </c>
      <c r="I39" s="3">
        <v>44.85</v>
      </c>
    </row>
    <row r="40" spans="1:10">
      <c r="A40" t="s">
        <v>253</v>
      </c>
      <c r="B40" s="1">
        <v>41670</v>
      </c>
      <c r="C40">
        <v>9592</v>
      </c>
      <c r="D40">
        <v>1</v>
      </c>
      <c r="E40" t="s">
        <v>254</v>
      </c>
      <c r="F40" s="29" t="s">
        <v>763</v>
      </c>
      <c r="G40" s="29" t="s">
        <v>254</v>
      </c>
      <c r="H40" s="3">
        <f t="shared" si="1"/>
        <v>1054.75</v>
      </c>
      <c r="I40" s="3">
        <v>168.76</v>
      </c>
    </row>
    <row r="41" spans="1:10">
      <c r="A41" t="s">
        <v>89</v>
      </c>
      <c r="B41" s="1">
        <v>41660</v>
      </c>
      <c r="C41" t="s">
        <v>90</v>
      </c>
      <c r="D41">
        <v>1</v>
      </c>
      <c r="E41" t="s">
        <v>772</v>
      </c>
      <c r="F41" s="32" t="s">
        <v>726</v>
      </c>
      <c r="G41" s="21" t="s">
        <v>727</v>
      </c>
      <c r="H41" s="3">
        <f t="shared" si="1"/>
        <v>170461.625</v>
      </c>
      <c r="I41" s="3">
        <v>27273.86</v>
      </c>
    </row>
    <row r="42" spans="1:10">
      <c r="A42" t="s">
        <v>226</v>
      </c>
      <c r="B42" s="1">
        <v>41669</v>
      </c>
      <c r="C42" t="s">
        <v>227</v>
      </c>
      <c r="D42">
        <v>1</v>
      </c>
      <c r="E42" t="s">
        <v>773</v>
      </c>
      <c r="F42" s="35" t="s">
        <v>726</v>
      </c>
      <c r="G42" s="22" t="s">
        <v>728</v>
      </c>
      <c r="H42" s="3">
        <f t="shared" si="1"/>
        <v>323465.75</v>
      </c>
      <c r="I42" s="3">
        <v>51754.52</v>
      </c>
    </row>
    <row r="43" spans="1:10">
      <c r="A43" t="s">
        <v>240</v>
      </c>
      <c r="B43" s="1">
        <v>41670</v>
      </c>
      <c r="C43" t="s">
        <v>241</v>
      </c>
      <c r="D43">
        <v>1</v>
      </c>
      <c r="E43" t="s">
        <v>773</v>
      </c>
      <c r="F43" s="35" t="s">
        <v>726</v>
      </c>
      <c r="G43" s="23" t="s">
        <v>728</v>
      </c>
      <c r="H43" s="3">
        <f t="shared" si="1"/>
        <v>424032.68749999994</v>
      </c>
      <c r="I43" s="3">
        <v>67845.23</v>
      </c>
    </row>
    <row r="44" spans="1:10">
      <c r="A44" t="s">
        <v>205</v>
      </c>
      <c r="B44" s="1">
        <v>41667</v>
      </c>
      <c r="C44" t="s">
        <v>206</v>
      </c>
      <c r="D44">
        <v>1</v>
      </c>
      <c r="E44" t="s">
        <v>728</v>
      </c>
      <c r="F44" s="35" t="s">
        <v>726</v>
      </c>
      <c r="G44" s="23" t="s">
        <v>728</v>
      </c>
      <c r="H44" s="3">
        <f t="shared" si="1"/>
        <v>233454.37499999997</v>
      </c>
      <c r="I44" s="3">
        <v>37352.699999999997</v>
      </c>
    </row>
    <row r="45" spans="1:10">
      <c r="A45" t="s">
        <v>199</v>
      </c>
      <c r="B45" s="1">
        <v>41666</v>
      </c>
      <c r="C45" t="s">
        <v>200</v>
      </c>
      <c r="D45">
        <v>1</v>
      </c>
      <c r="E45" t="s">
        <v>729</v>
      </c>
      <c r="F45" s="34" t="s">
        <v>731</v>
      </c>
      <c r="G45" s="23" t="s">
        <v>732</v>
      </c>
      <c r="H45" s="3">
        <f t="shared" si="1"/>
        <v>170461.625</v>
      </c>
      <c r="I45" s="3">
        <v>27273.86</v>
      </c>
    </row>
    <row r="46" spans="1:10">
      <c r="A46" t="s">
        <v>228</v>
      </c>
      <c r="B46" s="1">
        <v>41669</v>
      </c>
      <c r="C46" t="s">
        <v>229</v>
      </c>
      <c r="D46">
        <v>1</v>
      </c>
      <c r="E46" t="s">
        <v>730</v>
      </c>
      <c r="F46" s="35" t="s">
        <v>731</v>
      </c>
      <c r="G46" s="24" t="s">
        <v>730</v>
      </c>
      <c r="H46" s="3">
        <f t="shared" si="1"/>
        <v>258582.8125</v>
      </c>
      <c r="I46" s="3">
        <v>41373.25</v>
      </c>
    </row>
    <row r="47" spans="1:10">
      <c r="A47" t="s">
        <v>28</v>
      </c>
      <c r="B47" s="1">
        <v>41654</v>
      </c>
      <c r="C47" t="s">
        <v>29</v>
      </c>
      <c r="D47">
        <v>1</v>
      </c>
      <c r="E47" t="s">
        <v>774</v>
      </c>
      <c r="F47" s="34" t="s">
        <v>733</v>
      </c>
      <c r="G47" s="24" t="s">
        <v>734</v>
      </c>
      <c r="H47" s="3">
        <f t="shared" si="1"/>
        <v>162082.3125</v>
      </c>
      <c r="I47" s="3">
        <v>25933.17</v>
      </c>
    </row>
    <row r="48" spans="1:10">
      <c r="A48" t="s">
        <v>245</v>
      </c>
      <c r="B48" s="1">
        <v>41670</v>
      </c>
      <c r="C48" t="s">
        <v>31</v>
      </c>
      <c r="D48">
        <v>1</v>
      </c>
      <c r="E48" t="s">
        <v>735</v>
      </c>
      <c r="F48" s="24" t="s">
        <v>731</v>
      </c>
      <c r="G48" s="24" t="s">
        <v>735</v>
      </c>
      <c r="H48" s="3">
        <f t="shared" si="1"/>
        <v>170462.625</v>
      </c>
      <c r="I48" s="3">
        <v>27274.02</v>
      </c>
    </row>
    <row r="49" spans="1:10">
      <c r="A49" t="s">
        <v>30</v>
      </c>
      <c r="B49" s="1">
        <v>41654</v>
      </c>
      <c r="C49" t="s">
        <v>31</v>
      </c>
      <c r="D49">
        <v>1</v>
      </c>
      <c r="E49" t="s">
        <v>736</v>
      </c>
      <c r="F49" s="34" t="s">
        <v>731</v>
      </c>
      <c r="G49" s="24" t="s">
        <v>732</v>
      </c>
      <c r="H49" s="3">
        <f t="shared" si="1"/>
        <v>170461.625</v>
      </c>
      <c r="I49" s="3">
        <v>27273.86</v>
      </c>
    </row>
    <row r="50" spans="1:10">
      <c r="A50" t="s">
        <v>244</v>
      </c>
      <c r="B50" s="1">
        <v>41670</v>
      </c>
      <c r="C50" t="s">
        <v>31</v>
      </c>
      <c r="D50">
        <v>1</v>
      </c>
      <c r="E50" t="s">
        <v>736</v>
      </c>
      <c r="F50" s="33" t="s">
        <v>731</v>
      </c>
      <c r="G50" s="24" t="s">
        <v>736</v>
      </c>
      <c r="H50" s="3">
        <f t="shared" si="1"/>
        <v>-170461.625</v>
      </c>
      <c r="I50" s="3">
        <v>-27273.86</v>
      </c>
      <c r="J50" s="2"/>
    </row>
    <row r="51" spans="1:10">
      <c r="A51" t="s">
        <v>433</v>
      </c>
      <c r="B51" s="1">
        <v>41645</v>
      </c>
      <c r="C51" t="s">
        <v>434</v>
      </c>
      <c r="D51">
        <v>1</v>
      </c>
      <c r="E51" t="s">
        <v>435</v>
      </c>
      <c r="F51" s="45" t="s">
        <v>789</v>
      </c>
      <c r="G51" s="45" t="s">
        <v>435</v>
      </c>
      <c r="H51" s="3">
        <f t="shared" si="1"/>
        <v>51724.125</v>
      </c>
      <c r="I51" s="3">
        <v>8275.86</v>
      </c>
    </row>
    <row r="52" spans="1:10">
      <c r="A52" t="s">
        <v>481</v>
      </c>
      <c r="B52" s="1">
        <v>41649</v>
      </c>
      <c r="C52" t="s">
        <v>482</v>
      </c>
      <c r="D52">
        <v>1</v>
      </c>
      <c r="E52" t="s">
        <v>435</v>
      </c>
      <c r="F52" s="45" t="s">
        <v>789</v>
      </c>
      <c r="G52" s="45" t="s">
        <v>435</v>
      </c>
      <c r="H52" s="3">
        <f t="shared" si="1"/>
        <v>51724.125</v>
      </c>
      <c r="I52" s="3">
        <v>8275.86</v>
      </c>
    </row>
    <row r="53" spans="1:10">
      <c r="A53" t="s">
        <v>551</v>
      </c>
      <c r="B53" s="1">
        <v>41656</v>
      </c>
      <c r="C53" t="s">
        <v>552</v>
      </c>
      <c r="D53">
        <v>1</v>
      </c>
      <c r="E53" t="s">
        <v>435</v>
      </c>
      <c r="F53" s="45" t="s">
        <v>789</v>
      </c>
      <c r="G53" s="45" t="s">
        <v>435</v>
      </c>
      <c r="H53" s="3">
        <f t="shared" si="1"/>
        <v>51724.125</v>
      </c>
      <c r="I53" s="3">
        <v>8275.86</v>
      </c>
    </row>
    <row r="54" spans="1:10">
      <c r="A54" t="s">
        <v>370</v>
      </c>
      <c r="B54" s="1">
        <v>41670</v>
      </c>
      <c r="C54">
        <v>9646</v>
      </c>
      <c r="D54">
        <v>1</v>
      </c>
      <c r="E54" t="s">
        <v>371</v>
      </c>
      <c r="F54" s="46" t="s">
        <v>790</v>
      </c>
      <c r="G54" s="47" t="s">
        <v>371</v>
      </c>
      <c r="H54" s="3">
        <f t="shared" si="1"/>
        <v>49.5625</v>
      </c>
      <c r="I54" s="3">
        <v>7.93</v>
      </c>
    </row>
    <row r="55" spans="1:10">
      <c r="A55" t="s">
        <v>617</v>
      </c>
      <c r="B55" s="1">
        <v>41668</v>
      </c>
      <c r="C55" t="s">
        <v>618</v>
      </c>
      <c r="D55">
        <v>2</v>
      </c>
      <c r="E55" t="s">
        <v>619</v>
      </c>
      <c r="F55" s="48" t="s">
        <v>791</v>
      </c>
      <c r="G55" s="48" t="s">
        <v>619</v>
      </c>
      <c r="H55" s="3">
        <f t="shared" si="1"/>
        <v>1756.875</v>
      </c>
      <c r="I55" s="3">
        <v>281.10000000000002</v>
      </c>
    </row>
    <row r="56" spans="1:10">
      <c r="A56" t="s">
        <v>692</v>
      </c>
      <c r="B56" s="1">
        <v>41670</v>
      </c>
      <c r="C56" t="s">
        <v>693</v>
      </c>
      <c r="D56">
        <v>1</v>
      </c>
      <c r="E56" t="s">
        <v>694</v>
      </c>
      <c r="F56" s="49" t="s">
        <v>792</v>
      </c>
      <c r="G56" s="50" t="s">
        <v>793</v>
      </c>
      <c r="H56" s="3">
        <f t="shared" si="1"/>
        <v>1648.3125</v>
      </c>
      <c r="I56" s="3">
        <v>263.73</v>
      </c>
    </row>
    <row r="57" spans="1:10">
      <c r="A57" t="s">
        <v>374</v>
      </c>
      <c r="B57" s="1">
        <v>41670</v>
      </c>
      <c r="C57">
        <v>9649</v>
      </c>
      <c r="D57">
        <v>1</v>
      </c>
      <c r="E57" t="s">
        <v>375</v>
      </c>
      <c r="F57" s="51" t="s">
        <v>794</v>
      </c>
      <c r="G57" s="52" t="s">
        <v>375</v>
      </c>
      <c r="H57" s="3">
        <f t="shared" si="1"/>
        <v>100.875</v>
      </c>
      <c r="I57" s="3">
        <v>16.14</v>
      </c>
    </row>
    <row r="58" spans="1:10">
      <c r="A58" t="s">
        <v>561</v>
      </c>
      <c r="B58" s="1">
        <v>41657</v>
      </c>
      <c r="C58" t="s">
        <v>562</v>
      </c>
      <c r="D58">
        <v>1</v>
      </c>
      <c r="E58" t="s">
        <v>563</v>
      </c>
      <c r="F58" s="53" t="s">
        <v>795</v>
      </c>
      <c r="G58" s="54" t="s">
        <v>563</v>
      </c>
      <c r="H58" s="3">
        <f t="shared" si="1"/>
        <v>23380.1875</v>
      </c>
      <c r="I58" s="3">
        <v>3740.83</v>
      </c>
    </row>
    <row r="59" spans="1:10">
      <c r="A59" t="s">
        <v>633</v>
      </c>
      <c r="B59" s="1">
        <v>41668</v>
      </c>
      <c r="C59" t="s">
        <v>634</v>
      </c>
      <c r="D59">
        <v>1</v>
      </c>
      <c r="E59" t="s">
        <v>635</v>
      </c>
      <c r="F59" s="55" t="s">
        <v>796</v>
      </c>
      <c r="G59" s="56" t="s">
        <v>797</v>
      </c>
      <c r="H59" s="3">
        <f t="shared" si="1"/>
        <v>3727.8125</v>
      </c>
      <c r="I59" s="3">
        <v>596.45000000000005</v>
      </c>
    </row>
    <row r="60" spans="1:10">
      <c r="A60" t="s">
        <v>580</v>
      </c>
      <c r="B60" s="1">
        <v>41659</v>
      </c>
      <c r="C60" t="s">
        <v>581</v>
      </c>
      <c r="D60">
        <v>1</v>
      </c>
      <c r="E60" t="s">
        <v>582</v>
      </c>
      <c r="F60" s="57" t="s">
        <v>796</v>
      </c>
      <c r="G60" s="58" t="s">
        <v>797</v>
      </c>
      <c r="H60" s="3">
        <f t="shared" si="1"/>
        <v>11256.375</v>
      </c>
      <c r="I60" s="3">
        <v>1801.02</v>
      </c>
    </row>
    <row r="61" spans="1:10">
      <c r="A61" t="s">
        <v>690</v>
      </c>
      <c r="B61" s="1">
        <v>41670</v>
      </c>
      <c r="C61" t="s">
        <v>634</v>
      </c>
      <c r="D61">
        <v>1</v>
      </c>
      <c r="E61" t="s">
        <v>691</v>
      </c>
      <c r="F61" s="59" t="s">
        <v>796</v>
      </c>
      <c r="G61" s="60" t="s">
        <v>797</v>
      </c>
      <c r="H61" s="3">
        <f t="shared" si="1"/>
        <v>914.75000000000011</v>
      </c>
      <c r="I61" s="3">
        <v>146.36000000000001</v>
      </c>
    </row>
    <row r="62" spans="1:10">
      <c r="A62" t="s">
        <v>688</v>
      </c>
      <c r="B62" s="1">
        <v>41670</v>
      </c>
      <c r="C62" t="s">
        <v>634</v>
      </c>
      <c r="D62">
        <v>1</v>
      </c>
      <c r="E62" t="s">
        <v>689</v>
      </c>
      <c r="F62" s="61" t="s">
        <v>798</v>
      </c>
      <c r="G62" s="62" t="s">
        <v>799</v>
      </c>
      <c r="H62" s="3">
        <f t="shared" si="1"/>
        <v>7772</v>
      </c>
      <c r="I62" s="3">
        <v>1243.52</v>
      </c>
    </row>
    <row r="63" spans="1:10">
      <c r="A63" t="s">
        <v>680</v>
      </c>
      <c r="B63" s="1">
        <v>41670</v>
      </c>
      <c r="C63" t="s">
        <v>634</v>
      </c>
      <c r="D63">
        <v>1</v>
      </c>
      <c r="E63" t="s">
        <v>681</v>
      </c>
      <c r="F63" s="63" t="s">
        <v>800</v>
      </c>
      <c r="G63" s="64" t="s">
        <v>801</v>
      </c>
      <c r="H63" s="3">
        <f t="shared" si="1"/>
        <v>340</v>
      </c>
      <c r="I63" s="3">
        <v>54.4</v>
      </c>
    </row>
    <row r="64" spans="1:10">
      <c r="A64" t="s">
        <v>682</v>
      </c>
      <c r="B64" s="1">
        <v>41670</v>
      </c>
      <c r="C64" t="s">
        <v>634</v>
      </c>
      <c r="D64">
        <v>1</v>
      </c>
      <c r="E64" t="s">
        <v>683</v>
      </c>
      <c r="F64" s="65" t="s">
        <v>802</v>
      </c>
      <c r="G64" s="65" t="s">
        <v>803</v>
      </c>
      <c r="H64" s="3">
        <f t="shared" si="1"/>
        <v>265</v>
      </c>
      <c r="I64" s="3">
        <v>42.4</v>
      </c>
    </row>
    <row r="65" spans="1:11">
      <c r="A65" t="s">
        <v>684</v>
      </c>
      <c r="B65" s="1">
        <v>41670</v>
      </c>
      <c r="C65" t="s">
        <v>634</v>
      </c>
      <c r="D65">
        <v>1</v>
      </c>
      <c r="E65" t="s">
        <v>685</v>
      </c>
      <c r="F65" s="66" t="s">
        <v>804</v>
      </c>
      <c r="G65" s="67" t="s">
        <v>805</v>
      </c>
      <c r="H65" s="3">
        <f t="shared" si="1"/>
        <v>589</v>
      </c>
      <c r="I65" s="3">
        <v>94.24</v>
      </c>
    </row>
    <row r="66" spans="1:11">
      <c r="A66" t="s">
        <v>686</v>
      </c>
      <c r="B66" s="1">
        <v>41670</v>
      </c>
      <c r="C66" t="s">
        <v>634</v>
      </c>
      <c r="D66">
        <v>1</v>
      </c>
      <c r="E66" t="s">
        <v>687</v>
      </c>
      <c r="F66" s="68" t="s">
        <v>806</v>
      </c>
      <c r="G66" s="69" t="s">
        <v>807</v>
      </c>
      <c r="H66" s="3">
        <f t="shared" si="1"/>
        <v>285</v>
      </c>
      <c r="I66" s="3">
        <v>45.6</v>
      </c>
    </row>
    <row r="67" spans="1:11">
      <c r="A67" t="s">
        <v>25</v>
      </c>
      <c r="B67" s="1">
        <v>41653</v>
      </c>
      <c r="C67" t="s">
        <v>26</v>
      </c>
      <c r="D67">
        <v>1</v>
      </c>
      <c r="E67" t="s">
        <v>27</v>
      </c>
      <c r="F67" s="70" t="s">
        <v>808</v>
      </c>
      <c r="G67" s="70" t="s">
        <v>809</v>
      </c>
      <c r="H67" s="71">
        <v>114.25</v>
      </c>
      <c r="I67" s="71">
        <v>18.28</v>
      </c>
      <c r="J67" s="3"/>
      <c r="K67" s="3"/>
    </row>
    <row r="68" spans="1:11">
      <c r="A68" t="s">
        <v>25</v>
      </c>
      <c r="B68" s="1">
        <v>41653</v>
      </c>
      <c r="C68" t="s">
        <v>26</v>
      </c>
      <c r="D68">
        <v>1</v>
      </c>
      <c r="E68" t="s">
        <v>27</v>
      </c>
      <c r="F68" s="70" t="s">
        <v>810</v>
      </c>
      <c r="G68" s="70" t="s">
        <v>811</v>
      </c>
      <c r="H68" s="71">
        <v>1663.8750000000002</v>
      </c>
      <c r="I68" s="71">
        <v>266.22000000000003</v>
      </c>
    </row>
    <row r="69" spans="1:11">
      <c r="A69" t="s">
        <v>25</v>
      </c>
      <c r="B69" s="1">
        <v>41653</v>
      </c>
      <c r="C69" t="s">
        <v>26</v>
      </c>
      <c r="D69">
        <v>1</v>
      </c>
      <c r="E69" t="s">
        <v>27</v>
      </c>
      <c r="F69" s="70" t="s">
        <v>812</v>
      </c>
      <c r="G69" s="70" t="s">
        <v>813</v>
      </c>
      <c r="H69" s="71">
        <v>102.5625</v>
      </c>
      <c r="I69" s="71">
        <v>16.41</v>
      </c>
      <c r="J69" s="13"/>
      <c r="K69" s="13"/>
    </row>
    <row r="70" spans="1:11">
      <c r="A70" t="s">
        <v>25</v>
      </c>
      <c r="B70" s="1">
        <v>41653</v>
      </c>
      <c r="C70" t="s">
        <v>26</v>
      </c>
      <c r="D70">
        <v>1</v>
      </c>
      <c r="E70" t="s">
        <v>27</v>
      </c>
      <c r="F70" s="73" t="s">
        <v>763</v>
      </c>
      <c r="G70" s="73" t="s">
        <v>814</v>
      </c>
      <c r="H70" s="74">
        <v>253.43749999999997</v>
      </c>
      <c r="I70" s="75">
        <v>40.549999999999997</v>
      </c>
      <c r="J70" s="13">
        <f>2134.13-H67-H68-H69-H70</f>
        <v>4.9999999999101874E-3</v>
      </c>
      <c r="K70" s="13">
        <f>341.46-I67-I68-I69-I70</f>
        <v>-7.1054273576010019E-14</v>
      </c>
    </row>
    <row r="71" spans="1:11">
      <c r="A71" t="s">
        <v>46</v>
      </c>
      <c r="B71" s="1">
        <v>41655</v>
      </c>
      <c r="C71" t="s">
        <v>26</v>
      </c>
      <c r="D71">
        <v>1</v>
      </c>
      <c r="E71" t="s">
        <v>47</v>
      </c>
      <c r="F71" s="77" t="s">
        <v>763</v>
      </c>
      <c r="G71" s="76" t="s">
        <v>814</v>
      </c>
      <c r="H71" s="78">
        <v>200</v>
      </c>
      <c r="I71" s="78">
        <v>32</v>
      </c>
      <c r="J71" s="3"/>
      <c r="K71" s="3"/>
    </row>
    <row r="72" spans="1:11">
      <c r="A72" t="s">
        <v>46</v>
      </c>
      <c r="B72" s="1">
        <v>41655</v>
      </c>
      <c r="C72" t="s">
        <v>26</v>
      </c>
      <c r="D72">
        <v>1</v>
      </c>
      <c r="E72" t="s">
        <v>47</v>
      </c>
      <c r="F72" s="79" t="s">
        <v>808</v>
      </c>
      <c r="G72" s="80" t="s">
        <v>809</v>
      </c>
      <c r="H72" s="82">
        <v>114.25</v>
      </c>
      <c r="I72" s="82">
        <v>18.28</v>
      </c>
    </row>
    <row r="73" spans="1:11">
      <c r="A73" t="s">
        <v>46</v>
      </c>
      <c r="B73" s="1">
        <v>41655</v>
      </c>
      <c r="C73" t="s">
        <v>26</v>
      </c>
      <c r="D73">
        <v>1</v>
      </c>
      <c r="E73" t="s">
        <v>47</v>
      </c>
      <c r="F73" s="81" t="s">
        <v>808</v>
      </c>
      <c r="G73" s="80" t="s">
        <v>809</v>
      </c>
      <c r="H73" s="82">
        <v>106.875</v>
      </c>
      <c r="I73" s="82">
        <v>17.100000000000001</v>
      </c>
    </row>
    <row r="74" spans="1:11">
      <c r="A74" t="s">
        <v>46</v>
      </c>
      <c r="B74" s="1">
        <v>41655</v>
      </c>
      <c r="C74" t="s">
        <v>26</v>
      </c>
      <c r="D74">
        <v>1</v>
      </c>
      <c r="E74" t="s">
        <v>47</v>
      </c>
      <c r="F74" s="79" t="s">
        <v>810</v>
      </c>
      <c r="G74" s="80" t="s">
        <v>811</v>
      </c>
      <c r="H74" s="82">
        <v>2218.5</v>
      </c>
      <c r="I74" s="82">
        <v>354.96</v>
      </c>
    </row>
    <row r="75" spans="1:11">
      <c r="A75" t="s">
        <v>46</v>
      </c>
      <c r="B75" s="1">
        <v>41655</v>
      </c>
      <c r="C75" t="s">
        <v>26</v>
      </c>
      <c r="D75">
        <v>1</v>
      </c>
      <c r="E75" t="s">
        <v>47</v>
      </c>
      <c r="F75" s="79" t="s">
        <v>812</v>
      </c>
      <c r="G75" s="80" t="s">
        <v>813</v>
      </c>
      <c r="H75" s="82">
        <v>64.6875</v>
      </c>
      <c r="I75" s="82">
        <v>10.35</v>
      </c>
      <c r="J75" s="13">
        <f>2704.31-H71-H72-H73-H74-H75</f>
        <v>-2.5000000000545697E-3</v>
      </c>
      <c r="K75" s="13">
        <f>432.69-I71-I72-I73-I74-I75</f>
        <v>-3.3750779948604759E-14</v>
      </c>
    </row>
    <row r="76" spans="1:11">
      <c r="A76" t="s">
        <v>354</v>
      </c>
      <c r="B76" s="1">
        <v>41670</v>
      </c>
      <c r="C76">
        <v>9633</v>
      </c>
      <c r="D76">
        <v>1</v>
      </c>
      <c r="E76" t="s">
        <v>355</v>
      </c>
      <c r="F76" s="83" t="s">
        <v>815</v>
      </c>
      <c r="G76" s="84" t="s">
        <v>355</v>
      </c>
      <c r="H76" s="3">
        <f t="shared" ref="H76:H107" si="2">+I76/0.16</f>
        <v>1039.6875</v>
      </c>
      <c r="I76" s="3">
        <v>166.35</v>
      </c>
    </row>
    <row r="77" spans="1:11">
      <c r="A77" t="s">
        <v>597</v>
      </c>
      <c r="B77" s="1">
        <v>41663</v>
      </c>
      <c r="C77" t="s">
        <v>598</v>
      </c>
      <c r="D77">
        <v>1</v>
      </c>
      <c r="E77" t="s">
        <v>599</v>
      </c>
      <c r="F77" s="85" t="s">
        <v>816</v>
      </c>
      <c r="G77" s="85" t="s">
        <v>599</v>
      </c>
      <c r="H77" s="3">
        <f t="shared" si="2"/>
        <v>6000</v>
      </c>
      <c r="I77" s="3">
        <v>960</v>
      </c>
    </row>
    <row r="78" spans="1:11">
      <c r="A78" t="s">
        <v>545</v>
      </c>
      <c r="B78" s="1">
        <v>41655</v>
      </c>
      <c r="C78" t="s">
        <v>546</v>
      </c>
      <c r="D78">
        <v>1</v>
      </c>
      <c r="E78" t="s">
        <v>547</v>
      </c>
      <c r="F78" s="86" t="s">
        <v>817</v>
      </c>
      <c r="G78" s="86" t="s">
        <v>547</v>
      </c>
      <c r="H78" s="3">
        <f t="shared" si="2"/>
        <v>12631</v>
      </c>
      <c r="I78" s="3">
        <v>2020.96</v>
      </c>
    </row>
    <row r="79" spans="1:11">
      <c r="A79" t="s">
        <v>427</v>
      </c>
      <c r="B79" s="1">
        <v>41645</v>
      </c>
      <c r="C79" t="s">
        <v>428</v>
      </c>
      <c r="D79">
        <v>1</v>
      </c>
      <c r="E79" t="s">
        <v>429</v>
      </c>
      <c r="F79" s="88" t="s">
        <v>818</v>
      </c>
      <c r="G79" s="87" t="s">
        <v>429</v>
      </c>
      <c r="H79" s="3">
        <f t="shared" si="2"/>
        <v>177078.1875</v>
      </c>
      <c r="I79" s="3">
        <v>28332.51</v>
      </c>
    </row>
    <row r="80" spans="1:11">
      <c r="A80" t="s">
        <v>436</v>
      </c>
      <c r="B80" s="1">
        <v>41645</v>
      </c>
      <c r="C80" t="s">
        <v>437</v>
      </c>
      <c r="D80">
        <v>1</v>
      </c>
      <c r="E80" t="s">
        <v>429</v>
      </c>
      <c r="F80" s="88" t="s">
        <v>818</v>
      </c>
      <c r="G80" s="87" t="s">
        <v>429</v>
      </c>
      <c r="H80" s="3">
        <f t="shared" si="2"/>
        <v>10710.5</v>
      </c>
      <c r="I80" s="3">
        <v>1713.68</v>
      </c>
    </row>
    <row r="81" spans="1:9">
      <c r="A81" t="s">
        <v>438</v>
      </c>
      <c r="B81" s="1">
        <v>41646</v>
      </c>
      <c r="C81" t="s">
        <v>439</v>
      </c>
      <c r="D81">
        <v>1</v>
      </c>
      <c r="E81" t="s">
        <v>429</v>
      </c>
      <c r="F81" s="88" t="s">
        <v>818</v>
      </c>
      <c r="G81" s="87" t="s">
        <v>429</v>
      </c>
      <c r="H81" s="3">
        <f t="shared" si="2"/>
        <v>15960.749999999998</v>
      </c>
      <c r="I81" s="3">
        <v>2553.7199999999998</v>
      </c>
    </row>
    <row r="82" spans="1:9">
      <c r="A82" t="s">
        <v>440</v>
      </c>
      <c r="B82" s="1">
        <v>41646</v>
      </c>
      <c r="C82" t="s">
        <v>441</v>
      </c>
      <c r="D82">
        <v>1</v>
      </c>
      <c r="E82" t="s">
        <v>429</v>
      </c>
      <c r="F82" s="88" t="s">
        <v>818</v>
      </c>
      <c r="G82" s="87" t="s">
        <v>429</v>
      </c>
      <c r="H82" s="3">
        <f t="shared" si="2"/>
        <v>8849.75</v>
      </c>
      <c r="I82" s="3">
        <v>1415.96</v>
      </c>
    </row>
    <row r="83" spans="1:9">
      <c r="A83" t="s">
        <v>463</v>
      </c>
      <c r="B83" s="1">
        <v>41648</v>
      </c>
      <c r="C83" t="s">
        <v>464</v>
      </c>
      <c r="D83">
        <v>1</v>
      </c>
      <c r="E83" t="s">
        <v>429</v>
      </c>
      <c r="F83" s="88" t="s">
        <v>818</v>
      </c>
      <c r="G83" s="87" t="s">
        <v>429</v>
      </c>
      <c r="H83" s="3">
        <f t="shared" si="2"/>
        <v>206896.56249999997</v>
      </c>
      <c r="I83" s="3">
        <v>33103.449999999997</v>
      </c>
    </row>
    <row r="84" spans="1:9">
      <c r="A84" t="s">
        <v>483</v>
      </c>
      <c r="B84" s="1">
        <v>41649</v>
      </c>
      <c r="C84" t="s">
        <v>484</v>
      </c>
      <c r="D84">
        <v>1</v>
      </c>
      <c r="E84" t="s">
        <v>429</v>
      </c>
      <c r="F84" s="88" t="s">
        <v>818</v>
      </c>
      <c r="G84" s="87" t="s">
        <v>429</v>
      </c>
      <c r="H84" s="3">
        <f t="shared" si="2"/>
        <v>89847.875</v>
      </c>
      <c r="I84" s="3">
        <v>14375.66</v>
      </c>
    </row>
    <row r="85" spans="1:9">
      <c r="A85" t="s">
        <v>485</v>
      </c>
      <c r="B85" s="1">
        <v>41652</v>
      </c>
      <c r="C85" t="s">
        <v>486</v>
      </c>
      <c r="D85">
        <v>1</v>
      </c>
      <c r="E85" t="s">
        <v>429</v>
      </c>
      <c r="F85" s="88" t="s">
        <v>818</v>
      </c>
      <c r="G85" s="87" t="s">
        <v>429</v>
      </c>
      <c r="H85" s="3">
        <f t="shared" si="2"/>
        <v>37100</v>
      </c>
      <c r="I85" s="3">
        <v>5936</v>
      </c>
    </row>
    <row r="86" spans="1:9">
      <c r="A86" t="s">
        <v>487</v>
      </c>
      <c r="B86" s="1">
        <v>41652</v>
      </c>
      <c r="C86" t="s">
        <v>488</v>
      </c>
      <c r="D86">
        <v>1</v>
      </c>
      <c r="E86" t="s">
        <v>429</v>
      </c>
      <c r="F86" s="88" t="s">
        <v>818</v>
      </c>
      <c r="G86" s="87" t="s">
        <v>429</v>
      </c>
      <c r="H86" s="3">
        <f t="shared" si="2"/>
        <v>5103.4375</v>
      </c>
      <c r="I86" s="3">
        <v>816.55</v>
      </c>
    </row>
    <row r="87" spans="1:9">
      <c r="A87" t="s">
        <v>492</v>
      </c>
      <c r="B87" s="1">
        <v>41653</v>
      </c>
      <c r="C87" t="s">
        <v>493</v>
      </c>
      <c r="D87">
        <v>1</v>
      </c>
      <c r="E87" t="s">
        <v>429</v>
      </c>
      <c r="F87" s="88" t="s">
        <v>818</v>
      </c>
      <c r="G87" s="87" t="s">
        <v>429</v>
      </c>
      <c r="H87" s="3">
        <f t="shared" si="2"/>
        <v>1691.3125</v>
      </c>
      <c r="I87" s="3">
        <v>270.61</v>
      </c>
    </row>
    <row r="88" spans="1:9">
      <c r="A88" t="s">
        <v>506</v>
      </c>
      <c r="B88" s="1">
        <v>41653</v>
      </c>
      <c r="C88" t="s">
        <v>507</v>
      </c>
      <c r="D88">
        <v>1</v>
      </c>
      <c r="E88" t="s">
        <v>429</v>
      </c>
      <c r="F88" s="88" t="s">
        <v>818</v>
      </c>
      <c r="G88" s="87" t="s">
        <v>429</v>
      </c>
      <c r="H88" s="3">
        <f t="shared" si="2"/>
        <v>2778.5625</v>
      </c>
      <c r="I88" s="3">
        <v>444.57</v>
      </c>
    </row>
    <row r="89" spans="1:9">
      <c r="A89" t="s">
        <v>508</v>
      </c>
      <c r="B89" s="1">
        <v>41653</v>
      </c>
      <c r="C89" t="s">
        <v>509</v>
      </c>
      <c r="D89">
        <v>1</v>
      </c>
      <c r="E89" t="s">
        <v>429</v>
      </c>
      <c r="F89" s="88" t="s">
        <v>818</v>
      </c>
      <c r="G89" s="87" t="s">
        <v>429</v>
      </c>
      <c r="H89" s="3">
        <f t="shared" si="2"/>
        <v>456339.0625</v>
      </c>
      <c r="I89" s="3">
        <v>73014.25</v>
      </c>
    </row>
    <row r="90" spans="1:9">
      <c r="A90" t="s">
        <v>557</v>
      </c>
      <c r="B90" s="1">
        <v>41656</v>
      </c>
      <c r="C90" t="s">
        <v>558</v>
      </c>
      <c r="D90">
        <v>1</v>
      </c>
      <c r="E90" t="s">
        <v>429</v>
      </c>
      <c r="F90" s="88" t="s">
        <v>818</v>
      </c>
      <c r="G90" s="87" t="s">
        <v>429</v>
      </c>
      <c r="H90" s="3">
        <f t="shared" si="2"/>
        <v>87883.1875</v>
      </c>
      <c r="I90" s="3">
        <v>14061.31</v>
      </c>
    </row>
    <row r="91" spans="1:9">
      <c r="A91" t="s">
        <v>570</v>
      </c>
      <c r="B91" s="1">
        <v>41659</v>
      </c>
      <c r="C91" t="s">
        <v>571</v>
      </c>
      <c r="D91">
        <v>1</v>
      </c>
      <c r="E91" t="s">
        <v>429</v>
      </c>
      <c r="F91" s="88" t="s">
        <v>818</v>
      </c>
      <c r="G91" s="87" t="s">
        <v>429</v>
      </c>
      <c r="H91" s="3">
        <f t="shared" si="2"/>
        <v>632.875</v>
      </c>
      <c r="I91" s="3">
        <v>101.26</v>
      </c>
    </row>
    <row r="92" spans="1:9">
      <c r="A92" t="s">
        <v>572</v>
      </c>
      <c r="B92" s="1">
        <v>41659</v>
      </c>
      <c r="C92" t="s">
        <v>573</v>
      </c>
      <c r="D92">
        <v>1</v>
      </c>
      <c r="E92" t="s">
        <v>429</v>
      </c>
      <c r="F92" s="88" t="s">
        <v>818</v>
      </c>
      <c r="G92" s="87" t="s">
        <v>429</v>
      </c>
      <c r="H92" s="3">
        <f t="shared" si="2"/>
        <v>25936.75</v>
      </c>
      <c r="I92" s="3">
        <v>4149.88</v>
      </c>
    </row>
    <row r="93" spans="1:9">
      <c r="A93" t="s">
        <v>574</v>
      </c>
      <c r="B93" s="1">
        <v>41659</v>
      </c>
      <c r="C93" t="s">
        <v>575</v>
      </c>
      <c r="D93">
        <v>1</v>
      </c>
      <c r="E93" t="s">
        <v>429</v>
      </c>
      <c r="F93" s="88" t="s">
        <v>818</v>
      </c>
      <c r="G93" s="87" t="s">
        <v>429</v>
      </c>
      <c r="H93" s="3">
        <f t="shared" si="2"/>
        <v>31606.25</v>
      </c>
      <c r="I93" s="3">
        <v>5057</v>
      </c>
    </row>
    <row r="94" spans="1:9">
      <c r="A94" t="s">
        <v>576</v>
      </c>
      <c r="B94" s="1">
        <v>41659</v>
      </c>
      <c r="C94" t="s">
        <v>577</v>
      </c>
      <c r="D94">
        <v>1</v>
      </c>
      <c r="E94" t="s">
        <v>429</v>
      </c>
      <c r="F94" s="88" t="s">
        <v>818</v>
      </c>
      <c r="G94" s="87" t="s">
        <v>429</v>
      </c>
      <c r="H94" s="3">
        <f t="shared" si="2"/>
        <v>848.4375</v>
      </c>
      <c r="I94" s="3">
        <v>135.75</v>
      </c>
    </row>
    <row r="95" spans="1:9">
      <c r="A95" t="s">
        <v>586</v>
      </c>
      <c r="B95" s="1">
        <v>41661</v>
      </c>
      <c r="C95" t="s">
        <v>587</v>
      </c>
      <c r="D95">
        <v>1</v>
      </c>
      <c r="E95" t="s">
        <v>429</v>
      </c>
      <c r="F95" s="88" t="s">
        <v>818</v>
      </c>
      <c r="G95" s="87" t="s">
        <v>429</v>
      </c>
      <c r="H95" s="3">
        <f t="shared" si="2"/>
        <v>485.25</v>
      </c>
      <c r="I95" s="3">
        <v>77.64</v>
      </c>
    </row>
    <row r="96" spans="1:9">
      <c r="A96" t="s">
        <v>604</v>
      </c>
      <c r="B96" s="1">
        <v>41663</v>
      </c>
      <c r="C96" t="s">
        <v>605</v>
      </c>
      <c r="D96">
        <v>1</v>
      </c>
      <c r="E96" t="s">
        <v>429</v>
      </c>
      <c r="F96" s="88" t="s">
        <v>818</v>
      </c>
      <c r="G96" s="87" t="s">
        <v>429</v>
      </c>
      <c r="H96" s="3">
        <f t="shared" si="2"/>
        <v>103557.1875</v>
      </c>
      <c r="I96" s="3">
        <v>16569.150000000001</v>
      </c>
    </row>
    <row r="97" spans="1:10">
      <c r="A97" t="s">
        <v>615</v>
      </c>
      <c r="B97" s="1">
        <v>41668</v>
      </c>
      <c r="C97" t="s">
        <v>616</v>
      </c>
      <c r="D97">
        <v>1</v>
      </c>
      <c r="E97" t="s">
        <v>429</v>
      </c>
      <c r="F97" s="88" t="s">
        <v>818</v>
      </c>
      <c r="G97" s="87" t="s">
        <v>429</v>
      </c>
      <c r="H97" s="3">
        <f t="shared" si="2"/>
        <v>700.9375</v>
      </c>
      <c r="I97" s="3">
        <v>112.15</v>
      </c>
    </row>
    <row r="98" spans="1:10">
      <c r="A98" t="s">
        <v>653</v>
      </c>
      <c r="B98" s="1">
        <v>41669</v>
      </c>
      <c r="C98" t="s">
        <v>654</v>
      </c>
      <c r="D98">
        <v>1</v>
      </c>
      <c r="E98" t="s">
        <v>429</v>
      </c>
      <c r="F98" s="88" t="s">
        <v>818</v>
      </c>
      <c r="G98" s="87" t="s">
        <v>429</v>
      </c>
      <c r="H98" s="3">
        <f t="shared" si="2"/>
        <v>1499.8125</v>
      </c>
      <c r="I98" s="3">
        <v>239.97</v>
      </c>
    </row>
    <row r="99" spans="1:10">
      <c r="A99" t="s">
        <v>655</v>
      </c>
      <c r="B99" s="1">
        <v>41669</v>
      </c>
      <c r="C99" t="s">
        <v>656</v>
      </c>
      <c r="D99">
        <v>1</v>
      </c>
      <c r="E99" t="s">
        <v>429</v>
      </c>
      <c r="F99" s="88" t="s">
        <v>818</v>
      </c>
      <c r="G99" s="87" t="s">
        <v>429</v>
      </c>
      <c r="H99" s="3">
        <f t="shared" si="2"/>
        <v>140878.75</v>
      </c>
      <c r="I99" s="3">
        <v>22540.6</v>
      </c>
    </row>
    <row r="100" spans="1:10">
      <c r="A100" t="s">
        <v>661</v>
      </c>
      <c r="B100" s="1">
        <v>41670</v>
      </c>
      <c r="C100" t="s">
        <v>662</v>
      </c>
      <c r="D100">
        <v>1</v>
      </c>
      <c r="E100" t="s">
        <v>429</v>
      </c>
      <c r="F100" s="88" t="s">
        <v>818</v>
      </c>
      <c r="G100" s="87" t="s">
        <v>429</v>
      </c>
      <c r="H100" s="3">
        <f t="shared" si="2"/>
        <v>43103.4375</v>
      </c>
      <c r="I100" s="3">
        <v>6896.55</v>
      </c>
    </row>
    <row r="101" spans="1:10">
      <c r="A101" t="s">
        <v>676</v>
      </c>
      <c r="B101" s="1">
        <v>41670</v>
      </c>
      <c r="C101" t="s">
        <v>677</v>
      </c>
      <c r="D101">
        <v>1</v>
      </c>
      <c r="E101" t="s">
        <v>429</v>
      </c>
      <c r="F101" s="88" t="s">
        <v>818</v>
      </c>
      <c r="G101" s="87" t="s">
        <v>429</v>
      </c>
      <c r="H101" s="3">
        <f t="shared" si="2"/>
        <v>130336.1875</v>
      </c>
      <c r="I101" s="3">
        <v>20853.79</v>
      </c>
    </row>
    <row r="102" spans="1:10">
      <c r="A102" t="s">
        <v>267</v>
      </c>
      <c r="B102" s="1">
        <v>41670</v>
      </c>
      <c r="C102">
        <v>9608</v>
      </c>
      <c r="D102">
        <v>1</v>
      </c>
      <c r="E102" t="s">
        <v>268</v>
      </c>
      <c r="F102" s="90" t="s">
        <v>819</v>
      </c>
      <c r="G102" s="90" t="s">
        <v>268</v>
      </c>
      <c r="H102" s="3">
        <f t="shared" si="2"/>
        <v>95.625</v>
      </c>
      <c r="I102" s="3">
        <v>15.3</v>
      </c>
    </row>
    <row r="103" spans="1:10">
      <c r="A103" t="s">
        <v>334</v>
      </c>
      <c r="B103" s="1">
        <v>41670</v>
      </c>
      <c r="C103">
        <v>9583</v>
      </c>
      <c r="D103">
        <v>1</v>
      </c>
      <c r="E103" t="s">
        <v>268</v>
      </c>
      <c r="F103" s="90" t="s">
        <v>819</v>
      </c>
      <c r="G103" s="90" t="s">
        <v>268</v>
      </c>
      <c r="H103" s="3">
        <f t="shared" si="2"/>
        <v>53.4375</v>
      </c>
      <c r="I103" s="3">
        <v>8.5500000000000007</v>
      </c>
    </row>
    <row r="104" spans="1:10">
      <c r="A104" t="s">
        <v>339</v>
      </c>
      <c r="B104" s="1">
        <v>41670</v>
      </c>
      <c r="C104">
        <v>9586</v>
      </c>
      <c r="D104">
        <v>1</v>
      </c>
      <c r="E104" t="s">
        <v>268</v>
      </c>
      <c r="F104" s="90" t="s">
        <v>819</v>
      </c>
      <c r="G104" s="90" t="s">
        <v>268</v>
      </c>
      <c r="H104" s="3">
        <f t="shared" si="2"/>
        <v>77.5</v>
      </c>
      <c r="I104" s="3">
        <v>12.4</v>
      </c>
    </row>
    <row r="105" spans="1:10">
      <c r="A105" t="s">
        <v>365</v>
      </c>
      <c r="B105" s="1">
        <v>41670</v>
      </c>
      <c r="C105">
        <v>9639</v>
      </c>
      <c r="D105">
        <v>1</v>
      </c>
      <c r="E105" t="s">
        <v>268</v>
      </c>
      <c r="F105" s="89" t="s">
        <v>819</v>
      </c>
      <c r="G105" s="90" t="s">
        <v>268</v>
      </c>
      <c r="H105" s="3">
        <f t="shared" si="2"/>
        <v>76.625</v>
      </c>
      <c r="I105" s="3">
        <v>12.26</v>
      </c>
    </row>
    <row r="106" spans="1:10">
      <c r="A106" t="s">
        <v>330</v>
      </c>
      <c r="B106" s="1">
        <v>41670</v>
      </c>
      <c r="C106">
        <v>9581</v>
      </c>
      <c r="D106">
        <v>1</v>
      </c>
      <c r="E106" t="s">
        <v>331</v>
      </c>
      <c r="F106" s="91" t="s">
        <v>820</v>
      </c>
      <c r="G106" s="91" t="s">
        <v>821</v>
      </c>
      <c r="H106" s="3">
        <f t="shared" si="2"/>
        <v>50</v>
      </c>
      <c r="I106" s="3">
        <v>8</v>
      </c>
    </row>
    <row r="107" spans="1:10">
      <c r="A107" t="s">
        <v>32</v>
      </c>
      <c r="B107" s="1">
        <v>41655</v>
      </c>
      <c r="C107" t="s">
        <v>33</v>
      </c>
      <c r="D107">
        <v>1</v>
      </c>
      <c r="E107" t="s">
        <v>775</v>
      </c>
      <c r="F107" s="32" t="s">
        <v>737</v>
      </c>
      <c r="G107" s="33" t="s">
        <v>738</v>
      </c>
      <c r="H107" s="3">
        <f t="shared" si="2"/>
        <v>162935.75</v>
      </c>
      <c r="I107" s="3">
        <v>26069.72</v>
      </c>
    </row>
    <row r="108" spans="1:10">
      <c r="A108" t="s">
        <v>209</v>
      </c>
      <c r="B108" s="1">
        <v>41667</v>
      </c>
      <c r="C108" t="s">
        <v>33</v>
      </c>
      <c r="D108">
        <v>1</v>
      </c>
      <c r="E108" t="s">
        <v>775</v>
      </c>
      <c r="F108" s="35" t="s">
        <v>737</v>
      </c>
      <c r="G108" s="33" t="s">
        <v>739</v>
      </c>
      <c r="H108" s="3">
        <f t="shared" ref="H108:H139" si="3">+I108/0.16</f>
        <v>-162935.75</v>
      </c>
      <c r="I108" s="3">
        <v>-26069.72</v>
      </c>
      <c r="J108" s="2"/>
    </row>
    <row r="109" spans="1:10">
      <c r="A109" t="s">
        <v>91</v>
      </c>
      <c r="B109" s="1">
        <v>41660</v>
      </c>
      <c r="C109" t="s">
        <v>92</v>
      </c>
      <c r="D109">
        <v>1</v>
      </c>
      <c r="E109" t="s">
        <v>776</v>
      </c>
      <c r="F109" s="33" t="s">
        <v>740</v>
      </c>
      <c r="G109" s="33" t="s">
        <v>741</v>
      </c>
      <c r="H109" s="3">
        <f t="shared" si="3"/>
        <v>270515.8125</v>
      </c>
      <c r="I109" s="3">
        <v>43282.53</v>
      </c>
    </row>
    <row r="110" spans="1:10">
      <c r="A110" t="s">
        <v>212</v>
      </c>
      <c r="B110" s="1">
        <v>41667</v>
      </c>
      <c r="C110" t="s">
        <v>213</v>
      </c>
      <c r="D110">
        <v>1</v>
      </c>
      <c r="E110" t="s">
        <v>777</v>
      </c>
      <c r="F110" s="35" t="s">
        <v>737</v>
      </c>
      <c r="G110" s="33" t="s">
        <v>739</v>
      </c>
      <c r="H110" s="3">
        <f t="shared" si="3"/>
        <v>175582.31249999997</v>
      </c>
      <c r="I110" s="3">
        <v>28093.17</v>
      </c>
    </row>
    <row r="111" spans="1:10">
      <c r="A111" t="s">
        <v>201</v>
      </c>
      <c r="B111" s="1">
        <v>41666</v>
      </c>
      <c r="C111" t="s">
        <v>202</v>
      </c>
      <c r="D111">
        <v>1</v>
      </c>
      <c r="E111" t="s">
        <v>778</v>
      </c>
      <c r="F111" s="35" t="s">
        <v>737</v>
      </c>
      <c r="G111" s="33" t="s">
        <v>739</v>
      </c>
      <c r="H111" s="3">
        <f t="shared" si="3"/>
        <v>181607.4375</v>
      </c>
      <c r="I111" s="3">
        <v>29057.19</v>
      </c>
    </row>
    <row r="112" spans="1:10">
      <c r="A112" t="s">
        <v>207</v>
      </c>
      <c r="B112" s="1">
        <v>41667</v>
      </c>
      <c r="C112" t="s">
        <v>208</v>
      </c>
      <c r="D112">
        <v>1</v>
      </c>
      <c r="E112" t="s">
        <v>779</v>
      </c>
      <c r="F112" s="35" t="s">
        <v>737</v>
      </c>
      <c r="G112" s="28" t="s">
        <v>739</v>
      </c>
      <c r="H112" s="3">
        <f t="shared" si="3"/>
        <v>162935.75</v>
      </c>
      <c r="I112" s="3">
        <v>26069.72</v>
      </c>
      <c r="J112" s="9"/>
    </row>
    <row r="113" spans="1:9">
      <c r="A113" t="s">
        <v>474</v>
      </c>
      <c r="B113" s="1">
        <v>41649</v>
      </c>
      <c r="C113" t="s">
        <v>475</v>
      </c>
      <c r="D113">
        <v>1</v>
      </c>
      <c r="E113" t="s">
        <v>476</v>
      </c>
      <c r="F113" s="92" t="s">
        <v>822</v>
      </c>
      <c r="G113" s="92" t="s">
        <v>476</v>
      </c>
      <c r="H113" s="3">
        <f t="shared" si="3"/>
        <v>9269</v>
      </c>
      <c r="I113" s="3">
        <v>1483.04</v>
      </c>
    </row>
    <row r="114" spans="1:9">
      <c r="A114" t="s">
        <v>273</v>
      </c>
      <c r="B114" s="1">
        <v>41670</v>
      </c>
      <c r="C114">
        <v>9615</v>
      </c>
      <c r="D114">
        <v>1</v>
      </c>
      <c r="E114" t="s">
        <v>274</v>
      </c>
      <c r="F114" s="93" t="s">
        <v>823</v>
      </c>
      <c r="G114" s="93" t="s">
        <v>274</v>
      </c>
      <c r="H114" s="3">
        <f t="shared" si="3"/>
        <v>1260</v>
      </c>
      <c r="I114" s="3">
        <v>201.6</v>
      </c>
    </row>
    <row r="115" spans="1:9">
      <c r="A115" t="s">
        <v>454</v>
      </c>
      <c r="B115" s="1">
        <v>41647</v>
      </c>
      <c r="C115" t="s">
        <v>455</v>
      </c>
      <c r="D115">
        <v>2</v>
      </c>
      <c r="E115" t="s">
        <v>456</v>
      </c>
      <c r="F115" s="94" t="s">
        <v>824</v>
      </c>
      <c r="G115" s="94" t="s">
        <v>456</v>
      </c>
      <c r="H115" s="3">
        <f t="shared" si="3"/>
        <v>9000</v>
      </c>
      <c r="I115" s="3">
        <v>1440</v>
      </c>
    </row>
    <row r="116" spans="1:9">
      <c r="A116" t="s">
        <v>531</v>
      </c>
      <c r="B116" s="1">
        <v>41655</v>
      </c>
      <c r="C116" t="s">
        <v>532</v>
      </c>
      <c r="D116">
        <v>1</v>
      </c>
      <c r="E116" t="s">
        <v>533</v>
      </c>
      <c r="F116" s="95" t="s">
        <v>825</v>
      </c>
      <c r="G116" s="95" t="s">
        <v>533</v>
      </c>
      <c r="H116" s="3">
        <f t="shared" si="3"/>
        <v>28600</v>
      </c>
      <c r="I116" s="3">
        <v>4576</v>
      </c>
    </row>
    <row r="117" spans="1:9">
      <c r="A117" t="s">
        <v>539</v>
      </c>
      <c r="B117" s="1">
        <v>41655</v>
      </c>
      <c r="C117" t="s">
        <v>540</v>
      </c>
      <c r="D117">
        <v>1</v>
      </c>
      <c r="E117" t="s">
        <v>541</v>
      </c>
      <c r="F117" s="96" t="s">
        <v>826</v>
      </c>
      <c r="G117" s="96" t="s">
        <v>541</v>
      </c>
      <c r="H117" s="3">
        <f t="shared" si="3"/>
        <v>2894</v>
      </c>
      <c r="I117" s="3">
        <v>463.04</v>
      </c>
    </row>
    <row r="118" spans="1:9">
      <c r="A118" t="s">
        <v>344</v>
      </c>
      <c r="B118" s="1">
        <v>41670</v>
      </c>
      <c r="C118">
        <v>9590</v>
      </c>
      <c r="D118">
        <v>1</v>
      </c>
      <c r="E118" t="s">
        <v>345</v>
      </c>
      <c r="F118" s="97" t="s">
        <v>827</v>
      </c>
      <c r="G118" s="97" t="s">
        <v>345</v>
      </c>
      <c r="H118" s="3">
        <f t="shared" si="3"/>
        <v>172.4375</v>
      </c>
      <c r="I118" s="3">
        <v>27.59</v>
      </c>
    </row>
    <row r="119" spans="1:9">
      <c r="A119" t="s">
        <v>136</v>
      </c>
      <c r="B119" s="1">
        <v>41663</v>
      </c>
      <c r="C119" t="s">
        <v>137</v>
      </c>
      <c r="D119">
        <v>1</v>
      </c>
      <c r="E119" t="s">
        <v>138</v>
      </c>
      <c r="F119" s="98" t="s">
        <v>828</v>
      </c>
      <c r="G119" s="98" t="s">
        <v>138</v>
      </c>
      <c r="H119" s="3">
        <f t="shared" si="3"/>
        <v>280</v>
      </c>
      <c r="I119" s="3">
        <v>44.8</v>
      </c>
    </row>
    <row r="120" spans="1:9">
      <c r="A120" t="s">
        <v>460</v>
      </c>
      <c r="B120" s="1">
        <v>41648</v>
      </c>
      <c r="C120" t="s">
        <v>461</v>
      </c>
      <c r="D120">
        <v>1</v>
      </c>
      <c r="E120" t="s">
        <v>462</v>
      </c>
      <c r="F120" s="99" t="s">
        <v>829</v>
      </c>
      <c r="G120" s="99" t="s">
        <v>462</v>
      </c>
      <c r="H120" s="3">
        <f t="shared" si="3"/>
        <v>2859.5</v>
      </c>
      <c r="I120" s="3">
        <v>457.52</v>
      </c>
    </row>
    <row r="121" spans="1:9">
      <c r="A121" t="s">
        <v>477</v>
      </c>
      <c r="B121" s="1">
        <v>41649</v>
      </c>
      <c r="C121" t="s">
        <v>478</v>
      </c>
      <c r="D121">
        <v>1</v>
      </c>
      <c r="E121" t="s">
        <v>462</v>
      </c>
      <c r="F121" s="99" t="s">
        <v>829</v>
      </c>
      <c r="G121" s="99" t="s">
        <v>462</v>
      </c>
      <c r="H121" s="3">
        <f t="shared" si="3"/>
        <v>5650.875</v>
      </c>
      <c r="I121" s="3">
        <v>904.14</v>
      </c>
    </row>
    <row r="122" spans="1:9">
      <c r="A122" t="s">
        <v>366</v>
      </c>
      <c r="B122" s="1">
        <v>41670</v>
      </c>
      <c r="C122">
        <v>9643</v>
      </c>
      <c r="D122">
        <v>1</v>
      </c>
      <c r="E122" t="s">
        <v>367</v>
      </c>
      <c r="F122" s="100" t="s">
        <v>830</v>
      </c>
      <c r="G122" s="101" t="s">
        <v>367</v>
      </c>
      <c r="H122" s="3">
        <f t="shared" si="3"/>
        <v>120.68749999999999</v>
      </c>
      <c r="I122" s="3">
        <v>19.309999999999999</v>
      </c>
    </row>
    <row r="123" spans="1:9">
      <c r="A123" t="s">
        <v>698</v>
      </c>
      <c r="B123" s="1">
        <v>41661</v>
      </c>
      <c r="C123" t="s">
        <v>699</v>
      </c>
      <c r="D123">
        <v>1</v>
      </c>
      <c r="E123" t="s">
        <v>700</v>
      </c>
      <c r="F123" s="102" t="s">
        <v>831</v>
      </c>
      <c r="G123" s="103" t="s">
        <v>467</v>
      </c>
      <c r="H123" s="3">
        <f t="shared" si="3"/>
        <v>547.5</v>
      </c>
      <c r="I123" s="3">
        <v>87.6</v>
      </c>
    </row>
    <row r="124" spans="1:9">
      <c r="A124" t="s">
        <v>698</v>
      </c>
      <c r="B124" s="1">
        <v>41661</v>
      </c>
      <c r="C124" t="s">
        <v>699</v>
      </c>
      <c r="D124">
        <v>1</v>
      </c>
      <c r="E124" t="s">
        <v>700</v>
      </c>
      <c r="F124" s="102" t="s">
        <v>831</v>
      </c>
      <c r="G124" s="103" t="s">
        <v>467</v>
      </c>
      <c r="H124" s="3">
        <f t="shared" si="3"/>
        <v>708.5</v>
      </c>
      <c r="I124" s="3">
        <v>113.36</v>
      </c>
    </row>
    <row r="125" spans="1:9">
      <c r="A125" t="s">
        <v>701</v>
      </c>
      <c r="B125" s="1">
        <v>41669</v>
      </c>
      <c r="C125" t="s">
        <v>702</v>
      </c>
      <c r="D125">
        <v>1</v>
      </c>
      <c r="E125" t="s">
        <v>703</v>
      </c>
      <c r="F125" s="104" t="s">
        <v>831</v>
      </c>
      <c r="G125" s="105" t="s">
        <v>467</v>
      </c>
      <c r="H125" s="3">
        <f t="shared" si="3"/>
        <v>257.3125</v>
      </c>
      <c r="I125" s="3">
        <v>41.17</v>
      </c>
    </row>
    <row r="126" spans="1:9">
      <c r="A126" t="s">
        <v>701</v>
      </c>
      <c r="B126" s="1">
        <v>41669</v>
      </c>
      <c r="C126" t="s">
        <v>702</v>
      </c>
      <c r="D126">
        <v>1</v>
      </c>
      <c r="E126" t="s">
        <v>703</v>
      </c>
      <c r="F126" s="104" t="s">
        <v>831</v>
      </c>
      <c r="G126" s="105" t="s">
        <v>467</v>
      </c>
      <c r="H126" s="3">
        <f t="shared" si="3"/>
        <v>454.0625</v>
      </c>
      <c r="I126" s="3">
        <v>72.650000000000006</v>
      </c>
    </row>
    <row r="127" spans="1:9">
      <c r="A127" t="s">
        <v>704</v>
      </c>
      <c r="B127" s="1">
        <v>41669</v>
      </c>
      <c r="C127" t="s">
        <v>705</v>
      </c>
      <c r="D127">
        <v>1</v>
      </c>
      <c r="E127" t="s">
        <v>706</v>
      </c>
      <c r="F127" s="106" t="s">
        <v>831</v>
      </c>
      <c r="G127" s="107" t="s">
        <v>467</v>
      </c>
      <c r="H127" s="3">
        <f t="shared" si="3"/>
        <v>338.875</v>
      </c>
      <c r="I127" s="3">
        <v>54.22</v>
      </c>
    </row>
    <row r="128" spans="1:9">
      <c r="A128" t="s">
        <v>489</v>
      </c>
      <c r="B128" s="1">
        <v>41652</v>
      </c>
      <c r="C128" t="s">
        <v>490</v>
      </c>
      <c r="D128">
        <v>1</v>
      </c>
      <c r="E128" t="s">
        <v>491</v>
      </c>
      <c r="F128" s="109" t="s">
        <v>832</v>
      </c>
      <c r="G128" s="108" t="s">
        <v>491</v>
      </c>
      <c r="H128" s="3">
        <f t="shared" si="3"/>
        <v>12426</v>
      </c>
      <c r="I128" s="3">
        <v>1988.16</v>
      </c>
    </row>
    <row r="129" spans="1:11">
      <c r="A129" t="s">
        <v>279</v>
      </c>
      <c r="B129" s="1">
        <v>41670</v>
      </c>
      <c r="C129">
        <v>9622</v>
      </c>
      <c r="D129">
        <v>1</v>
      </c>
      <c r="E129" t="s">
        <v>280</v>
      </c>
      <c r="F129" s="110" t="s">
        <v>833</v>
      </c>
      <c r="G129" s="110" t="s">
        <v>280</v>
      </c>
      <c r="H129" s="3">
        <f t="shared" si="3"/>
        <v>62</v>
      </c>
      <c r="I129" s="3">
        <v>9.92</v>
      </c>
    </row>
    <row r="130" spans="1:11">
      <c r="A130" t="s">
        <v>522</v>
      </c>
      <c r="B130" s="1">
        <v>41655</v>
      </c>
      <c r="C130" t="s">
        <v>523</v>
      </c>
      <c r="D130">
        <v>1</v>
      </c>
      <c r="E130" t="s">
        <v>524</v>
      </c>
      <c r="F130" s="111" t="s">
        <v>834</v>
      </c>
      <c r="G130" s="111" t="s">
        <v>524</v>
      </c>
      <c r="H130" s="3">
        <f t="shared" si="3"/>
        <v>16352.625</v>
      </c>
      <c r="I130" s="3">
        <v>2616.42</v>
      </c>
    </row>
    <row r="131" spans="1:11">
      <c r="A131" t="s">
        <v>629</v>
      </c>
      <c r="B131" s="1">
        <v>41668</v>
      </c>
      <c r="C131" t="s">
        <v>630</v>
      </c>
      <c r="D131">
        <v>1</v>
      </c>
      <c r="E131" t="s">
        <v>524</v>
      </c>
      <c r="F131" s="111" t="s">
        <v>834</v>
      </c>
      <c r="G131" s="111" t="s">
        <v>524</v>
      </c>
      <c r="H131" s="3">
        <f t="shared" si="3"/>
        <v>9246.5</v>
      </c>
      <c r="I131" s="3">
        <v>1479.44</v>
      </c>
    </row>
    <row r="132" spans="1:11">
      <c r="A132" t="s">
        <v>342</v>
      </c>
      <c r="B132" s="1">
        <v>41670</v>
      </c>
      <c r="C132">
        <v>9589</v>
      </c>
      <c r="D132">
        <v>1</v>
      </c>
      <c r="E132" t="s">
        <v>343</v>
      </c>
      <c r="F132" s="113" t="s">
        <v>835</v>
      </c>
      <c r="G132" s="113" t="s">
        <v>343</v>
      </c>
      <c r="H132" s="3">
        <f t="shared" si="3"/>
        <v>463.81249999999994</v>
      </c>
      <c r="I132" s="3">
        <v>74.209999999999994</v>
      </c>
    </row>
    <row r="133" spans="1:11">
      <c r="A133" t="s">
        <v>361</v>
      </c>
      <c r="B133" s="1">
        <v>41670</v>
      </c>
      <c r="C133">
        <v>9637</v>
      </c>
      <c r="D133">
        <v>1</v>
      </c>
      <c r="E133" t="s">
        <v>343</v>
      </c>
      <c r="F133" s="112" t="s">
        <v>835</v>
      </c>
      <c r="G133" s="113" t="s">
        <v>343</v>
      </c>
      <c r="H133" s="3">
        <f t="shared" si="3"/>
        <v>114.8125</v>
      </c>
      <c r="I133" s="3">
        <v>18.37</v>
      </c>
    </row>
    <row r="134" spans="1:11">
      <c r="A134" t="s">
        <v>269</v>
      </c>
      <c r="B134" s="1">
        <v>41670</v>
      </c>
      <c r="C134">
        <v>9610</v>
      </c>
      <c r="D134">
        <v>1</v>
      </c>
      <c r="E134" t="s">
        <v>270</v>
      </c>
      <c r="F134" s="114" t="s">
        <v>836</v>
      </c>
      <c r="G134" s="114" t="s">
        <v>270</v>
      </c>
      <c r="H134" s="3">
        <f t="shared" si="3"/>
        <v>131.75</v>
      </c>
      <c r="I134" s="3">
        <v>21.08</v>
      </c>
    </row>
    <row r="135" spans="1:11">
      <c r="A135" t="s">
        <v>340</v>
      </c>
      <c r="B135" s="1">
        <v>41670</v>
      </c>
      <c r="C135">
        <v>9587</v>
      </c>
      <c r="D135">
        <v>1</v>
      </c>
      <c r="E135" t="s">
        <v>270</v>
      </c>
      <c r="F135" s="114" t="s">
        <v>836</v>
      </c>
      <c r="G135" s="114" t="s">
        <v>270</v>
      </c>
      <c r="H135" s="3">
        <f t="shared" si="3"/>
        <v>187.99999999999997</v>
      </c>
      <c r="I135" s="3">
        <v>30.08</v>
      </c>
    </row>
    <row r="136" spans="1:11">
      <c r="A136" t="s">
        <v>421</v>
      </c>
      <c r="B136" s="1">
        <v>41659</v>
      </c>
      <c r="C136" t="s">
        <v>422</v>
      </c>
      <c r="D136">
        <v>1</v>
      </c>
      <c r="E136" t="s">
        <v>423</v>
      </c>
      <c r="H136" s="3">
        <f t="shared" si="3"/>
        <v>112068.93749999999</v>
      </c>
      <c r="I136" s="3">
        <v>17931.03</v>
      </c>
    </row>
    <row r="137" spans="1:11">
      <c r="A137" t="s">
        <v>368</v>
      </c>
      <c r="B137" s="1">
        <v>41670</v>
      </c>
      <c r="C137">
        <v>9644</v>
      </c>
      <c r="D137">
        <v>1</v>
      </c>
      <c r="E137" t="s">
        <v>369</v>
      </c>
      <c r="F137" s="115" t="s">
        <v>837</v>
      </c>
      <c r="G137" s="116" t="s">
        <v>369</v>
      </c>
      <c r="H137" s="3">
        <f t="shared" si="3"/>
        <v>350</v>
      </c>
      <c r="I137" s="3">
        <v>56</v>
      </c>
    </row>
    <row r="138" spans="1:11">
      <c r="A138" t="s">
        <v>451</v>
      </c>
      <c r="B138" s="1">
        <v>41647</v>
      </c>
      <c r="C138" t="s">
        <v>452</v>
      </c>
      <c r="D138">
        <v>1</v>
      </c>
      <c r="E138" t="s">
        <v>453</v>
      </c>
      <c r="F138" s="118" t="s">
        <v>838</v>
      </c>
      <c r="G138" s="118" t="s">
        <v>453</v>
      </c>
      <c r="H138" s="3">
        <f t="shared" si="3"/>
        <v>10379.375</v>
      </c>
      <c r="I138" s="3">
        <v>1660.7</v>
      </c>
    </row>
    <row r="139" spans="1:11">
      <c r="A139" t="s">
        <v>564</v>
      </c>
      <c r="B139" s="1">
        <v>41659</v>
      </c>
      <c r="C139" t="s">
        <v>565</v>
      </c>
      <c r="D139">
        <v>1</v>
      </c>
      <c r="E139" t="s">
        <v>453</v>
      </c>
      <c r="F139" s="117" t="s">
        <v>838</v>
      </c>
      <c r="G139" s="118" t="s">
        <v>453</v>
      </c>
      <c r="H139" s="3">
        <f t="shared" si="3"/>
        <v>10379.375</v>
      </c>
      <c r="I139" s="3">
        <v>1660.7</v>
      </c>
    </row>
    <row r="140" spans="1:11">
      <c r="A140" t="s">
        <v>566</v>
      </c>
      <c r="B140" s="1">
        <v>41659</v>
      </c>
      <c r="C140" t="s">
        <v>567</v>
      </c>
      <c r="D140">
        <v>1</v>
      </c>
      <c r="E140" t="s">
        <v>453</v>
      </c>
      <c r="F140" s="117" t="s">
        <v>838</v>
      </c>
      <c r="G140" s="118" t="s">
        <v>453</v>
      </c>
      <c r="H140" s="3">
        <f t="shared" ref="H140:H141" si="4">+I140/0.16</f>
        <v>10379.375</v>
      </c>
      <c r="I140" s="3">
        <v>1660.7</v>
      </c>
    </row>
    <row r="141" spans="1:11">
      <c r="A141" t="s">
        <v>568</v>
      </c>
      <c r="B141" s="1">
        <v>41659</v>
      </c>
      <c r="C141" t="s">
        <v>569</v>
      </c>
      <c r="D141">
        <v>1</v>
      </c>
      <c r="E141" t="s">
        <v>453</v>
      </c>
      <c r="F141" s="117" t="s">
        <v>838</v>
      </c>
      <c r="G141" s="118" t="s">
        <v>453</v>
      </c>
      <c r="H141" s="3">
        <f t="shared" si="4"/>
        <v>10379.375</v>
      </c>
      <c r="I141" s="3">
        <v>1660.7</v>
      </c>
    </row>
    <row r="142" spans="1:11">
      <c r="A142" t="s">
        <v>448</v>
      </c>
      <c r="B142" s="1">
        <v>41647</v>
      </c>
      <c r="C142" t="s">
        <v>449</v>
      </c>
      <c r="D142">
        <v>1</v>
      </c>
      <c r="E142" t="s">
        <v>450</v>
      </c>
      <c r="F142" s="120" t="s">
        <v>839</v>
      </c>
      <c r="G142" s="120" t="s">
        <v>840</v>
      </c>
      <c r="H142" s="123">
        <v>326.125</v>
      </c>
      <c r="I142" s="123">
        <v>52.18</v>
      </c>
      <c r="J142" s="3"/>
      <c r="K142" s="3"/>
    </row>
    <row r="143" spans="1:11">
      <c r="A143" t="s">
        <v>448</v>
      </c>
      <c r="B143" s="1">
        <v>41647</v>
      </c>
      <c r="C143" t="s">
        <v>449</v>
      </c>
      <c r="D143">
        <v>1</v>
      </c>
      <c r="E143" t="s">
        <v>450</v>
      </c>
      <c r="F143" s="119" t="s">
        <v>841</v>
      </c>
      <c r="G143" s="119" t="s">
        <v>842</v>
      </c>
      <c r="H143" s="121">
        <v>1422.4375</v>
      </c>
      <c r="I143" s="122">
        <v>227.59</v>
      </c>
    </row>
    <row r="144" spans="1:11">
      <c r="A144" t="s">
        <v>448</v>
      </c>
      <c r="B144" s="1">
        <v>41647</v>
      </c>
      <c r="C144" t="s">
        <v>449</v>
      </c>
      <c r="D144">
        <v>1</v>
      </c>
      <c r="E144" t="s">
        <v>450</v>
      </c>
      <c r="F144" s="124" t="s">
        <v>763</v>
      </c>
      <c r="G144" s="124" t="s">
        <v>843</v>
      </c>
      <c r="H144" s="125">
        <v>380.0625</v>
      </c>
      <c r="I144" s="126">
        <v>60.81</v>
      </c>
      <c r="J144" s="13">
        <f>2128.63-H142-H143-H144</f>
        <v>5.0000000001091394E-3</v>
      </c>
      <c r="K144" s="13">
        <f>340.58-I142-I143-I144</f>
        <v>0</v>
      </c>
    </row>
    <row r="145" spans="1:12">
      <c r="A145" t="s">
        <v>646</v>
      </c>
      <c r="B145" s="1">
        <v>41668</v>
      </c>
      <c r="C145" t="s">
        <v>647</v>
      </c>
      <c r="D145">
        <v>1</v>
      </c>
      <c r="E145" t="s">
        <v>648</v>
      </c>
      <c r="F145" s="127" t="s">
        <v>844</v>
      </c>
      <c r="G145" s="127" t="s">
        <v>648</v>
      </c>
      <c r="H145" s="3">
        <f t="shared" ref="H145:H176" si="5">+I145/0.16</f>
        <v>17800</v>
      </c>
      <c r="I145" s="3">
        <v>2848</v>
      </c>
    </row>
    <row r="146" spans="1:12">
      <c r="A146" t="s">
        <v>497</v>
      </c>
      <c r="B146" s="1">
        <v>41653</v>
      </c>
      <c r="C146" t="s">
        <v>498</v>
      </c>
      <c r="D146">
        <v>1</v>
      </c>
      <c r="E146" t="s">
        <v>499</v>
      </c>
      <c r="F146" s="129" t="s">
        <v>845</v>
      </c>
      <c r="G146" s="128" t="s">
        <v>499</v>
      </c>
      <c r="H146" s="3">
        <f t="shared" si="5"/>
        <v>1002.8124999999999</v>
      </c>
      <c r="I146" s="3">
        <v>160.44999999999999</v>
      </c>
    </row>
    <row r="147" spans="1:12">
      <c r="A147" t="s">
        <v>332</v>
      </c>
      <c r="B147" s="1">
        <v>41670</v>
      </c>
      <c r="C147">
        <v>9582</v>
      </c>
      <c r="D147">
        <v>1</v>
      </c>
      <c r="E147" t="s">
        <v>333</v>
      </c>
      <c r="F147" s="130" t="s">
        <v>846</v>
      </c>
      <c r="G147" s="130" t="s">
        <v>333</v>
      </c>
      <c r="H147" s="3">
        <f t="shared" si="5"/>
        <v>972.4375</v>
      </c>
      <c r="I147" s="3">
        <v>155.59</v>
      </c>
    </row>
    <row r="148" spans="1:12">
      <c r="A148" t="s">
        <v>372</v>
      </c>
      <c r="B148" s="1">
        <v>41670</v>
      </c>
      <c r="C148">
        <v>9647</v>
      </c>
      <c r="D148">
        <v>1</v>
      </c>
      <c r="E148" t="s">
        <v>373</v>
      </c>
      <c r="F148" s="131" t="s">
        <v>847</v>
      </c>
      <c r="G148" s="132" t="s">
        <v>373</v>
      </c>
      <c r="H148" s="3">
        <f t="shared" si="5"/>
        <v>12.812499999999998</v>
      </c>
      <c r="I148" s="3">
        <v>2.0499999999999998</v>
      </c>
    </row>
    <row r="149" spans="1:12">
      <c r="A149" t="s">
        <v>348</v>
      </c>
      <c r="B149" s="1">
        <v>41670</v>
      </c>
      <c r="C149">
        <v>9627</v>
      </c>
      <c r="D149">
        <v>1</v>
      </c>
      <c r="E149" t="s">
        <v>349</v>
      </c>
      <c r="F149" s="134" t="s">
        <v>848</v>
      </c>
      <c r="G149" s="134" t="s">
        <v>349</v>
      </c>
      <c r="H149" s="3">
        <f t="shared" si="5"/>
        <v>344.8125</v>
      </c>
      <c r="I149" s="3">
        <v>55.17</v>
      </c>
    </row>
    <row r="150" spans="1:12">
      <c r="A150" t="s">
        <v>358</v>
      </c>
      <c r="B150" s="1">
        <v>41670</v>
      </c>
      <c r="C150">
        <v>9635</v>
      </c>
      <c r="D150">
        <v>1</v>
      </c>
      <c r="E150" t="s">
        <v>349</v>
      </c>
      <c r="F150" s="133" t="s">
        <v>848</v>
      </c>
      <c r="G150" s="134" t="s">
        <v>349</v>
      </c>
      <c r="H150" s="3">
        <f t="shared" si="5"/>
        <v>344.8125</v>
      </c>
      <c r="I150" s="3">
        <v>55.17</v>
      </c>
    </row>
    <row r="151" spans="1:12">
      <c r="A151" t="s">
        <v>510</v>
      </c>
      <c r="B151" s="1">
        <v>41654</v>
      </c>
      <c r="C151" t="s">
        <v>511</v>
      </c>
      <c r="D151">
        <v>2</v>
      </c>
      <c r="E151" t="s">
        <v>512</v>
      </c>
      <c r="F151" s="136" t="s">
        <v>849</v>
      </c>
      <c r="G151" s="136" t="s">
        <v>512</v>
      </c>
      <c r="H151" s="3">
        <f t="shared" si="5"/>
        <v>4324.0625</v>
      </c>
      <c r="I151" s="3">
        <v>691.85</v>
      </c>
    </row>
    <row r="152" spans="1:12">
      <c r="A152" t="s">
        <v>555</v>
      </c>
      <c r="B152" s="1">
        <v>41656</v>
      </c>
      <c r="C152" t="s">
        <v>556</v>
      </c>
      <c r="D152">
        <v>2</v>
      </c>
      <c r="E152" t="s">
        <v>512</v>
      </c>
      <c r="F152" s="135" t="s">
        <v>849</v>
      </c>
      <c r="G152" s="136" t="s">
        <v>512</v>
      </c>
      <c r="H152" s="3">
        <f t="shared" si="5"/>
        <v>9500</v>
      </c>
      <c r="I152" s="3">
        <v>1520</v>
      </c>
    </row>
    <row r="153" spans="1:12">
      <c r="A153" t="s">
        <v>649</v>
      </c>
      <c r="B153" s="1">
        <v>41668</v>
      </c>
      <c r="C153" t="s">
        <v>650</v>
      </c>
      <c r="D153">
        <v>2</v>
      </c>
      <c r="E153" t="s">
        <v>512</v>
      </c>
      <c r="F153" s="136" t="s">
        <v>849</v>
      </c>
      <c r="G153" s="136" t="s">
        <v>512</v>
      </c>
      <c r="H153" s="3">
        <f t="shared" si="5"/>
        <v>5303.25</v>
      </c>
      <c r="I153" s="3">
        <v>848.52</v>
      </c>
      <c r="J153" s="13" t="e">
        <f>+H153-#REF!</f>
        <v>#REF!</v>
      </c>
      <c r="K153" s="13" t="e">
        <f>+I153-#REF!</f>
        <v>#REF!</v>
      </c>
      <c r="L153" t="s">
        <v>850</v>
      </c>
    </row>
    <row r="154" spans="1:12">
      <c r="A154" t="s">
        <v>620</v>
      </c>
      <c r="B154" s="1">
        <v>41668</v>
      </c>
      <c r="C154" t="s">
        <v>621</v>
      </c>
      <c r="D154">
        <v>1</v>
      </c>
      <c r="E154" t="s">
        <v>622</v>
      </c>
      <c r="F154" s="25" t="s">
        <v>851</v>
      </c>
      <c r="G154" s="25" t="s">
        <v>622</v>
      </c>
      <c r="H154" s="3">
        <f t="shared" si="5"/>
        <v>11531.5</v>
      </c>
      <c r="I154" s="3">
        <v>1845.04</v>
      </c>
    </row>
    <row r="155" spans="1:12">
      <c r="A155" t="s">
        <v>421</v>
      </c>
      <c r="B155" s="1">
        <v>41659</v>
      </c>
      <c r="C155" t="s">
        <v>422</v>
      </c>
      <c r="D155">
        <v>1</v>
      </c>
      <c r="E155" t="s">
        <v>424</v>
      </c>
      <c r="H155" s="3">
        <f t="shared" si="5"/>
        <v>181034.5</v>
      </c>
      <c r="I155" s="3">
        <v>28965.52</v>
      </c>
    </row>
    <row r="156" spans="1:12">
      <c r="A156" t="s">
        <v>133</v>
      </c>
      <c r="B156" s="1">
        <v>41663</v>
      </c>
      <c r="C156" t="s">
        <v>134</v>
      </c>
      <c r="D156">
        <v>1</v>
      </c>
      <c r="E156" t="s">
        <v>135</v>
      </c>
      <c r="F156" s="25" t="s">
        <v>852</v>
      </c>
      <c r="G156" s="25" t="s">
        <v>135</v>
      </c>
      <c r="H156" s="3">
        <f t="shared" si="5"/>
        <v>1000</v>
      </c>
      <c r="I156" s="3">
        <v>160</v>
      </c>
    </row>
    <row r="157" spans="1:12">
      <c r="A157" t="s">
        <v>296</v>
      </c>
      <c r="B157" s="1">
        <v>41670</v>
      </c>
      <c r="C157" t="s">
        <v>297</v>
      </c>
      <c r="D157">
        <v>1</v>
      </c>
      <c r="E157" t="s">
        <v>135</v>
      </c>
      <c r="F157" s="25" t="s">
        <v>852</v>
      </c>
      <c r="G157" s="25" t="s">
        <v>135</v>
      </c>
      <c r="H157" s="3">
        <f t="shared" si="5"/>
        <v>350</v>
      </c>
      <c r="I157" s="3">
        <v>56</v>
      </c>
    </row>
    <row r="158" spans="1:12">
      <c r="A158" t="s">
        <v>606</v>
      </c>
      <c r="B158" s="1">
        <v>41667</v>
      </c>
      <c r="C158" t="s">
        <v>607</v>
      </c>
      <c r="D158">
        <v>2</v>
      </c>
      <c r="E158" t="s">
        <v>608</v>
      </c>
      <c r="F158" s="25" t="s">
        <v>853</v>
      </c>
      <c r="G158" s="25" t="s">
        <v>608</v>
      </c>
      <c r="H158" s="3">
        <f t="shared" si="5"/>
        <v>798</v>
      </c>
      <c r="I158" s="3">
        <v>127.68</v>
      </c>
    </row>
    <row r="159" spans="1:12">
      <c r="A159" t="s">
        <v>657</v>
      </c>
      <c r="B159" s="1">
        <v>41669</v>
      </c>
      <c r="C159" t="s">
        <v>658</v>
      </c>
      <c r="D159">
        <v>2</v>
      </c>
      <c r="E159" t="s">
        <v>608</v>
      </c>
      <c r="F159" s="25" t="s">
        <v>853</v>
      </c>
      <c r="G159" s="25" t="s">
        <v>608</v>
      </c>
      <c r="H159" s="3">
        <f t="shared" si="5"/>
        <v>4847.5</v>
      </c>
      <c r="I159" s="3">
        <v>775.6</v>
      </c>
    </row>
    <row r="160" spans="1:12">
      <c r="A160" t="s">
        <v>275</v>
      </c>
      <c r="B160" s="1">
        <v>41670</v>
      </c>
      <c r="C160">
        <v>9618</v>
      </c>
      <c r="D160">
        <v>1</v>
      </c>
      <c r="E160" t="s">
        <v>276</v>
      </c>
      <c r="F160" s="25" t="s">
        <v>854</v>
      </c>
      <c r="G160" s="25" t="s">
        <v>276</v>
      </c>
      <c r="H160" s="3">
        <f t="shared" si="5"/>
        <v>425</v>
      </c>
      <c r="I160" s="3">
        <v>68</v>
      </c>
    </row>
    <row r="161" spans="1:12">
      <c r="A161" t="s">
        <v>430</v>
      </c>
      <c r="B161" s="1">
        <v>41645</v>
      </c>
      <c r="C161" t="s">
        <v>431</v>
      </c>
      <c r="D161">
        <v>1</v>
      </c>
      <c r="E161" t="s">
        <v>432</v>
      </c>
      <c r="F161" s="25" t="s">
        <v>855</v>
      </c>
      <c r="G161" s="25" t="s">
        <v>432</v>
      </c>
      <c r="H161" s="3">
        <f t="shared" si="5"/>
        <v>8000</v>
      </c>
      <c r="I161" s="3">
        <v>1280</v>
      </c>
    </row>
    <row r="162" spans="1:12">
      <c r="A162" t="s">
        <v>479</v>
      </c>
      <c r="B162" s="1">
        <v>41649</v>
      </c>
      <c r="C162" t="s">
        <v>480</v>
      </c>
      <c r="D162">
        <v>1</v>
      </c>
      <c r="E162" t="s">
        <v>432</v>
      </c>
      <c r="F162" s="25" t="s">
        <v>855</v>
      </c>
      <c r="G162" s="25" t="s">
        <v>432</v>
      </c>
      <c r="H162" s="3">
        <f t="shared" si="5"/>
        <v>7000</v>
      </c>
      <c r="I162" s="3">
        <v>1120</v>
      </c>
    </row>
    <row r="163" spans="1:12">
      <c r="A163" t="s">
        <v>553</v>
      </c>
      <c r="B163" s="1">
        <v>41656</v>
      </c>
      <c r="C163" t="s">
        <v>554</v>
      </c>
      <c r="D163">
        <v>1</v>
      </c>
      <c r="E163" t="s">
        <v>432</v>
      </c>
      <c r="F163" s="26" t="s">
        <v>855</v>
      </c>
      <c r="G163" s="25" t="s">
        <v>432</v>
      </c>
      <c r="H163" s="3">
        <f t="shared" si="5"/>
        <v>4043.125</v>
      </c>
      <c r="I163" s="3">
        <v>646.9</v>
      </c>
    </row>
    <row r="164" spans="1:12">
      <c r="A164" t="s">
        <v>559</v>
      </c>
      <c r="B164" s="1">
        <v>41656</v>
      </c>
      <c r="C164" t="s">
        <v>560</v>
      </c>
      <c r="D164">
        <v>1</v>
      </c>
      <c r="E164" t="s">
        <v>432</v>
      </c>
      <c r="F164" s="27" t="s">
        <v>855</v>
      </c>
      <c r="G164" s="25" t="s">
        <v>432</v>
      </c>
      <c r="H164" s="3">
        <f t="shared" si="5"/>
        <v>7000</v>
      </c>
      <c r="I164" s="3">
        <v>1120</v>
      </c>
    </row>
    <row r="165" spans="1:12">
      <c r="A165" t="s">
        <v>602</v>
      </c>
      <c r="B165" s="1">
        <v>41663</v>
      </c>
      <c r="C165" t="s">
        <v>603</v>
      </c>
      <c r="D165">
        <v>1</v>
      </c>
      <c r="E165" t="s">
        <v>432</v>
      </c>
      <c r="F165" s="25" t="s">
        <v>855</v>
      </c>
      <c r="G165" s="25" t="s">
        <v>432</v>
      </c>
      <c r="H165" s="3">
        <f t="shared" si="5"/>
        <v>9310.3125</v>
      </c>
      <c r="I165" s="3">
        <v>1489.65</v>
      </c>
    </row>
    <row r="166" spans="1:12">
      <c r="A166" t="s">
        <v>659</v>
      </c>
      <c r="B166" s="1">
        <v>41670</v>
      </c>
      <c r="C166" t="s">
        <v>660</v>
      </c>
      <c r="D166">
        <v>1</v>
      </c>
      <c r="E166" t="s">
        <v>432</v>
      </c>
      <c r="F166" s="25" t="s">
        <v>855</v>
      </c>
      <c r="G166" s="25" t="s">
        <v>432</v>
      </c>
      <c r="H166" s="3">
        <f t="shared" si="5"/>
        <v>8000</v>
      </c>
      <c r="I166" s="3">
        <v>1280</v>
      </c>
    </row>
    <row r="167" spans="1:12">
      <c r="A167" t="s">
        <v>6</v>
      </c>
      <c r="B167" s="1">
        <v>41646</v>
      </c>
      <c r="C167" t="s">
        <v>7</v>
      </c>
      <c r="D167">
        <v>1</v>
      </c>
      <c r="E167" t="s">
        <v>780</v>
      </c>
      <c r="F167" s="36" t="s">
        <v>742</v>
      </c>
      <c r="G167" s="33" t="s">
        <v>743</v>
      </c>
      <c r="H167" s="3">
        <f t="shared" si="5"/>
        <v>224993.125</v>
      </c>
      <c r="I167" s="3">
        <v>35998.9</v>
      </c>
      <c r="J167" s="37"/>
    </row>
    <row r="168" spans="1:12">
      <c r="A168" t="s">
        <v>232</v>
      </c>
      <c r="B168" s="1">
        <v>41670</v>
      </c>
      <c r="C168" t="s">
        <v>233</v>
      </c>
      <c r="D168">
        <v>1</v>
      </c>
      <c r="E168" t="s">
        <v>781</v>
      </c>
      <c r="F168" s="36" t="s">
        <v>742</v>
      </c>
      <c r="G168" s="33" t="s">
        <v>743</v>
      </c>
      <c r="H168" s="3">
        <f t="shared" si="5"/>
        <v>224993.125</v>
      </c>
      <c r="I168" s="3">
        <v>35998.9</v>
      </c>
      <c r="J168" s="37"/>
    </row>
    <row r="169" spans="1:12">
      <c r="A169" t="s">
        <v>8</v>
      </c>
      <c r="B169" s="1">
        <v>41647</v>
      </c>
      <c r="C169" t="s">
        <v>9</v>
      </c>
      <c r="D169">
        <v>1</v>
      </c>
      <c r="E169" t="s">
        <v>782</v>
      </c>
      <c r="F169" s="36" t="s">
        <v>742</v>
      </c>
      <c r="G169" s="33" t="s">
        <v>743</v>
      </c>
      <c r="H169" s="3">
        <f t="shared" si="5"/>
        <v>270515.8125</v>
      </c>
      <c r="I169" s="3">
        <v>43282.53</v>
      </c>
      <c r="J169" s="37"/>
    </row>
    <row r="170" spans="1:12">
      <c r="A170" t="s">
        <v>10</v>
      </c>
      <c r="B170" s="1">
        <v>41647</v>
      </c>
      <c r="C170" t="s">
        <v>11</v>
      </c>
      <c r="D170">
        <v>1</v>
      </c>
      <c r="E170" t="s">
        <v>782</v>
      </c>
      <c r="F170" s="36" t="s">
        <v>742</v>
      </c>
      <c r="G170" s="33" t="s">
        <v>743</v>
      </c>
      <c r="H170" s="3">
        <f t="shared" si="5"/>
        <v>270515.8125</v>
      </c>
      <c r="I170" s="3">
        <v>43282.53</v>
      </c>
      <c r="J170" s="37"/>
    </row>
    <row r="171" spans="1:12">
      <c r="A171" t="s">
        <v>222</v>
      </c>
      <c r="B171" s="1">
        <v>41668</v>
      </c>
      <c r="C171" t="s">
        <v>26</v>
      </c>
      <c r="D171">
        <v>1</v>
      </c>
      <c r="E171" t="s">
        <v>223</v>
      </c>
      <c r="F171" s="15" t="s">
        <v>763</v>
      </c>
      <c r="G171" s="15" t="s">
        <v>814</v>
      </c>
      <c r="H171" s="3">
        <f t="shared" si="5"/>
        <v>286.1875</v>
      </c>
      <c r="I171" s="3">
        <v>45.79</v>
      </c>
    </row>
    <row r="172" spans="1:12">
      <c r="A172" t="s">
        <v>99</v>
      </c>
      <c r="B172" s="1">
        <v>41662</v>
      </c>
      <c r="C172" t="s">
        <v>100</v>
      </c>
      <c r="D172">
        <v>1</v>
      </c>
      <c r="E172" t="s">
        <v>101</v>
      </c>
      <c r="H172" s="3">
        <f t="shared" si="5"/>
        <v>192568.9375</v>
      </c>
      <c r="I172" s="3">
        <v>30811.03</v>
      </c>
    </row>
    <row r="173" spans="1:12">
      <c r="A173" t="s">
        <v>246</v>
      </c>
      <c r="B173" s="1">
        <v>41670</v>
      </c>
      <c r="C173" t="s">
        <v>247</v>
      </c>
      <c r="D173">
        <v>1</v>
      </c>
      <c r="E173" t="s">
        <v>248</v>
      </c>
      <c r="H173" s="3">
        <f t="shared" si="5"/>
        <v>800000</v>
      </c>
      <c r="I173" s="3">
        <v>128000</v>
      </c>
    </row>
    <row r="174" spans="1:12">
      <c r="A174" t="s">
        <v>249</v>
      </c>
      <c r="B174" s="1">
        <v>41670</v>
      </c>
      <c r="C174" t="s">
        <v>250</v>
      </c>
      <c r="D174">
        <v>1</v>
      </c>
      <c r="E174" t="s">
        <v>248</v>
      </c>
      <c r="H174" s="3">
        <f t="shared" si="5"/>
        <v>800000</v>
      </c>
      <c r="I174" s="3">
        <v>128000</v>
      </c>
    </row>
    <row r="175" spans="1:12">
      <c r="A175" t="s">
        <v>673</v>
      </c>
      <c r="B175" s="1">
        <v>41670</v>
      </c>
      <c r="C175" t="s">
        <v>674</v>
      </c>
      <c r="D175">
        <v>1</v>
      </c>
      <c r="E175" t="s">
        <v>675</v>
      </c>
      <c r="F175" s="147" t="s">
        <v>974</v>
      </c>
      <c r="G175" s="148" t="s">
        <v>975</v>
      </c>
      <c r="H175" s="3">
        <f t="shared" si="5"/>
        <v>107142.875</v>
      </c>
      <c r="I175" s="3">
        <v>17142.86</v>
      </c>
      <c r="J175" s="13" t="e">
        <f>+H175-#REF!</f>
        <v>#REF!</v>
      </c>
      <c r="K175" s="13" t="e">
        <f>+I175-#REF!</f>
        <v>#REF!</v>
      </c>
      <c r="L175" t="s">
        <v>850</v>
      </c>
    </row>
    <row r="176" spans="1:12">
      <c r="A176" t="s">
        <v>54</v>
      </c>
      <c r="B176" s="1">
        <v>41656</v>
      </c>
      <c r="C176" t="s">
        <v>55</v>
      </c>
      <c r="D176">
        <v>1</v>
      </c>
      <c r="E176" t="s">
        <v>56</v>
      </c>
      <c r="H176" s="3">
        <f t="shared" si="5"/>
        <v>9844.1875</v>
      </c>
      <c r="I176" s="3">
        <v>1575.07</v>
      </c>
    </row>
    <row r="177" spans="1:12">
      <c r="A177" t="s">
        <v>0</v>
      </c>
      <c r="B177" s="1">
        <v>41646</v>
      </c>
      <c r="C177" t="s">
        <v>1</v>
      </c>
      <c r="D177">
        <v>1</v>
      </c>
      <c r="E177" t="s">
        <v>2</v>
      </c>
      <c r="H177" s="3">
        <f t="shared" ref="H177:H208" si="6">+I177/0.16</f>
        <v>1362.9375</v>
      </c>
      <c r="I177" s="3">
        <v>218.07</v>
      </c>
    </row>
    <row r="178" spans="1:12">
      <c r="A178" t="s">
        <v>3</v>
      </c>
      <c r="B178" s="1">
        <v>41646</v>
      </c>
      <c r="C178" t="s">
        <v>4</v>
      </c>
      <c r="D178">
        <v>1</v>
      </c>
      <c r="E178" t="s">
        <v>5</v>
      </c>
      <c r="H178" s="3">
        <f t="shared" si="6"/>
        <v>2474.8125</v>
      </c>
      <c r="I178" s="3">
        <v>395.97</v>
      </c>
    </row>
    <row r="179" spans="1:12">
      <c r="A179" t="s">
        <v>18</v>
      </c>
      <c r="B179" s="1">
        <v>41649</v>
      </c>
      <c r="C179" t="s">
        <v>19</v>
      </c>
      <c r="D179">
        <v>1</v>
      </c>
      <c r="E179" t="s">
        <v>20</v>
      </c>
      <c r="H179" s="3">
        <f t="shared" si="6"/>
        <v>14964.0625</v>
      </c>
      <c r="I179" s="3">
        <v>2394.25</v>
      </c>
    </row>
    <row r="180" spans="1:12">
      <c r="A180" t="s">
        <v>670</v>
      </c>
      <c r="B180" s="1">
        <v>41670</v>
      </c>
      <c r="C180" t="s">
        <v>671</v>
      </c>
      <c r="D180">
        <v>1</v>
      </c>
      <c r="E180" t="s">
        <v>672</v>
      </c>
      <c r="F180" s="147" t="s">
        <v>972</v>
      </c>
      <c r="G180" s="148" t="s">
        <v>973</v>
      </c>
      <c r="H180" s="3">
        <f t="shared" si="6"/>
        <v>107142.875</v>
      </c>
      <c r="I180" s="3">
        <v>17142.86</v>
      </c>
      <c r="J180" s="13" t="e">
        <f>+H180-#REF!</f>
        <v>#REF!</v>
      </c>
      <c r="K180" s="13" t="e">
        <f>+I180-#REF!</f>
        <v>#REF!</v>
      </c>
      <c r="L180" t="s">
        <v>850</v>
      </c>
    </row>
    <row r="181" spans="1:12">
      <c r="A181" t="s">
        <v>104</v>
      </c>
      <c r="B181" s="1">
        <v>41662</v>
      </c>
      <c r="C181" t="s">
        <v>105</v>
      </c>
      <c r="D181">
        <v>1</v>
      </c>
      <c r="E181" t="s">
        <v>106</v>
      </c>
      <c r="F181" s="25" t="s">
        <v>856</v>
      </c>
      <c r="G181" s="25" t="s">
        <v>857</v>
      </c>
      <c r="H181" s="3">
        <f t="shared" si="6"/>
        <v>179.3125</v>
      </c>
      <c r="I181" s="3">
        <v>28.69</v>
      </c>
    </row>
    <row r="182" spans="1:12">
      <c r="A182" t="s">
        <v>107</v>
      </c>
      <c r="B182" s="1">
        <v>41662</v>
      </c>
      <c r="C182" t="s">
        <v>108</v>
      </c>
      <c r="D182">
        <v>1</v>
      </c>
      <c r="E182" t="s">
        <v>109</v>
      </c>
      <c r="F182" s="25" t="s">
        <v>858</v>
      </c>
      <c r="G182" s="25" t="s">
        <v>859</v>
      </c>
      <c r="H182" s="3">
        <f t="shared" si="6"/>
        <v>20517.5</v>
      </c>
      <c r="I182" s="3">
        <v>3282.8</v>
      </c>
    </row>
    <row r="183" spans="1:12">
      <c r="A183" t="s">
        <v>283</v>
      </c>
      <c r="B183" s="1">
        <v>41670</v>
      </c>
      <c r="C183" t="s">
        <v>284</v>
      </c>
      <c r="D183">
        <v>1</v>
      </c>
      <c r="E183" t="s">
        <v>109</v>
      </c>
      <c r="F183" s="25" t="s">
        <v>858</v>
      </c>
      <c r="G183" s="25" t="s">
        <v>860</v>
      </c>
      <c r="H183" s="3">
        <f t="shared" si="6"/>
        <v>3571.125</v>
      </c>
      <c r="I183" s="3">
        <v>571.38</v>
      </c>
    </row>
    <row r="184" spans="1:12">
      <c r="A184" t="s">
        <v>285</v>
      </c>
      <c r="B184" s="1">
        <v>41670</v>
      </c>
      <c r="C184" t="s">
        <v>286</v>
      </c>
      <c r="D184">
        <v>1</v>
      </c>
      <c r="E184" t="s">
        <v>109</v>
      </c>
      <c r="F184" s="25" t="s">
        <v>858</v>
      </c>
      <c r="G184" s="25" t="s">
        <v>860</v>
      </c>
      <c r="H184" s="3">
        <f t="shared" si="6"/>
        <v>1587.625</v>
      </c>
      <c r="I184" s="3">
        <v>254.02</v>
      </c>
    </row>
    <row r="185" spans="1:12">
      <c r="A185" t="s">
        <v>287</v>
      </c>
      <c r="B185" s="1">
        <v>41670</v>
      </c>
      <c r="C185" t="s">
        <v>288</v>
      </c>
      <c r="D185">
        <v>1</v>
      </c>
      <c r="E185" t="s">
        <v>109</v>
      </c>
      <c r="F185" s="25" t="s">
        <v>858</v>
      </c>
      <c r="G185" s="25" t="s">
        <v>860</v>
      </c>
      <c r="H185" s="3">
        <f t="shared" si="6"/>
        <v>16143.312499999998</v>
      </c>
      <c r="I185" s="3">
        <v>2582.9299999999998</v>
      </c>
    </row>
    <row r="186" spans="1:12">
      <c r="A186" t="s">
        <v>114</v>
      </c>
      <c r="B186" s="1">
        <v>41663</v>
      </c>
      <c r="C186" t="s">
        <v>115</v>
      </c>
      <c r="D186">
        <v>1</v>
      </c>
      <c r="E186" t="s">
        <v>116</v>
      </c>
      <c r="F186" s="25" t="s">
        <v>861</v>
      </c>
      <c r="G186" s="25" t="s">
        <v>116</v>
      </c>
      <c r="H186" s="3">
        <f t="shared" si="6"/>
        <v>612.25</v>
      </c>
      <c r="I186" s="3">
        <v>97.96</v>
      </c>
    </row>
    <row r="187" spans="1:12">
      <c r="A187" t="s">
        <v>117</v>
      </c>
      <c r="B187" s="1">
        <v>41663</v>
      </c>
      <c r="C187" t="s">
        <v>118</v>
      </c>
      <c r="D187">
        <v>1</v>
      </c>
      <c r="E187" t="s">
        <v>116</v>
      </c>
      <c r="F187" s="25" t="s">
        <v>861</v>
      </c>
      <c r="G187" s="25" t="s">
        <v>116</v>
      </c>
      <c r="H187" s="3">
        <f t="shared" si="6"/>
        <v>612.25</v>
      </c>
      <c r="I187" s="3">
        <v>97.96</v>
      </c>
    </row>
    <row r="188" spans="1:12">
      <c r="A188" t="s">
        <v>588</v>
      </c>
      <c r="B188" s="1">
        <v>41662</v>
      </c>
      <c r="C188" t="s">
        <v>589</v>
      </c>
      <c r="D188">
        <v>2</v>
      </c>
      <c r="E188" t="s">
        <v>590</v>
      </c>
      <c r="F188" s="25" t="s">
        <v>861</v>
      </c>
      <c r="G188" s="25" t="s">
        <v>590</v>
      </c>
      <c r="H188" s="3">
        <f t="shared" si="6"/>
        <v>3061.1875</v>
      </c>
      <c r="I188" s="3">
        <v>489.79</v>
      </c>
    </row>
    <row r="189" spans="1:12">
      <c r="A189" t="s">
        <v>337</v>
      </c>
      <c r="B189" s="1">
        <v>41670</v>
      </c>
      <c r="C189">
        <v>9585</v>
      </c>
      <c r="D189">
        <v>1</v>
      </c>
      <c r="E189" t="s">
        <v>338</v>
      </c>
      <c r="F189" s="25" t="s">
        <v>862</v>
      </c>
      <c r="G189" s="25" t="s">
        <v>338</v>
      </c>
      <c r="H189" s="3">
        <f t="shared" si="6"/>
        <v>479.6875</v>
      </c>
      <c r="I189" s="3">
        <v>76.75</v>
      </c>
    </row>
    <row r="190" spans="1:12">
      <c r="A190" t="s">
        <v>289</v>
      </c>
      <c r="B190" s="1">
        <v>41670</v>
      </c>
      <c r="C190" t="s">
        <v>290</v>
      </c>
      <c r="D190">
        <v>1</v>
      </c>
      <c r="E190" t="s">
        <v>291</v>
      </c>
      <c r="F190" s="25" t="s">
        <v>863</v>
      </c>
      <c r="G190" s="25" t="s">
        <v>291</v>
      </c>
      <c r="H190" s="3">
        <f t="shared" si="6"/>
        <v>279.625</v>
      </c>
      <c r="I190" s="3">
        <v>44.74</v>
      </c>
    </row>
    <row r="191" spans="1:12">
      <c r="A191" t="s">
        <v>292</v>
      </c>
      <c r="B191" s="1">
        <v>41670</v>
      </c>
      <c r="C191" t="s">
        <v>293</v>
      </c>
      <c r="D191">
        <v>1</v>
      </c>
      <c r="E191" t="s">
        <v>291</v>
      </c>
      <c r="F191" s="25" t="s">
        <v>863</v>
      </c>
      <c r="G191" s="25" t="s">
        <v>291</v>
      </c>
      <c r="H191" s="3">
        <f t="shared" si="6"/>
        <v>310.6875</v>
      </c>
      <c r="I191" s="3">
        <v>49.71</v>
      </c>
    </row>
    <row r="192" spans="1:12">
      <c r="A192" t="s">
        <v>542</v>
      </c>
      <c r="B192" s="1">
        <v>41655</v>
      </c>
      <c r="C192" t="s">
        <v>543</v>
      </c>
      <c r="D192">
        <v>1</v>
      </c>
      <c r="E192" t="s">
        <v>544</v>
      </c>
      <c r="F192" s="25" t="s">
        <v>864</v>
      </c>
      <c r="G192" s="25" t="s">
        <v>544</v>
      </c>
      <c r="H192" s="3">
        <f t="shared" si="6"/>
        <v>7431.1875</v>
      </c>
      <c r="I192" s="3">
        <v>1188.99</v>
      </c>
    </row>
    <row r="193" spans="1:9">
      <c r="A193" t="s">
        <v>346</v>
      </c>
      <c r="B193" s="1">
        <v>41670</v>
      </c>
      <c r="C193">
        <v>9626</v>
      </c>
      <c r="D193">
        <v>1</v>
      </c>
      <c r="E193" t="s">
        <v>347</v>
      </c>
      <c r="F193" s="25" t="s">
        <v>865</v>
      </c>
      <c r="G193" s="25" t="s">
        <v>347</v>
      </c>
      <c r="H193" s="3">
        <f t="shared" si="6"/>
        <v>358.5</v>
      </c>
      <c r="I193" s="3">
        <v>57.36</v>
      </c>
    </row>
    <row r="194" spans="1:9">
      <c r="A194" t="s">
        <v>638</v>
      </c>
      <c r="B194" s="1">
        <v>41668</v>
      </c>
      <c r="C194" t="s">
        <v>639</v>
      </c>
      <c r="D194">
        <v>1</v>
      </c>
      <c r="E194" t="s">
        <v>640</v>
      </c>
      <c r="F194" s="25" t="s">
        <v>866</v>
      </c>
      <c r="G194" s="25" t="s">
        <v>640</v>
      </c>
      <c r="H194" s="3">
        <f t="shared" si="6"/>
        <v>8073.125</v>
      </c>
      <c r="I194" s="3">
        <v>1291.7</v>
      </c>
    </row>
    <row r="195" spans="1:9">
      <c r="A195" t="s">
        <v>259</v>
      </c>
      <c r="B195" s="1">
        <v>41670</v>
      </c>
      <c r="C195">
        <v>9599</v>
      </c>
      <c r="D195">
        <v>1</v>
      </c>
      <c r="E195" t="s">
        <v>260</v>
      </c>
      <c r="F195" s="25" t="s">
        <v>867</v>
      </c>
      <c r="G195" s="25" t="s">
        <v>260</v>
      </c>
      <c r="H195" s="3">
        <f t="shared" si="6"/>
        <v>50</v>
      </c>
      <c r="I195" s="3">
        <v>8</v>
      </c>
    </row>
    <row r="196" spans="1:9">
      <c r="A196" t="s">
        <v>362</v>
      </c>
      <c r="B196" s="1">
        <v>41670</v>
      </c>
      <c r="C196" t="s">
        <v>363</v>
      </c>
      <c r="D196">
        <v>1</v>
      </c>
      <c r="E196" t="s">
        <v>364</v>
      </c>
      <c r="F196" s="15" t="s">
        <v>868</v>
      </c>
      <c r="G196" t="s">
        <v>364</v>
      </c>
      <c r="H196" s="3">
        <f t="shared" si="6"/>
        <v>172.4375</v>
      </c>
      <c r="I196" s="3">
        <v>27.59</v>
      </c>
    </row>
    <row r="197" spans="1:9">
      <c r="A197" t="s">
        <v>516</v>
      </c>
      <c r="B197" s="1">
        <v>41655</v>
      </c>
      <c r="C197" t="s">
        <v>517</v>
      </c>
      <c r="D197">
        <v>1</v>
      </c>
      <c r="E197" t="s">
        <v>518</v>
      </c>
      <c r="F197" s="25" t="s">
        <v>869</v>
      </c>
      <c r="G197" s="25" t="s">
        <v>518</v>
      </c>
      <c r="H197" s="3">
        <f t="shared" si="6"/>
        <v>2710.5</v>
      </c>
      <c r="I197" s="3">
        <v>433.68</v>
      </c>
    </row>
    <row r="198" spans="1:9">
      <c r="A198" t="s">
        <v>613</v>
      </c>
      <c r="B198" s="1">
        <v>41667</v>
      </c>
      <c r="C198" t="s">
        <v>614</v>
      </c>
      <c r="D198">
        <v>1</v>
      </c>
      <c r="E198" t="s">
        <v>535</v>
      </c>
      <c r="F198" s="33" t="s">
        <v>764</v>
      </c>
      <c r="G198" s="33" t="s">
        <v>535</v>
      </c>
      <c r="H198" s="3">
        <f t="shared" si="6"/>
        <v>22892.1875</v>
      </c>
      <c r="I198" s="3">
        <v>3662.75</v>
      </c>
    </row>
    <row r="199" spans="1:9">
      <c r="A199" t="s">
        <v>623</v>
      </c>
      <c r="B199" s="1">
        <v>41668</v>
      </c>
      <c r="C199" t="s">
        <v>624</v>
      </c>
      <c r="D199">
        <v>1</v>
      </c>
      <c r="E199" t="s">
        <v>535</v>
      </c>
      <c r="F199" s="33" t="s">
        <v>764</v>
      </c>
      <c r="G199" s="33" t="s">
        <v>535</v>
      </c>
      <c r="H199" s="3">
        <f t="shared" si="6"/>
        <v>860</v>
      </c>
      <c r="I199" s="3">
        <v>137.6</v>
      </c>
    </row>
    <row r="200" spans="1:9">
      <c r="A200" t="s">
        <v>641</v>
      </c>
      <c r="B200" s="1">
        <v>41668</v>
      </c>
      <c r="C200" t="s">
        <v>642</v>
      </c>
      <c r="D200">
        <v>1</v>
      </c>
      <c r="E200" t="s">
        <v>643</v>
      </c>
      <c r="F200" s="25" t="s">
        <v>870</v>
      </c>
      <c r="G200" s="25" t="s">
        <v>643</v>
      </c>
      <c r="H200" s="3">
        <f t="shared" si="6"/>
        <v>2330</v>
      </c>
      <c r="I200" s="3">
        <v>372.8</v>
      </c>
    </row>
    <row r="201" spans="1:9">
      <c r="A201" t="s">
        <v>594</v>
      </c>
      <c r="B201" s="1">
        <v>41662</v>
      </c>
      <c r="C201" t="s">
        <v>595</v>
      </c>
      <c r="D201">
        <v>1</v>
      </c>
      <c r="E201" t="s">
        <v>596</v>
      </c>
      <c r="F201" s="25" t="s">
        <v>871</v>
      </c>
      <c r="G201" s="25" t="s">
        <v>596</v>
      </c>
      <c r="H201" s="3">
        <f t="shared" si="6"/>
        <v>295</v>
      </c>
      <c r="I201" s="3">
        <v>47.2</v>
      </c>
    </row>
    <row r="202" spans="1:9">
      <c r="A202" t="s">
        <v>591</v>
      </c>
      <c r="B202" s="1">
        <v>41662</v>
      </c>
      <c r="C202" t="s">
        <v>592</v>
      </c>
      <c r="D202">
        <v>1</v>
      </c>
      <c r="E202" t="s">
        <v>593</v>
      </c>
      <c r="F202" s="25" t="s">
        <v>872</v>
      </c>
      <c r="G202" s="25" t="s">
        <v>593</v>
      </c>
      <c r="H202" s="3">
        <f t="shared" si="6"/>
        <v>4045.4999999999995</v>
      </c>
      <c r="I202" s="3">
        <v>647.28</v>
      </c>
    </row>
    <row r="203" spans="1:9">
      <c r="A203" t="s">
        <v>335</v>
      </c>
      <c r="B203" s="1">
        <v>41670</v>
      </c>
      <c r="C203">
        <v>9584</v>
      </c>
      <c r="D203">
        <v>1</v>
      </c>
      <c r="E203" t="s">
        <v>336</v>
      </c>
      <c r="F203" s="25" t="s">
        <v>873</v>
      </c>
      <c r="G203" s="25" t="s">
        <v>336</v>
      </c>
      <c r="H203" s="3">
        <f t="shared" si="6"/>
        <v>222.5</v>
      </c>
      <c r="I203" s="3">
        <v>35.6</v>
      </c>
    </row>
    <row r="204" spans="1:9">
      <c r="A204" t="s">
        <v>352</v>
      </c>
      <c r="B204" s="1">
        <v>41670</v>
      </c>
      <c r="C204">
        <v>9630</v>
      </c>
      <c r="D204">
        <v>1</v>
      </c>
      <c r="E204" t="s">
        <v>336</v>
      </c>
      <c r="F204" s="25" t="s">
        <v>873</v>
      </c>
      <c r="G204" s="25" t="s">
        <v>336</v>
      </c>
      <c r="H204" s="3">
        <f t="shared" si="6"/>
        <v>59.25</v>
      </c>
      <c r="I204" s="3">
        <v>9.48</v>
      </c>
    </row>
    <row r="205" spans="1:9">
      <c r="A205" t="s">
        <v>513</v>
      </c>
      <c r="B205" s="1">
        <v>41655</v>
      </c>
      <c r="C205" t="s">
        <v>514</v>
      </c>
      <c r="D205">
        <v>2</v>
      </c>
      <c r="E205" t="s">
        <v>515</v>
      </c>
      <c r="F205" s="25" t="s">
        <v>874</v>
      </c>
      <c r="G205" s="25" t="s">
        <v>515</v>
      </c>
      <c r="H205" s="3">
        <f t="shared" si="6"/>
        <v>200</v>
      </c>
      <c r="I205" s="3">
        <v>32</v>
      </c>
    </row>
    <row r="206" spans="1:9">
      <c r="A206" t="s">
        <v>631</v>
      </c>
      <c r="B206" s="1">
        <v>41668</v>
      </c>
      <c r="C206" t="s">
        <v>632</v>
      </c>
      <c r="D206">
        <v>2</v>
      </c>
      <c r="E206" t="s">
        <v>515</v>
      </c>
      <c r="F206" s="25" t="s">
        <v>874</v>
      </c>
      <c r="G206" s="16" t="s">
        <v>515</v>
      </c>
      <c r="H206" s="3">
        <f t="shared" si="6"/>
        <v>3100</v>
      </c>
      <c r="I206" s="3">
        <v>496</v>
      </c>
    </row>
    <row r="207" spans="1:9">
      <c r="A207" t="s">
        <v>525</v>
      </c>
      <c r="B207" s="1">
        <v>41655</v>
      </c>
      <c r="C207" t="s">
        <v>526</v>
      </c>
      <c r="D207">
        <v>1</v>
      </c>
      <c r="E207" t="s">
        <v>527</v>
      </c>
      <c r="F207" s="25" t="s">
        <v>875</v>
      </c>
      <c r="G207" s="25" t="s">
        <v>527</v>
      </c>
      <c r="H207" s="3">
        <f t="shared" si="6"/>
        <v>19400</v>
      </c>
      <c r="I207" s="3">
        <v>3104</v>
      </c>
    </row>
    <row r="208" spans="1:9">
      <c r="A208" t="s">
        <v>494</v>
      </c>
      <c r="B208" s="1">
        <v>41653</v>
      </c>
      <c r="C208" t="s">
        <v>495</v>
      </c>
      <c r="D208">
        <v>1</v>
      </c>
      <c r="E208" t="s">
        <v>496</v>
      </c>
      <c r="F208" s="27" t="s">
        <v>876</v>
      </c>
      <c r="G208" s="25" t="s">
        <v>496</v>
      </c>
      <c r="H208" s="3">
        <f t="shared" si="6"/>
        <v>2122.75</v>
      </c>
      <c r="I208" s="3">
        <v>339.64</v>
      </c>
    </row>
    <row r="209" spans="1:9">
      <c r="A209" t="s">
        <v>651</v>
      </c>
      <c r="B209" s="1">
        <v>41668</v>
      </c>
      <c r="C209" t="s">
        <v>652</v>
      </c>
      <c r="D209">
        <v>1</v>
      </c>
      <c r="E209" t="s">
        <v>496</v>
      </c>
      <c r="F209" s="25" t="s">
        <v>876</v>
      </c>
      <c r="G209" s="25" t="s">
        <v>496</v>
      </c>
      <c r="H209" s="3">
        <f t="shared" ref="H209:H240" si="7">+I209/0.16</f>
        <v>480.875</v>
      </c>
      <c r="I209" s="3">
        <v>76.94</v>
      </c>
    </row>
    <row r="210" spans="1:9">
      <c r="A210" t="s">
        <v>376</v>
      </c>
      <c r="B210" s="1">
        <v>41670</v>
      </c>
      <c r="C210">
        <v>9650</v>
      </c>
      <c r="D210">
        <v>1</v>
      </c>
      <c r="E210" t="s">
        <v>377</v>
      </c>
      <c r="F210" s="26" t="s">
        <v>876</v>
      </c>
      <c r="G210" s="25" t="s">
        <v>377</v>
      </c>
      <c r="H210" s="3">
        <f t="shared" si="7"/>
        <v>378.4375</v>
      </c>
      <c r="I210" s="3">
        <v>60.55</v>
      </c>
    </row>
    <row r="211" spans="1:9">
      <c r="A211" t="s">
        <v>257</v>
      </c>
      <c r="B211" s="1">
        <v>41670</v>
      </c>
      <c r="C211">
        <v>9597</v>
      </c>
      <c r="D211">
        <v>1</v>
      </c>
      <c r="E211" t="s">
        <v>258</v>
      </c>
      <c r="F211" s="25" t="s">
        <v>877</v>
      </c>
      <c r="G211" s="25" t="s">
        <v>258</v>
      </c>
      <c r="H211" s="3">
        <f t="shared" si="7"/>
        <v>190.8125</v>
      </c>
      <c r="I211" s="3">
        <v>30.53</v>
      </c>
    </row>
    <row r="212" spans="1:9">
      <c r="A212" t="s">
        <v>350</v>
      </c>
      <c r="B212" s="1">
        <v>41670</v>
      </c>
      <c r="C212">
        <v>9629</v>
      </c>
      <c r="D212">
        <v>1</v>
      </c>
      <c r="E212" t="s">
        <v>351</v>
      </c>
      <c r="F212" s="25" t="s">
        <v>878</v>
      </c>
      <c r="G212" s="25" t="s">
        <v>351</v>
      </c>
      <c r="H212" s="3">
        <f t="shared" si="7"/>
        <v>80</v>
      </c>
      <c r="I212" s="3">
        <v>12.8</v>
      </c>
    </row>
    <row r="213" spans="1:9">
      <c r="A213" t="s">
        <v>220</v>
      </c>
      <c r="B213" s="1">
        <v>41668</v>
      </c>
      <c r="C213" t="s">
        <v>221</v>
      </c>
      <c r="D213">
        <v>1</v>
      </c>
      <c r="E213" t="s">
        <v>753</v>
      </c>
      <c r="F213" s="32" t="s">
        <v>744</v>
      </c>
      <c r="G213" s="33" t="s">
        <v>745</v>
      </c>
      <c r="H213" s="3">
        <f t="shared" si="7"/>
        <v>295037.6875</v>
      </c>
      <c r="I213" s="3">
        <v>47206.03</v>
      </c>
    </row>
    <row r="214" spans="1:9">
      <c r="A214" t="s">
        <v>102</v>
      </c>
      <c r="B214" s="1">
        <v>41662</v>
      </c>
      <c r="C214" t="s">
        <v>103</v>
      </c>
      <c r="D214">
        <v>1</v>
      </c>
      <c r="E214" t="s">
        <v>752</v>
      </c>
      <c r="F214" s="32" t="s">
        <v>744</v>
      </c>
      <c r="G214" s="33" t="s">
        <v>745</v>
      </c>
      <c r="H214" s="3">
        <f t="shared" si="7"/>
        <v>295037.5</v>
      </c>
      <c r="I214" s="3">
        <v>47206</v>
      </c>
    </row>
    <row r="215" spans="1:9">
      <c r="A215" t="s">
        <v>23</v>
      </c>
      <c r="B215" s="1">
        <v>41653</v>
      </c>
      <c r="C215" t="s">
        <v>24</v>
      </c>
      <c r="D215">
        <v>1</v>
      </c>
      <c r="E215" t="s">
        <v>751</v>
      </c>
      <c r="F215" s="32" t="s">
        <v>744</v>
      </c>
      <c r="G215" s="33" t="s">
        <v>745</v>
      </c>
      <c r="H215" s="3">
        <f t="shared" si="7"/>
        <v>210084.93749999997</v>
      </c>
      <c r="I215" s="3">
        <v>33613.589999999997</v>
      </c>
    </row>
    <row r="216" spans="1:9">
      <c r="A216" t="s">
        <v>110</v>
      </c>
      <c r="B216" s="1">
        <v>41662</v>
      </c>
      <c r="C216" t="s">
        <v>111</v>
      </c>
      <c r="D216">
        <v>1</v>
      </c>
      <c r="E216" t="s">
        <v>750</v>
      </c>
      <c r="F216" s="32" t="s">
        <v>744</v>
      </c>
      <c r="G216" s="33" t="s">
        <v>745</v>
      </c>
      <c r="H216" s="3">
        <f t="shared" si="7"/>
        <v>297961.625</v>
      </c>
      <c r="I216" s="3">
        <v>47673.86</v>
      </c>
    </row>
    <row r="217" spans="1:9">
      <c r="A217" t="s">
        <v>238</v>
      </c>
      <c r="B217" s="1">
        <v>41670</v>
      </c>
      <c r="C217" t="s">
        <v>239</v>
      </c>
      <c r="D217">
        <v>1</v>
      </c>
      <c r="E217" t="s">
        <v>749</v>
      </c>
      <c r="F217" s="32" t="s">
        <v>744</v>
      </c>
      <c r="G217" s="33" t="s">
        <v>745</v>
      </c>
      <c r="H217" s="3">
        <f t="shared" si="7"/>
        <v>202725.8125</v>
      </c>
      <c r="I217" s="3">
        <v>32436.13</v>
      </c>
    </row>
    <row r="218" spans="1:9">
      <c r="A218" t="s">
        <v>95</v>
      </c>
      <c r="B218" s="1">
        <v>41660</v>
      </c>
      <c r="C218" t="s">
        <v>96</v>
      </c>
      <c r="D218">
        <v>1</v>
      </c>
      <c r="E218" t="s">
        <v>748</v>
      </c>
      <c r="F218" s="32" t="s">
        <v>744</v>
      </c>
      <c r="G218" s="33" t="s">
        <v>745</v>
      </c>
      <c r="H218" s="3">
        <f t="shared" si="7"/>
        <v>181607.125</v>
      </c>
      <c r="I218" s="3">
        <v>29057.14</v>
      </c>
    </row>
    <row r="219" spans="1:9">
      <c r="A219" t="s">
        <v>224</v>
      </c>
      <c r="B219" s="1">
        <v>41669</v>
      </c>
      <c r="C219" t="s">
        <v>225</v>
      </c>
      <c r="D219">
        <v>1</v>
      </c>
      <c r="E219" t="s">
        <v>747</v>
      </c>
      <c r="F219" s="32" t="s">
        <v>744</v>
      </c>
      <c r="G219" s="33" t="s">
        <v>745</v>
      </c>
      <c r="H219" s="3">
        <f t="shared" si="7"/>
        <v>270515.8125</v>
      </c>
      <c r="I219" s="3">
        <v>43282.53</v>
      </c>
    </row>
    <row r="220" spans="1:9">
      <c r="A220" t="s">
        <v>442</v>
      </c>
      <c r="B220" s="1">
        <v>41647</v>
      </c>
      <c r="C220" t="s">
        <v>443</v>
      </c>
      <c r="D220">
        <v>2</v>
      </c>
      <c r="E220" t="s">
        <v>444</v>
      </c>
      <c r="F220" s="26" t="s">
        <v>879</v>
      </c>
      <c r="G220" s="25" t="s">
        <v>444</v>
      </c>
      <c r="H220" s="3">
        <f t="shared" si="7"/>
        <v>700</v>
      </c>
      <c r="I220" s="3">
        <v>112</v>
      </c>
    </row>
    <row r="221" spans="1:9">
      <c r="A221" t="s">
        <v>468</v>
      </c>
      <c r="B221" s="1">
        <v>41649</v>
      </c>
      <c r="C221" t="s">
        <v>469</v>
      </c>
      <c r="D221">
        <v>1</v>
      </c>
      <c r="E221" t="s">
        <v>470</v>
      </c>
      <c r="F221" s="25" t="s">
        <v>880</v>
      </c>
      <c r="G221" s="25" t="s">
        <v>470</v>
      </c>
      <c r="H221" s="3">
        <f t="shared" si="7"/>
        <v>9233.3125</v>
      </c>
      <c r="I221" s="3">
        <v>1477.33</v>
      </c>
    </row>
    <row r="222" spans="1:9">
      <c r="A222" t="s">
        <v>578</v>
      </c>
      <c r="B222" s="1">
        <v>41659</v>
      </c>
      <c r="C222" t="s">
        <v>579</v>
      </c>
      <c r="D222">
        <v>1</v>
      </c>
      <c r="E222" t="s">
        <v>470</v>
      </c>
      <c r="F222" s="27" t="s">
        <v>880</v>
      </c>
      <c r="G222" s="25" t="s">
        <v>470</v>
      </c>
      <c r="H222" s="3">
        <f t="shared" si="7"/>
        <v>10602.125</v>
      </c>
      <c r="I222" s="3">
        <v>1696.34</v>
      </c>
    </row>
    <row r="223" spans="1:9">
      <c r="A223" t="s">
        <v>678</v>
      </c>
      <c r="B223" s="1">
        <v>41670</v>
      </c>
      <c r="C223" t="s">
        <v>679</v>
      </c>
      <c r="D223">
        <v>1</v>
      </c>
      <c r="E223" t="s">
        <v>470</v>
      </c>
      <c r="F223" s="25" t="s">
        <v>880</v>
      </c>
      <c r="G223" s="25" t="s">
        <v>470</v>
      </c>
      <c r="H223" s="3">
        <f t="shared" si="7"/>
        <v>8873.5</v>
      </c>
      <c r="I223" s="3">
        <v>1419.76</v>
      </c>
    </row>
    <row r="224" spans="1:9">
      <c r="A224" t="s">
        <v>162</v>
      </c>
      <c r="B224" s="1">
        <v>41664</v>
      </c>
      <c r="C224" t="s">
        <v>163</v>
      </c>
      <c r="D224">
        <v>1</v>
      </c>
      <c r="E224" t="s">
        <v>746</v>
      </c>
      <c r="F224" s="33" t="s">
        <v>758</v>
      </c>
      <c r="G224" s="33" t="s">
        <v>754</v>
      </c>
      <c r="H224" s="3">
        <f t="shared" si="7"/>
        <v>168289.1875</v>
      </c>
      <c r="I224" s="3">
        <v>26926.27</v>
      </c>
    </row>
    <row r="225" spans="1:9">
      <c r="A225" t="s">
        <v>251</v>
      </c>
      <c r="B225" s="1">
        <v>41670</v>
      </c>
      <c r="C225" t="s">
        <v>252</v>
      </c>
      <c r="D225">
        <v>1</v>
      </c>
      <c r="E225" t="s">
        <v>754</v>
      </c>
      <c r="F225" s="33" t="s">
        <v>758</v>
      </c>
      <c r="G225" s="33" t="s">
        <v>754</v>
      </c>
      <c r="H225" s="3">
        <f t="shared" si="7"/>
        <v>216185.75</v>
      </c>
      <c r="I225" s="3">
        <v>34589.72</v>
      </c>
    </row>
    <row r="226" spans="1:9">
      <c r="A226" t="s">
        <v>536</v>
      </c>
      <c r="B226" s="1">
        <v>41655</v>
      </c>
      <c r="C226" t="s">
        <v>537</v>
      </c>
      <c r="D226">
        <v>1</v>
      </c>
      <c r="E226" t="s">
        <v>538</v>
      </c>
      <c r="F226" s="25" t="s">
        <v>881</v>
      </c>
      <c r="G226" s="25" t="s">
        <v>538</v>
      </c>
      <c r="H226" s="3">
        <f t="shared" si="7"/>
        <v>637</v>
      </c>
      <c r="I226" s="3">
        <v>101.92</v>
      </c>
    </row>
    <row r="227" spans="1:9">
      <c r="A227" t="s">
        <v>356</v>
      </c>
      <c r="B227" s="1">
        <v>41670</v>
      </c>
      <c r="C227">
        <v>9634</v>
      </c>
      <c r="D227">
        <v>1</v>
      </c>
      <c r="E227" t="s">
        <v>357</v>
      </c>
      <c r="F227" s="26" t="s">
        <v>882</v>
      </c>
      <c r="G227" s="25" t="s">
        <v>357</v>
      </c>
      <c r="H227" s="3">
        <f t="shared" si="7"/>
        <v>85.3125</v>
      </c>
      <c r="I227" s="3">
        <v>13.65</v>
      </c>
    </row>
    <row r="228" spans="1:9">
      <c r="A228" t="s">
        <v>151</v>
      </c>
      <c r="B228" s="1">
        <v>41663</v>
      </c>
      <c r="C228" t="s">
        <v>152</v>
      </c>
      <c r="D228">
        <v>1</v>
      </c>
      <c r="E228" t="s">
        <v>153</v>
      </c>
      <c r="F228" s="25" t="s">
        <v>883</v>
      </c>
      <c r="G228" s="25" t="s">
        <v>153</v>
      </c>
      <c r="H228" s="3">
        <f t="shared" si="7"/>
        <v>500</v>
      </c>
      <c r="I228" s="3">
        <v>80</v>
      </c>
    </row>
    <row r="229" spans="1:9">
      <c r="A229" t="s">
        <v>277</v>
      </c>
      <c r="B229" s="1">
        <v>41670</v>
      </c>
      <c r="C229">
        <v>9620</v>
      </c>
      <c r="D229">
        <v>1</v>
      </c>
      <c r="E229" t="s">
        <v>278</v>
      </c>
      <c r="F229" s="25" t="s">
        <v>884</v>
      </c>
      <c r="G229" s="25" t="s">
        <v>278</v>
      </c>
      <c r="H229" s="3">
        <f t="shared" si="7"/>
        <v>344.8125</v>
      </c>
      <c r="I229" s="3">
        <v>55.17</v>
      </c>
    </row>
    <row r="230" spans="1:9">
      <c r="A230" t="s">
        <v>503</v>
      </c>
      <c r="B230" s="1">
        <v>41653</v>
      </c>
      <c r="C230" t="s">
        <v>504</v>
      </c>
      <c r="D230">
        <v>1</v>
      </c>
      <c r="E230" t="s">
        <v>505</v>
      </c>
      <c r="F230" s="27" t="s">
        <v>885</v>
      </c>
      <c r="G230" s="25" t="s">
        <v>505</v>
      </c>
      <c r="H230" s="3">
        <f t="shared" si="7"/>
        <v>3947.625</v>
      </c>
      <c r="I230" s="3">
        <v>631.62</v>
      </c>
    </row>
    <row r="231" spans="1:9">
      <c r="A231" t="s">
        <v>695</v>
      </c>
      <c r="B231" s="1">
        <v>41670</v>
      </c>
      <c r="C231" t="s">
        <v>696</v>
      </c>
      <c r="D231">
        <v>1</v>
      </c>
      <c r="E231" t="s">
        <v>697</v>
      </c>
      <c r="F231" s="72" t="s">
        <v>831</v>
      </c>
      <c r="G231" s="8" t="s">
        <v>467</v>
      </c>
      <c r="H231" s="3">
        <f t="shared" si="7"/>
        <v>584157.375</v>
      </c>
      <c r="I231" s="3">
        <v>93465.18</v>
      </c>
    </row>
    <row r="232" spans="1:9">
      <c r="A232" t="s">
        <v>548</v>
      </c>
      <c r="B232" s="1">
        <v>41655</v>
      </c>
      <c r="C232" t="s">
        <v>549</v>
      </c>
      <c r="D232">
        <v>2</v>
      </c>
      <c r="E232" t="s">
        <v>550</v>
      </c>
      <c r="F232" s="25" t="s">
        <v>886</v>
      </c>
      <c r="G232" s="25" t="s">
        <v>550</v>
      </c>
      <c r="H232" s="3">
        <f t="shared" si="7"/>
        <v>11250</v>
      </c>
      <c r="I232" s="3">
        <v>1800</v>
      </c>
    </row>
    <row r="233" spans="1:9">
      <c r="A233" t="s">
        <v>636</v>
      </c>
      <c r="B233" s="1">
        <v>41668</v>
      </c>
      <c r="C233" t="s">
        <v>637</v>
      </c>
      <c r="D233">
        <v>2</v>
      </c>
      <c r="E233" t="s">
        <v>550</v>
      </c>
      <c r="F233" s="25" t="s">
        <v>886</v>
      </c>
      <c r="G233" s="25" t="s">
        <v>550</v>
      </c>
      <c r="H233" s="3">
        <f t="shared" si="7"/>
        <v>5113.8125</v>
      </c>
      <c r="I233" s="3">
        <v>818.21</v>
      </c>
    </row>
    <row r="234" spans="1:9">
      <c r="A234" t="s">
        <v>300</v>
      </c>
      <c r="B234" s="1">
        <v>41670</v>
      </c>
      <c r="C234" t="s">
        <v>301</v>
      </c>
      <c r="D234">
        <v>1</v>
      </c>
      <c r="E234" t="s">
        <v>302</v>
      </c>
      <c r="F234" s="25" t="s">
        <v>887</v>
      </c>
      <c r="G234" s="25" t="s">
        <v>302</v>
      </c>
      <c r="H234" s="3">
        <f t="shared" si="7"/>
        <v>1112.0625</v>
      </c>
      <c r="I234" s="3">
        <v>177.93</v>
      </c>
    </row>
    <row r="235" spans="1:9">
      <c r="A235" t="s">
        <v>124</v>
      </c>
      <c r="B235" s="1">
        <v>41663</v>
      </c>
      <c r="C235" t="s">
        <v>125</v>
      </c>
      <c r="D235">
        <v>1</v>
      </c>
      <c r="E235" t="s">
        <v>126</v>
      </c>
      <c r="F235" s="25" t="s">
        <v>887</v>
      </c>
      <c r="G235" s="25" t="s">
        <v>126</v>
      </c>
      <c r="H235" s="3">
        <f t="shared" si="7"/>
        <v>1375.0625</v>
      </c>
      <c r="I235" s="3">
        <v>220.01</v>
      </c>
    </row>
    <row r="236" spans="1:9">
      <c r="A236" t="s">
        <v>127</v>
      </c>
      <c r="B236" s="1">
        <v>41663</v>
      </c>
      <c r="C236" t="s">
        <v>128</v>
      </c>
      <c r="D236">
        <v>1</v>
      </c>
      <c r="E236" t="s">
        <v>126</v>
      </c>
      <c r="F236" s="25" t="s">
        <v>887</v>
      </c>
      <c r="G236" s="25" t="s">
        <v>126</v>
      </c>
      <c r="H236" s="3">
        <f t="shared" si="7"/>
        <v>1375.0625</v>
      </c>
      <c r="I236" s="3">
        <v>220.01</v>
      </c>
    </row>
    <row r="237" spans="1:9">
      <c r="A237" t="s">
        <v>129</v>
      </c>
      <c r="B237" s="1">
        <v>41663</v>
      </c>
      <c r="C237" t="s">
        <v>130</v>
      </c>
      <c r="D237">
        <v>1</v>
      </c>
      <c r="E237" t="s">
        <v>126</v>
      </c>
      <c r="F237" s="25" t="s">
        <v>887</v>
      </c>
      <c r="G237" s="25" t="s">
        <v>126</v>
      </c>
      <c r="H237" s="3">
        <f t="shared" si="7"/>
        <v>1202.625</v>
      </c>
      <c r="I237" s="3">
        <v>192.42</v>
      </c>
    </row>
    <row r="238" spans="1:9">
      <c r="A238" t="s">
        <v>327</v>
      </c>
      <c r="B238" s="1">
        <v>41670</v>
      </c>
      <c r="C238" t="s">
        <v>328</v>
      </c>
      <c r="D238">
        <v>1</v>
      </c>
      <c r="E238" t="s">
        <v>329</v>
      </c>
      <c r="F238" s="25" t="s">
        <v>888</v>
      </c>
      <c r="G238" s="25" t="s">
        <v>889</v>
      </c>
      <c r="H238" s="3">
        <f t="shared" si="7"/>
        <v>16.625</v>
      </c>
      <c r="I238" s="3">
        <v>2.66</v>
      </c>
    </row>
    <row r="239" spans="1:9">
      <c r="A239" t="s">
        <v>519</v>
      </c>
      <c r="B239" s="1">
        <v>41655</v>
      </c>
      <c r="C239" t="s">
        <v>520</v>
      </c>
      <c r="D239">
        <v>1</v>
      </c>
      <c r="E239" t="s">
        <v>521</v>
      </c>
      <c r="F239" s="137" t="s">
        <v>890</v>
      </c>
      <c r="G239" s="137" t="s">
        <v>521</v>
      </c>
      <c r="H239" s="3">
        <f t="shared" si="7"/>
        <v>1379.3125</v>
      </c>
      <c r="I239" s="3">
        <v>220.69</v>
      </c>
    </row>
    <row r="240" spans="1:9">
      <c r="A240" t="s">
        <v>644</v>
      </c>
      <c r="B240" s="1">
        <v>41668</v>
      </c>
      <c r="C240" t="s">
        <v>645</v>
      </c>
      <c r="D240">
        <v>1</v>
      </c>
      <c r="E240" t="s">
        <v>521</v>
      </c>
      <c r="F240" s="137" t="s">
        <v>890</v>
      </c>
      <c r="G240" s="137" t="s">
        <v>521</v>
      </c>
      <c r="H240" s="3">
        <f t="shared" si="7"/>
        <v>171</v>
      </c>
      <c r="I240" s="3">
        <v>27.36</v>
      </c>
    </row>
    <row r="241" spans="1:12">
      <c r="A241" t="s">
        <v>609</v>
      </c>
      <c r="B241" s="1">
        <v>41667</v>
      </c>
      <c r="C241" t="s">
        <v>610</v>
      </c>
      <c r="D241">
        <v>1</v>
      </c>
      <c r="E241" t="s">
        <v>611</v>
      </c>
      <c r="F241" t="s">
        <v>891</v>
      </c>
      <c r="G241" t="s">
        <v>611</v>
      </c>
      <c r="H241" s="3">
        <f t="shared" ref="H241:H272" si="8">+I241/0.16</f>
        <v>32853.4375</v>
      </c>
      <c r="I241" s="3">
        <v>5256.55</v>
      </c>
    </row>
    <row r="242" spans="1:12">
      <c r="A242" t="s">
        <v>500</v>
      </c>
      <c r="B242" s="1">
        <v>41653</v>
      </c>
      <c r="C242" t="s">
        <v>501</v>
      </c>
      <c r="D242">
        <v>1</v>
      </c>
      <c r="E242" t="s">
        <v>502</v>
      </c>
      <c r="F242" s="139" t="s">
        <v>894</v>
      </c>
      <c r="G242" s="137" t="s">
        <v>502</v>
      </c>
      <c r="H242" s="3">
        <f t="shared" si="8"/>
        <v>10680.25</v>
      </c>
      <c r="I242" s="3">
        <v>1708.84</v>
      </c>
    </row>
    <row r="243" spans="1:12">
      <c r="A243" t="s">
        <v>627</v>
      </c>
      <c r="B243" s="1">
        <v>41668</v>
      </c>
      <c r="C243" t="s">
        <v>628</v>
      </c>
      <c r="D243">
        <v>1</v>
      </c>
      <c r="E243" t="s">
        <v>502</v>
      </c>
      <c r="F243" s="137" t="s">
        <v>894</v>
      </c>
      <c r="G243" s="137" t="s">
        <v>502</v>
      </c>
      <c r="H243" s="3">
        <f t="shared" si="8"/>
        <v>15599.312499999998</v>
      </c>
      <c r="I243" s="3">
        <v>2495.89</v>
      </c>
      <c r="J243" s="13" t="e">
        <f>+H243-#REF!</f>
        <v>#REF!</v>
      </c>
      <c r="K243" s="13" t="e">
        <f>+I243-#REF!</f>
        <v>#REF!</v>
      </c>
      <c r="L243" t="s">
        <v>850</v>
      </c>
    </row>
    <row r="244" spans="1:12">
      <c r="A244" t="s">
        <v>421</v>
      </c>
      <c r="B244" s="1">
        <v>41659</v>
      </c>
      <c r="C244" t="s">
        <v>422</v>
      </c>
      <c r="D244">
        <v>1</v>
      </c>
      <c r="E244" t="s">
        <v>425</v>
      </c>
      <c r="H244" s="3">
        <f t="shared" si="8"/>
        <v>198275.875</v>
      </c>
      <c r="I244" s="3">
        <v>31724.14</v>
      </c>
    </row>
    <row r="245" spans="1:12">
      <c r="A245" t="s">
        <v>421</v>
      </c>
      <c r="B245" s="1">
        <v>41659</v>
      </c>
      <c r="C245" t="s">
        <v>422</v>
      </c>
      <c r="D245">
        <v>1</v>
      </c>
      <c r="E245" t="s">
        <v>426</v>
      </c>
      <c r="H245" s="3">
        <f t="shared" si="8"/>
        <v>155172.4375</v>
      </c>
      <c r="I245" s="3">
        <v>24827.59</v>
      </c>
    </row>
    <row r="246" spans="1:12">
      <c r="A246" t="s">
        <v>663</v>
      </c>
      <c r="B246" s="1">
        <v>41670</v>
      </c>
      <c r="C246" t="s">
        <v>664</v>
      </c>
      <c r="D246">
        <v>1</v>
      </c>
      <c r="E246" t="s">
        <v>665</v>
      </c>
      <c r="F246" s="138" t="s">
        <v>892</v>
      </c>
      <c r="G246" t="s">
        <v>665</v>
      </c>
      <c r="H246" s="3">
        <f t="shared" si="8"/>
        <v>13685.9375</v>
      </c>
      <c r="I246" s="3">
        <v>2189.75</v>
      </c>
    </row>
    <row r="247" spans="1:12">
      <c r="A247" t="s">
        <v>666</v>
      </c>
      <c r="B247" s="1">
        <v>41670</v>
      </c>
      <c r="C247" t="s">
        <v>667</v>
      </c>
      <c r="D247">
        <v>1</v>
      </c>
      <c r="E247" t="s">
        <v>665</v>
      </c>
      <c r="F247" s="138" t="s">
        <v>892</v>
      </c>
      <c r="G247" t="s">
        <v>665</v>
      </c>
      <c r="H247" s="3">
        <f t="shared" si="8"/>
        <v>6445</v>
      </c>
      <c r="I247" s="3">
        <v>1031.2</v>
      </c>
    </row>
    <row r="248" spans="1:12">
      <c r="A248" t="s">
        <v>265</v>
      </c>
      <c r="B248" s="1">
        <v>41670</v>
      </c>
      <c r="C248">
        <v>9607</v>
      </c>
      <c r="D248">
        <v>1</v>
      </c>
      <c r="E248" t="s">
        <v>266</v>
      </c>
      <c r="F248" s="25" t="s">
        <v>893</v>
      </c>
      <c r="G248" s="25" t="s">
        <v>266</v>
      </c>
      <c r="H248" s="3">
        <f t="shared" si="8"/>
        <v>43.6875</v>
      </c>
      <c r="I248" s="3">
        <v>6.99</v>
      </c>
    </row>
    <row r="249" spans="1:12">
      <c r="A249" t="s">
        <v>353</v>
      </c>
      <c r="B249" s="1">
        <v>41670</v>
      </c>
      <c r="C249">
        <v>9631</v>
      </c>
      <c r="D249">
        <v>1</v>
      </c>
      <c r="E249" t="s">
        <v>266</v>
      </c>
      <c r="F249" s="25" t="s">
        <v>893</v>
      </c>
      <c r="G249" s="25" t="s">
        <v>266</v>
      </c>
      <c r="H249" s="3">
        <f t="shared" si="8"/>
        <v>113.375</v>
      </c>
      <c r="I249" s="3">
        <v>18.14</v>
      </c>
    </row>
    <row r="250" spans="1:12">
      <c r="A250" t="s">
        <v>164</v>
      </c>
      <c r="B250" s="1">
        <v>41666</v>
      </c>
      <c r="C250" t="s">
        <v>165</v>
      </c>
      <c r="D250">
        <v>1</v>
      </c>
      <c r="E250" t="s">
        <v>755</v>
      </c>
      <c r="F250" s="33" t="s">
        <v>759</v>
      </c>
      <c r="G250" s="33" t="s">
        <v>757</v>
      </c>
      <c r="H250" s="3">
        <f t="shared" si="8"/>
        <v>202725.3125</v>
      </c>
      <c r="I250" s="3">
        <v>32436.05</v>
      </c>
    </row>
    <row r="251" spans="1:12">
      <c r="A251" t="s">
        <v>216</v>
      </c>
      <c r="B251" s="1">
        <v>41667</v>
      </c>
      <c r="C251" t="s">
        <v>217</v>
      </c>
      <c r="D251">
        <v>1</v>
      </c>
      <c r="E251" t="s">
        <v>756</v>
      </c>
      <c r="F251" s="33" t="s">
        <v>759</v>
      </c>
      <c r="G251" s="33" t="s">
        <v>757</v>
      </c>
      <c r="H251" s="3">
        <f t="shared" si="8"/>
        <v>270499.25</v>
      </c>
      <c r="I251" s="3">
        <v>43279.88</v>
      </c>
    </row>
    <row r="252" spans="1:12">
      <c r="A252" t="s">
        <v>158</v>
      </c>
      <c r="B252" s="1">
        <v>41663</v>
      </c>
      <c r="C252" t="s">
        <v>159</v>
      </c>
      <c r="D252">
        <v>1</v>
      </c>
      <c r="E252" t="s">
        <v>757</v>
      </c>
      <c r="F252" s="33" t="s">
        <v>759</v>
      </c>
      <c r="G252" s="33" t="s">
        <v>757</v>
      </c>
      <c r="H252" s="3">
        <f t="shared" si="8"/>
        <v>169608.3125</v>
      </c>
      <c r="I252" s="3">
        <v>27137.33</v>
      </c>
    </row>
    <row r="253" spans="1:12">
      <c r="A253" t="s">
        <v>12</v>
      </c>
      <c r="B253" s="1">
        <v>41647</v>
      </c>
      <c r="C253" t="s">
        <v>13</v>
      </c>
      <c r="D253">
        <v>1</v>
      </c>
      <c r="E253" t="s">
        <v>467</v>
      </c>
      <c r="F253" s="30" t="s">
        <v>760</v>
      </c>
      <c r="G253" s="31" t="s">
        <v>761</v>
      </c>
      <c r="H253" s="3">
        <f t="shared" si="8"/>
        <v>295037.5625</v>
      </c>
      <c r="I253" s="3">
        <v>47206.01</v>
      </c>
      <c r="J253" s="37"/>
    </row>
    <row r="254" spans="1:12">
      <c r="A254" t="s">
        <v>14</v>
      </c>
      <c r="B254" s="1">
        <v>41647</v>
      </c>
      <c r="C254" t="s">
        <v>15</v>
      </c>
      <c r="D254">
        <v>1</v>
      </c>
      <c r="E254" t="s">
        <v>467</v>
      </c>
      <c r="F254" s="30" t="s">
        <v>760</v>
      </c>
      <c r="G254" s="31" t="s">
        <v>761</v>
      </c>
      <c r="H254" s="3">
        <f t="shared" si="8"/>
        <v>295037.5625</v>
      </c>
      <c r="I254" s="3">
        <v>47206.01</v>
      </c>
      <c r="J254" s="37"/>
    </row>
    <row r="255" spans="1:12">
      <c r="A255" t="s">
        <v>16</v>
      </c>
      <c r="B255" s="1">
        <v>41647</v>
      </c>
      <c r="C255" t="s">
        <v>17</v>
      </c>
      <c r="D255">
        <v>1</v>
      </c>
      <c r="E255" t="s">
        <v>467</v>
      </c>
      <c r="F255" s="30" t="s">
        <v>760</v>
      </c>
      <c r="G255" s="31" t="s">
        <v>761</v>
      </c>
      <c r="H255" s="3">
        <f t="shared" si="8"/>
        <v>-221634.8125</v>
      </c>
      <c r="I255" s="3">
        <v>-35461.57</v>
      </c>
      <c r="J255" s="38"/>
    </row>
    <row r="256" spans="1:12">
      <c r="A256" t="s">
        <v>21</v>
      </c>
      <c r="B256" s="1">
        <v>41652</v>
      </c>
      <c r="C256" t="s">
        <v>22</v>
      </c>
      <c r="D256">
        <v>1</v>
      </c>
      <c r="E256" t="s">
        <v>467</v>
      </c>
      <c r="F256" s="30" t="s">
        <v>760</v>
      </c>
      <c r="G256" s="31" t="s">
        <v>761</v>
      </c>
      <c r="H256" s="3">
        <f t="shared" si="8"/>
        <v>270499.25</v>
      </c>
      <c r="I256" s="3">
        <v>43279.88</v>
      </c>
      <c r="J256" s="37"/>
    </row>
    <row r="257" spans="1:10">
      <c r="A257" t="s">
        <v>34</v>
      </c>
      <c r="B257" s="1">
        <v>41655</v>
      </c>
      <c r="C257" t="s">
        <v>35</v>
      </c>
      <c r="D257">
        <v>1</v>
      </c>
      <c r="E257" t="s">
        <v>467</v>
      </c>
      <c r="F257" s="30" t="s">
        <v>760</v>
      </c>
      <c r="G257" s="31" t="s">
        <v>761</v>
      </c>
      <c r="H257" s="3">
        <f t="shared" si="8"/>
        <v>224993.125</v>
      </c>
      <c r="I257" s="3">
        <v>35998.9</v>
      </c>
      <c r="J257" s="37"/>
    </row>
    <row r="258" spans="1:10">
      <c r="A258" t="s">
        <v>36</v>
      </c>
      <c r="B258" s="1">
        <v>41655</v>
      </c>
      <c r="C258" t="s">
        <v>37</v>
      </c>
      <c r="D258">
        <v>1</v>
      </c>
      <c r="E258" t="s">
        <v>467</v>
      </c>
      <c r="F258" s="30" t="s">
        <v>760</v>
      </c>
      <c r="G258" s="31" t="s">
        <v>761</v>
      </c>
      <c r="H258" s="3">
        <f t="shared" si="8"/>
        <v>224993.125</v>
      </c>
      <c r="I258" s="3">
        <v>35998.9</v>
      </c>
      <c r="J258" s="37"/>
    </row>
    <row r="259" spans="1:10">
      <c r="A259" t="s">
        <v>38</v>
      </c>
      <c r="B259" s="1">
        <v>41655</v>
      </c>
      <c r="C259" t="s">
        <v>39</v>
      </c>
      <c r="D259">
        <v>1</v>
      </c>
      <c r="E259" t="s">
        <v>467</v>
      </c>
      <c r="F259" s="30" t="s">
        <v>760</v>
      </c>
      <c r="G259" s="31" t="s">
        <v>761</v>
      </c>
      <c r="H259" s="3">
        <f t="shared" si="8"/>
        <v>224993.125</v>
      </c>
      <c r="I259" s="3">
        <v>35998.9</v>
      </c>
      <c r="J259" s="37"/>
    </row>
    <row r="260" spans="1:10">
      <c r="A260" t="s">
        <v>40</v>
      </c>
      <c r="B260" s="1">
        <v>41655</v>
      </c>
      <c r="C260" t="s">
        <v>41</v>
      </c>
      <c r="D260">
        <v>1</v>
      </c>
      <c r="E260" t="s">
        <v>467</v>
      </c>
      <c r="F260" s="30" t="s">
        <v>760</v>
      </c>
      <c r="G260" s="31" t="s">
        <v>761</v>
      </c>
      <c r="H260" s="3">
        <f t="shared" si="8"/>
        <v>224993.125</v>
      </c>
      <c r="I260" s="3">
        <v>35998.9</v>
      </c>
      <c r="J260" s="37"/>
    </row>
    <row r="261" spans="1:10">
      <c r="A261" t="s">
        <v>42</v>
      </c>
      <c r="B261" s="1">
        <v>41655</v>
      </c>
      <c r="C261" t="s">
        <v>43</v>
      </c>
      <c r="D261">
        <v>1</v>
      </c>
      <c r="E261" t="s">
        <v>467</v>
      </c>
      <c r="F261" s="30" t="s">
        <v>760</v>
      </c>
      <c r="G261" s="31" t="s">
        <v>761</v>
      </c>
      <c r="H261" s="3">
        <f t="shared" si="8"/>
        <v>224993.125</v>
      </c>
      <c r="I261" s="3">
        <v>35998.9</v>
      </c>
      <c r="J261" s="37"/>
    </row>
    <row r="262" spans="1:10">
      <c r="A262" t="s">
        <v>44</v>
      </c>
      <c r="B262" s="1">
        <v>41655</v>
      </c>
      <c r="C262" t="s">
        <v>45</v>
      </c>
      <c r="D262">
        <v>1</v>
      </c>
      <c r="E262" t="s">
        <v>467</v>
      </c>
      <c r="F262" s="30" t="s">
        <v>760</v>
      </c>
      <c r="G262" s="31" t="s">
        <v>761</v>
      </c>
      <c r="H262" s="3">
        <f t="shared" si="8"/>
        <v>224993.125</v>
      </c>
      <c r="I262" s="3">
        <v>35998.9</v>
      </c>
      <c r="J262" s="37"/>
    </row>
    <row r="263" spans="1:10">
      <c r="A263" t="s">
        <v>52</v>
      </c>
      <c r="B263" s="1">
        <v>41655</v>
      </c>
      <c r="C263" t="s">
        <v>53</v>
      </c>
      <c r="D263">
        <v>1</v>
      </c>
      <c r="E263" t="s">
        <v>467</v>
      </c>
      <c r="F263" s="30" t="s">
        <v>760</v>
      </c>
      <c r="G263" s="31" t="s">
        <v>761</v>
      </c>
      <c r="H263" s="3">
        <f t="shared" si="8"/>
        <v>270499.25</v>
      </c>
      <c r="I263" s="3">
        <v>43279.88</v>
      </c>
      <c r="J263" s="37"/>
    </row>
    <row r="264" spans="1:10">
      <c r="A264" t="s">
        <v>57</v>
      </c>
      <c r="B264" s="1">
        <v>41656</v>
      </c>
      <c r="C264" t="s">
        <v>58</v>
      </c>
      <c r="D264">
        <v>1</v>
      </c>
      <c r="E264" t="s">
        <v>467</v>
      </c>
      <c r="F264" s="30" t="s">
        <v>760</v>
      </c>
      <c r="G264" s="31" t="s">
        <v>761</v>
      </c>
      <c r="H264" s="3">
        <f t="shared" si="8"/>
        <v>224993.125</v>
      </c>
      <c r="I264" s="3">
        <v>35998.9</v>
      </c>
      <c r="J264" s="37"/>
    </row>
    <row r="265" spans="1:10">
      <c r="A265" t="s">
        <v>59</v>
      </c>
      <c r="B265" s="1">
        <v>41656</v>
      </c>
      <c r="C265" t="s">
        <v>60</v>
      </c>
      <c r="D265">
        <v>1</v>
      </c>
      <c r="E265" t="s">
        <v>467</v>
      </c>
      <c r="F265" s="30" t="s">
        <v>760</v>
      </c>
      <c r="G265" s="31" t="s">
        <v>761</v>
      </c>
      <c r="H265" s="3">
        <f t="shared" si="8"/>
        <v>224993.125</v>
      </c>
      <c r="I265" s="3">
        <v>35998.9</v>
      </c>
      <c r="J265" s="37"/>
    </row>
    <row r="266" spans="1:10">
      <c r="A266" t="s">
        <v>61</v>
      </c>
      <c r="B266" s="1">
        <v>41656</v>
      </c>
      <c r="C266" t="s">
        <v>62</v>
      </c>
      <c r="D266">
        <v>1</v>
      </c>
      <c r="E266" t="s">
        <v>467</v>
      </c>
      <c r="F266" s="30" t="s">
        <v>760</v>
      </c>
      <c r="G266" s="31" t="s">
        <v>761</v>
      </c>
      <c r="H266" s="3">
        <f t="shared" si="8"/>
        <v>176668.5625</v>
      </c>
      <c r="I266" s="3">
        <v>28266.97</v>
      </c>
      <c r="J266" s="37"/>
    </row>
    <row r="267" spans="1:10">
      <c r="A267" t="s">
        <v>63</v>
      </c>
      <c r="B267" s="1">
        <v>41656</v>
      </c>
      <c r="C267" t="s">
        <v>64</v>
      </c>
      <c r="D267">
        <v>1</v>
      </c>
      <c r="E267" t="s">
        <v>467</v>
      </c>
      <c r="F267" s="30" t="s">
        <v>760</v>
      </c>
      <c r="G267" s="31" t="s">
        <v>761</v>
      </c>
      <c r="H267" s="3">
        <f t="shared" si="8"/>
        <v>224993.125</v>
      </c>
      <c r="I267" s="3">
        <v>35998.9</v>
      </c>
      <c r="J267" s="37"/>
    </row>
    <row r="268" spans="1:10">
      <c r="A268" t="s">
        <v>65</v>
      </c>
      <c r="B268" s="1">
        <v>41656</v>
      </c>
      <c r="C268" t="s">
        <v>66</v>
      </c>
      <c r="D268">
        <v>1</v>
      </c>
      <c r="E268" t="s">
        <v>467</v>
      </c>
      <c r="F268" s="30" t="s">
        <v>760</v>
      </c>
      <c r="G268" s="31" t="s">
        <v>761</v>
      </c>
      <c r="H268" s="3">
        <f t="shared" si="8"/>
        <v>224993.125</v>
      </c>
      <c r="I268" s="3">
        <v>35998.9</v>
      </c>
      <c r="J268" s="37"/>
    </row>
    <row r="269" spans="1:10">
      <c r="A269" t="s">
        <v>67</v>
      </c>
      <c r="B269" s="1">
        <v>41656</v>
      </c>
      <c r="C269" t="s">
        <v>68</v>
      </c>
      <c r="D269">
        <v>1</v>
      </c>
      <c r="E269" t="s">
        <v>467</v>
      </c>
      <c r="F269" s="30" t="s">
        <v>760</v>
      </c>
      <c r="G269" s="31" t="s">
        <v>761</v>
      </c>
      <c r="H269" s="3">
        <f t="shared" si="8"/>
        <v>224993.125</v>
      </c>
      <c r="I269" s="3">
        <v>35998.9</v>
      </c>
      <c r="J269" s="37"/>
    </row>
    <row r="270" spans="1:10">
      <c r="A270" t="s">
        <v>69</v>
      </c>
      <c r="B270" s="1">
        <v>41656</v>
      </c>
      <c r="C270" t="s">
        <v>70</v>
      </c>
      <c r="D270">
        <v>1</v>
      </c>
      <c r="E270" t="s">
        <v>467</v>
      </c>
      <c r="F270" s="30" t="s">
        <v>760</v>
      </c>
      <c r="G270" s="31" t="s">
        <v>761</v>
      </c>
      <c r="H270" s="3">
        <f t="shared" si="8"/>
        <v>224993.125</v>
      </c>
      <c r="I270" s="3">
        <v>35998.9</v>
      </c>
      <c r="J270" s="37"/>
    </row>
    <row r="271" spans="1:10">
      <c r="A271" t="s">
        <v>71</v>
      </c>
      <c r="B271" s="1">
        <v>41656</v>
      </c>
      <c r="C271" t="s">
        <v>72</v>
      </c>
      <c r="D271">
        <v>1</v>
      </c>
      <c r="E271" t="s">
        <v>467</v>
      </c>
      <c r="F271" s="30" t="s">
        <v>760</v>
      </c>
      <c r="G271" s="31" t="s">
        <v>761</v>
      </c>
      <c r="H271" s="3">
        <f t="shared" si="8"/>
        <v>233454.5</v>
      </c>
      <c r="I271" s="3">
        <v>37352.720000000001</v>
      </c>
      <c r="J271" s="37"/>
    </row>
    <row r="272" spans="1:10">
      <c r="A272" t="s">
        <v>73</v>
      </c>
      <c r="B272" s="1">
        <v>41656</v>
      </c>
      <c r="C272" t="s">
        <v>74</v>
      </c>
      <c r="D272">
        <v>1</v>
      </c>
      <c r="E272" t="s">
        <v>467</v>
      </c>
      <c r="F272" s="30" t="s">
        <v>760</v>
      </c>
      <c r="G272" s="31" t="s">
        <v>761</v>
      </c>
      <c r="H272" s="3">
        <f t="shared" si="8"/>
        <v>259916.0625</v>
      </c>
      <c r="I272" s="3">
        <v>41586.57</v>
      </c>
      <c r="J272" s="37"/>
    </row>
    <row r="273" spans="1:10">
      <c r="A273" t="s">
        <v>75</v>
      </c>
      <c r="B273" s="1">
        <v>41656</v>
      </c>
      <c r="C273" t="s">
        <v>76</v>
      </c>
      <c r="D273">
        <v>1</v>
      </c>
      <c r="E273" t="s">
        <v>467</v>
      </c>
      <c r="F273" s="30" t="s">
        <v>760</v>
      </c>
      <c r="G273" s="31" t="s">
        <v>761</v>
      </c>
      <c r="H273" s="3">
        <f t="shared" ref="H273:H291" si="9">+I273/0.16</f>
        <v>319545.125</v>
      </c>
      <c r="I273" s="3">
        <v>51127.22</v>
      </c>
      <c r="J273" s="37"/>
    </row>
    <row r="274" spans="1:10">
      <c r="A274" t="s">
        <v>77</v>
      </c>
      <c r="B274" s="1">
        <v>41656</v>
      </c>
      <c r="C274" t="s">
        <v>78</v>
      </c>
      <c r="D274">
        <v>1</v>
      </c>
      <c r="E274" t="s">
        <v>467</v>
      </c>
      <c r="F274" s="30" t="s">
        <v>760</v>
      </c>
      <c r="G274" s="31" t="s">
        <v>761</v>
      </c>
      <c r="H274" s="3">
        <f t="shared" si="9"/>
        <v>224993.125</v>
      </c>
      <c r="I274" s="3">
        <v>35998.9</v>
      </c>
      <c r="J274" s="37"/>
    </row>
    <row r="275" spans="1:10">
      <c r="A275" t="s">
        <v>79</v>
      </c>
      <c r="B275" s="1">
        <v>41656</v>
      </c>
      <c r="C275" t="s">
        <v>80</v>
      </c>
      <c r="D275">
        <v>1</v>
      </c>
      <c r="E275" t="s">
        <v>467</v>
      </c>
      <c r="F275" s="30" t="s">
        <v>760</v>
      </c>
      <c r="G275" s="31" t="s">
        <v>761</v>
      </c>
      <c r="H275" s="3">
        <f t="shared" si="9"/>
        <v>224993.125</v>
      </c>
      <c r="I275" s="3">
        <v>35998.9</v>
      </c>
      <c r="J275" s="37"/>
    </row>
    <row r="276" spans="1:10">
      <c r="A276" t="s">
        <v>81</v>
      </c>
      <c r="B276" s="1">
        <v>41656</v>
      </c>
      <c r="C276" t="s">
        <v>82</v>
      </c>
      <c r="D276">
        <v>1</v>
      </c>
      <c r="E276" t="s">
        <v>467</v>
      </c>
      <c r="F276" s="30" t="s">
        <v>760</v>
      </c>
      <c r="G276" s="31" t="s">
        <v>761</v>
      </c>
      <c r="H276" s="3">
        <f t="shared" si="9"/>
        <v>224993.125</v>
      </c>
      <c r="I276" s="3">
        <v>35998.9</v>
      </c>
      <c r="J276" s="37"/>
    </row>
    <row r="277" spans="1:10">
      <c r="A277" t="s">
        <v>83</v>
      </c>
      <c r="B277" s="1">
        <v>41657</v>
      </c>
      <c r="C277" t="s">
        <v>84</v>
      </c>
      <c r="D277">
        <v>1</v>
      </c>
      <c r="E277" t="s">
        <v>467</v>
      </c>
      <c r="F277" s="30" t="s">
        <v>760</v>
      </c>
      <c r="G277" s="31" t="s">
        <v>761</v>
      </c>
      <c r="H277" s="3">
        <f t="shared" si="9"/>
        <v>176668.5625</v>
      </c>
      <c r="I277" s="3">
        <v>28266.97</v>
      </c>
      <c r="J277" s="37"/>
    </row>
    <row r="278" spans="1:10">
      <c r="A278" t="s">
        <v>85</v>
      </c>
      <c r="B278" s="1">
        <v>41657</v>
      </c>
      <c r="C278" t="s">
        <v>86</v>
      </c>
      <c r="D278">
        <v>1</v>
      </c>
      <c r="E278" t="s">
        <v>467</v>
      </c>
      <c r="F278" s="30" t="s">
        <v>760</v>
      </c>
      <c r="G278" s="31" t="s">
        <v>761</v>
      </c>
      <c r="H278" s="3">
        <f t="shared" si="9"/>
        <v>259916.0625</v>
      </c>
      <c r="I278" s="3">
        <v>41586.57</v>
      </c>
      <c r="J278" s="37"/>
    </row>
    <row r="279" spans="1:10">
      <c r="A279" t="s">
        <v>87</v>
      </c>
      <c r="B279" s="1">
        <v>41657</v>
      </c>
      <c r="C279" t="s">
        <v>88</v>
      </c>
      <c r="D279">
        <v>1</v>
      </c>
      <c r="E279" t="s">
        <v>467</v>
      </c>
      <c r="F279" s="30" t="s">
        <v>760</v>
      </c>
      <c r="G279" s="31" t="s">
        <v>761</v>
      </c>
      <c r="H279" s="3">
        <f t="shared" si="9"/>
        <v>295030.3125</v>
      </c>
      <c r="I279" s="3">
        <v>47204.85</v>
      </c>
      <c r="J279" s="37"/>
    </row>
    <row r="280" spans="1:10">
      <c r="A280" t="s">
        <v>93</v>
      </c>
      <c r="B280" s="1">
        <v>41660</v>
      </c>
      <c r="C280" t="s">
        <v>94</v>
      </c>
      <c r="D280">
        <v>1</v>
      </c>
      <c r="E280" t="s">
        <v>467</v>
      </c>
      <c r="F280" s="30" t="s">
        <v>760</v>
      </c>
      <c r="G280" s="31" t="s">
        <v>761</v>
      </c>
      <c r="H280" s="3">
        <f t="shared" si="9"/>
        <v>295037.5625</v>
      </c>
      <c r="I280" s="3">
        <v>47206.01</v>
      </c>
      <c r="J280" s="37"/>
    </row>
    <row r="281" spans="1:10">
      <c r="A281" t="s">
        <v>97</v>
      </c>
      <c r="B281" s="1">
        <v>41662</v>
      </c>
      <c r="C281" t="s">
        <v>98</v>
      </c>
      <c r="D281">
        <v>1</v>
      </c>
      <c r="E281" t="s">
        <v>467</v>
      </c>
      <c r="F281" s="30" t="s">
        <v>760</v>
      </c>
      <c r="G281" s="31" t="s">
        <v>761</v>
      </c>
      <c r="H281" s="3">
        <f t="shared" si="9"/>
        <v>233454.4375</v>
      </c>
      <c r="I281" s="3">
        <v>37352.71</v>
      </c>
      <c r="J281" s="37"/>
    </row>
    <row r="282" spans="1:10">
      <c r="A282" t="s">
        <v>112</v>
      </c>
      <c r="B282" s="1">
        <v>41662</v>
      </c>
      <c r="C282" t="s">
        <v>113</v>
      </c>
      <c r="D282">
        <v>1</v>
      </c>
      <c r="E282" t="s">
        <v>467</v>
      </c>
      <c r="F282" s="30" t="s">
        <v>760</v>
      </c>
      <c r="G282" s="31" t="s">
        <v>761</v>
      </c>
      <c r="H282" s="3">
        <f t="shared" si="9"/>
        <v>258607.68750000003</v>
      </c>
      <c r="I282" s="3">
        <v>41377.230000000003</v>
      </c>
      <c r="J282" s="37"/>
    </row>
    <row r="283" spans="1:10">
      <c r="A283" t="s">
        <v>160</v>
      </c>
      <c r="B283" s="1">
        <v>41663</v>
      </c>
      <c r="C283" t="s">
        <v>161</v>
      </c>
      <c r="D283">
        <v>1</v>
      </c>
      <c r="E283" t="s">
        <v>467</v>
      </c>
      <c r="F283" s="30" t="s">
        <v>760</v>
      </c>
      <c r="G283" s="31" t="s">
        <v>761</v>
      </c>
      <c r="H283" s="3">
        <f t="shared" si="9"/>
        <v>170461.625</v>
      </c>
      <c r="I283" s="3">
        <v>27273.86</v>
      </c>
      <c r="J283" s="37"/>
    </row>
    <row r="284" spans="1:10">
      <c r="A284" t="s">
        <v>203</v>
      </c>
      <c r="B284" s="1">
        <v>41666</v>
      </c>
      <c r="C284" t="s">
        <v>204</v>
      </c>
      <c r="D284">
        <v>1</v>
      </c>
      <c r="E284" t="s">
        <v>467</v>
      </c>
      <c r="F284" s="30" t="s">
        <v>760</v>
      </c>
      <c r="G284" s="31" t="s">
        <v>761</v>
      </c>
      <c r="H284" s="3">
        <f t="shared" si="9"/>
        <v>424032.68749999994</v>
      </c>
      <c r="I284" s="3">
        <v>67845.23</v>
      </c>
      <c r="J284" s="37"/>
    </row>
    <row r="285" spans="1:10">
      <c r="A285" t="s">
        <v>210</v>
      </c>
      <c r="B285" s="1">
        <v>41667</v>
      </c>
      <c r="C285" t="s">
        <v>211</v>
      </c>
      <c r="D285">
        <v>1</v>
      </c>
      <c r="E285" t="s">
        <v>467</v>
      </c>
      <c r="F285" s="30" t="s">
        <v>760</v>
      </c>
      <c r="G285" s="31" t="s">
        <v>761</v>
      </c>
      <c r="H285" s="3">
        <f t="shared" si="9"/>
        <v>170461.625</v>
      </c>
      <c r="I285" s="3">
        <v>27273.86</v>
      </c>
      <c r="J285" s="37"/>
    </row>
    <row r="286" spans="1:10">
      <c r="A286" t="s">
        <v>214</v>
      </c>
      <c r="B286" s="1">
        <v>41667</v>
      </c>
      <c r="C286" t="s">
        <v>215</v>
      </c>
      <c r="D286">
        <v>1</v>
      </c>
      <c r="E286" t="s">
        <v>467</v>
      </c>
      <c r="F286" s="30" t="s">
        <v>760</v>
      </c>
      <c r="G286" s="31" t="s">
        <v>761</v>
      </c>
      <c r="H286" s="3">
        <f t="shared" si="9"/>
        <v>259916.0625</v>
      </c>
      <c r="I286" s="3">
        <v>41586.57</v>
      </c>
      <c r="J286" s="37"/>
    </row>
    <row r="287" spans="1:10">
      <c r="A287" t="s">
        <v>234</v>
      </c>
      <c r="B287" s="1">
        <v>41670</v>
      </c>
      <c r="C287" t="s">
        <v>235</v>
      </c>
      <c r="D287">
        <v>1</v>
      </c>
      <c r="E287" t="s">
        <v>467</v>
      </c>
      <c r="F287" s="30" t="s">
        <v>760</v>
      </c>
      <c r="G287" s="31" t="s">
        <v>761</v>
      </c>
      <c r="H287" s="3">
        <f t="shared" si="9"/>
        <v>170461.625</v>
      </c>
      <c r="I287" s="3">
        <v>27273.86</v>
      </c>
      <c r="J287" s="37"/>
    </row>
    <row r="288" spans="1:10">
      <c r="A288" t="s">
        <v>242</v>
      </c>
      <c r="B288" s="1">
        <v>41670</v>
      </c>
      <c r="C288" t="s">
        <v>243</v>
      </c>
      <c r="D288">
        <v>1</v>
      </c>
      <c r="E288" t="s">
        <v>467</v>
      </c>
      <c r="F288" s="30" t="s">
        <v>760</v>
      </c>
      <c r="G288" s="31" t="s">
        <v>761</v>
      </c>
      <c r="H288" s="3">
        <f t="shared" si="9"/>
        <v>295037.5625</v>
      </c>
      <c r="I288" s="3">
        <v>47206.01</v>
      </c>
      <c r="J288" s="37"/>
    </row>
    <row r="289" spans="1:11">
      <c r="A289" t="s">
        <v>465</v>
      </c>
      <c r="B289" s="1">
        <v>41648</v>
      </c>
      <c r="C289" t="s">
        <v>466</v>
      </c>
      <c r="D289">
        <v>1</v>
      </c>
      <c r="E289" t="s">
        <v>467</v>
      </c>
      <c r="F289" s="72" t="s">
        <v>831</v>
      </c>
      <c r="G289" s="8" t="s">
        <v>467</v>
      </c>
      <c r="H289" s="3">
        <f t="shared" si="9"/>
        <v>292762.5625</v>
      </c>
      <c r="I289" s="3">
        <v>46842.01</v>
      </c>
    </row>
    <row r="290" spans="1:11">
      <c r="A290" t="s">
        <v>321</v>
      </c>
      <c r="B290" s="1">
        <v>41670</v>
      </c>
      <c r="C290">
        <v>9576</v>
      </c>
      <c r="D290">
        <v>1</v>
      </c>
      <c r="E290" t="s">
        <v>322</v>
      </c>
      <c r="F290" s="9" t="s">
        <v>763</v>
      </c>
      <c r="G290" s="9" t="s">
        <v>900</v>
      </c>
      <c r="H290" s="3">
        <f t="shared" si="9"/>
        <v>100.875</v>
      </c>
      <c r="I290" s="3">
        <v>16.14</v>
      </c>
    </row>
    <row r="291" spans="1:11">
      <c r="A291" t="s">
        <v>399</v>
      </c>
      <c r="B291" s="1">
        <v>41670</v>
      </c>
      <c r="C291">
        <v>9660</v>
      </c>
      <c r="D291">
        <v>1</v>
      </c>
      <c r="E291" t="s">
        <v>400</v>
      </c>
      <c r="F291" t="s">
        <v>763</v>
      </c>
      <c r="G291" t="s">
        <v>900</v>
      </c>
      <c r="H291" s="3">
        <f t="shared" si="9"/>
        <v>114.6875</v>
      </c>
      <c r="I291" s="3">
        <v>18.350000000000001</v>
      </c>
    </row>
    <row r="292" spans="1:11">
      <c r="A292" t="s">
        <v>325</v>
      </c>
      <c r="B292" s="1">
        <v>41670</v>
      </c>
      <c r="C292">
        <v>9579</v>
      </c>
      <c r="D292">
        <v>1</v>
      </c>
      <c r="E292" t="s">
        <v>326</v>
      </c>
      <c r="F292" s="25" t="s">
        <v>901</v>
      </c>
      <c r="G292" s="25" t="s">
        <v>902</v>
      </c>
      <c r="H292" s="140">
        <f t="shared" ref="H292:H324" si="10">I292/0.16</f>
        <v>88.8125</v>
      </c>
      <c r="I292" s="140">
        <v>14.21</v>
      </c>
      <c r="J292" s="3"/>
      <c r="K292" s="3"/>
    </row>
    <row r="293" spans="1:11">
      <c r="A293" t="s">
        <v>325</v>
      </c>
      <c r="B293" s="1">
        <v>41670</v>
      </c>
      <c r="C293">
        <v>9579</v>
      </c>
      <c r="D293">
        <v>1</v>
      </c>
      <c r="E293" t="s">
        <v>326</v>
      </c>
      <c r="F293" s="9" t="s">
        <v>763</v>
      </c>
      <c r="G293" s="9" t="s">
        <v>900</v>
      </c>
      <c r="H293" s="141">
        <f t="shared" si="10"/>
        <v>170.75</v>
      </c>
      <c r="I293" s="141">
        <v>27.32</v>
      </c>
      <c r="J293" s="13">
        <f>259.56-H292-H293</f>
        <v>-2.4999999999977263E-3</v>
      </c>
      <c r="K293" s="13">
        <f>41.53-I292-I293</f>
        <v>0</v>
      </c>
    </row>
    <row r="294" spans="1:11">
      <c r="A294" t="s">
        <v>196</v>
      </c>
      <c r="B294" s="1">
        <v>41666</v>
      </c>
      <c r="C294" t="s">
        <v>197</v>
      </c>
      <c r="D294">
        <v>1</v>
      </c>
      <c r="E294" t="s">
        <v>198</v>
      </c>
      <c r="F294" s="25" t="s">
        <v>903</v>
      </c>
      <c r="G294" s="25" t="s">
        <v>904</v>
      </c>
      <c r="H294" s="140">
        <f t="shared" si="10"/>
        <v>66.375</v>
      </c>
      <c r="I294" s="140">
        <v>10.62</v>
      </c>
      <c r="J294" s="3"/>
      <c r="K294" s="3"/>
    </row>
    <row r="295" spans="1:11">
      <c r="A295" t="s">
        <v>196</v>
      </c>
      <c r="B295" s="1">
        <v>41666</v>
      </c>
      <c r="C295" t="s">
        <v>197</v>
      </c>
      <c r="D295">
        <v>1</v>
      </c>
      <c r="E295" t="s">
        <v>198</v>
      </c>
      <c r="F295" s="137" t="s">
        <v>905</v>
      </c>
      <c r="G295" s="137" t="s">
        <v>906</v>
      </c>
      <c r="H295" s="142">
        <f t="shared" si="10"/>
        <v>289.9375</v>
      </c>
      <c r="I295" s="142">
        <v>46.39</v>
      </c>
    </row>
    <row r="296" spans="1:11">
      <c r="A296" t="s">
        <v>196</v>
      </c>
      <c r="B296" s="1">
        <v>41666</v>
      </c>
      <c r="C296" t="s">
        <v>197</v>
      </c>
      <c r="D296">
        <v>1</v>
      </c>
      <c r="E296" t="s">
        <v>198</v>
      </c>
      <c r="F296" t="s">
        <v>763</v>
      </c>
      <c r="G296" t="s">
        <v>900</v>
      </c>
      <c r="H296" s="141">
        <f t="shared" si="10"/>
        <v>176.8125</v>
      </c>
      <c r="I296" s="141">
        <v>28.29</v>
      </c>
      <c r="J296" s="13">
        <f>533.13-H294-H295-H296</f>
        <v>4.9999999999954525E-3</v>
      </c>
      <c r="K296" s="13">
        <f>85.3-I294-I295-I296</f>
        <v>0</v>
      </c>
    </row>
    <row r="297" spans="1:11">
      <c r="A297" t="s">
        <v>166</v>
      </c>
      <c r="B297" s="1">
        <v>41666</v>
      </c>
      <c r="C297" t="s">
        <v>167</v>
      </c>
      <c r="D297">
        <v>1</v>
      </c>
      <c r="E297" t="s">
        <v>168</v>
      </c>
      <c r="F297" s="25" t="s">
        <v>907</v>
      </c>
      <c r="G297" s="25" t="s">
        <v>908</v>
      </c>
      <c r="H297" s="140">
        <f t="shared" si="10"/>
        <v>103.4375</v>
      </c>
      <c r="I297" s="140">
        <v>16.55</v>
      </c>
      <c r="J297" s="3"/>
      <c r="K297" s="3"/>
    </row>
    <row r="298" spans="1:11">
      <c r="A298" t="s">
        <v>166</v>
      </c>
      <c r="B298" s="1">
        <v>41666</v>
      </c>
      <c r="C298" t="s">
        <v>167</v>
      </c>
      <c r="D298">
        <v>1</v>
      </c>
      <c r="E298" t="s">
        <v>168</v>
      </c>
      <c r="F298" s="9" t="s">
        <v>909</v>
      </c>
      <c r="G298" s="9" t="s">
        <v>910</v>
      </c>
      <c r="H298" s="141">
        <f t="shared" si="10"/>
        <v>334.75</v>
      </c>
      <c r="I298" s="141">
        <v>53.56</v>
      </c>
      <c r="J298" s="13">
        <f>438.19-H297-H298</f>
        <v>2.4999999999977263E-3</v>
      </c>
      <c r="K298" s="13">
        <f>70.11-I297-I298</f>
        <v>0</v>
      </c>
    </row>
    <row r="299" spans="1:11">
      <c r="A299" t="s">
        <v>181</v>
      </c>
      <c r="B299" s="1">
        <v>41666</v>
      </c>
      <c r="C299" t="s">
        <v>182</v>
      </c>
      <c r="D299">
        <v>1</v>
      </c>
      <c r="E299" t="s">
        <v>183</v>
      </c>
      <c r="F299" s="143" t="s">
        <v>911</v>
      </c>
      <c r="G299" s="143" t="s">
        <v>912</v>
      </c>
      <c r="H299" s="144">
        <f t="shared" si="10"/>
        <v>418.4375</v>
      </c>
      <c r="I299" s="144">
        <v>66.95</v>
      </c>
      <c r="J299" s="3"/>
      <c r="K299" s="3"/>
    </row>
    <row r="300" spans="1:11">
      <c r="A300" t="s">
        <v>181</v>
      </c>
      <c r="B300" s="1">
        <v>41666</v>
      </c>
      <c r="C300" t="s">
        <v>182</v>
      </c>
      <c r="D300">
        <v>1</v>
      </c>
      <c r="E300" t="s">
        <v>183</v>
      </c>
      <c r="F300" t="s">
        <v>763</v>
      </c>
      <c r="G300" s="145" t="s">
        <v>900</v>
      </c>
      <c r="H300" s="146">
        <f t="shared" si="10"/>
        <v>395.8125</v>
      </c>
      <c r="I300" s="146">
        <v>63.33</v>
      </c>
    </row>
    <row r="301" spans="1:11">
      <c r="A301" t="s">
        <v>181</v>
      </c>
      <c r="B301" s="1">
        <v>41666</v>
      </c>
      <c r="C301" t="s">
        <v>182</v>
      </c>
      <c r="D301">
        <v>1</v>
      </c>
      <c r="E301" t="s">
        <v>183</v>
      </c>
      <c r="F301" t="s">
        <v>763</v>
      </c>
      <c r="G301" s="145" t="s">
        <v>913</v>
      </c>
      <c r="H301" s="146">
        <f t="shared" si="10"/>
        <v>359.5</v>
      </c>
      <c r="I301" s="146">
        <v>57.52</v>
      </c>
      <c r="J301" s="13">
        <f>1173.75-H299-H300-H301</f>
        <v>0</v>
      </c>
      <c r="K301" s="13">
        <f>187.8-I299-I300-I301</f>
        <v>0</v>
      </c>
    </row>
    <row r="302" spans="1:11">
      <c r="A302" t="s">
        <v>323</v>
      </c>
      <c r="B302" s="1">
        <v>41670</v>
      </c>
      <c r="C302">
        <v>9577</v>
      </c>
      <c r="D302">
        <v>1</v>
      </c>
      <c r="E302" t="s">
        <v>324</v>
      </c>
      <c r="F302" s="9" t="s">
        <v>763</v>
      </c>
      <c r="G302" s="9" t="s">
        <v>900</v>
      </c>
      <c r="H302" s="141">
        <f t="shared" si="10"/>
        <v>120.75</v>
      </c>
      <c r="I302" s="141">
        <v>19.32</v>
      </c>
      <c r="J302" s="3"/>
      <c r="K302" s="3"/>
    </row>
    <row r="303" spans="1:11">
      <c r="A303" t="s">
        <v>323</v>
      </c>
      <c r="B303" s="1">
        <v>41670</v>
      </c>
      <c r="C303">
        <v>9577</v>
      </c>
      <c r="D303">
        <v>1</v>
      </c>
      <c r="E303" t="s">
        <v>324</v>
      </c>
      <c r="F303" s="25" t="s">
        <v>903</v>
      </c>
      <c r="G303" s="25" t="s">
        <v>904</v>
      </c>
      <c r="H303" s="140">
        <f t="shared" si="10"/>
        <v>79.25</v>
      </c>
      <c r="I303" s="140">
        <v>12.68</v>
      </c>
      <c r="J303" s="3"/>
      <c r="K303" s="3"/>
    </row>
    <row r="304" spans="1:11">
      <c r="A304" t="s">
        <v>323</v>
      </c>
      <c r="B304" s="1">
        <v>41670</v>
      </c>
      <c r="C304">
        <v>9577</v>
      </c>
      <c r="D304">
        <v>1</v>
      </c>
      <c r="E304" t="s">
        <v>324</v>
      </c>
      <c r="F304" s="137" t="s">
        <v>905</v>
      </c>
      <c r="G304" s="137" t="s">
        <v>906</v>
      </c>
      <c r="H304" s="142">
        <f t="shared" si="10"/>
        <v>376.625</v>
      </c>
      <c r="I304" s="142">
        <v>60.26</v>
      </c>
      <c r="J304" s="13">
        <f>576.63-H302-H303-H304</f>
        <v>4.9999999999954525E-3</v>
      </c>
      <c r="K304" s="13">
        <f>92.26-I302-I303-I304</f>
        <v>0</v>
      </c>
    </row>
    <row r="305" spans="1:11">
      <c r="A305" t="s">
        <v>184</v>
      </c>
      <c r="B305" s="1">
        <v>41666</v>
      </c>
      <c r="C305" t="s">
        <v>185</v>
      </c>
      <c r="D305">
        <v>1</v>
      </c>
      <c r="E305" t="s">
        <v>186</v>
      </c>
      <c r="F305" s="137" t="s">
        <v>914</v>
      </c>
      <c r="G305" s="137" t="s">
        <v>915</v>
      </c>
      <c r="H305" s="142">
        <f t="shared" si="10"/>
        <v>334.75</v>
      </c>
      <c r="I305" s="144">
        <v>53.56</v>
      </c>
      <c r="J305" s="3"/>
      <c r="K305" s="3"/>
    </row>
    <row r="306" spans="1:11">
      <c r="A306" t="s">
        <v>184</v>
      </c>
      <c r="B306" s="1">
        <v>41666</v>
      </c>
      <c r="C306" t="s">
        <v>185</v>
      </c>
      <c r="D306">
        <v>1</v>
      </c>
      <c r="E306" t="s">
        <v>186</v>
      </c>
      <c r="F306" s="25" t="s">
        <v>916</v>
      </c>
      <c r="G306" s="25" t="s">
        <v>917</v>
      </c>
      <c r="H306" s="140">
        <f t="shared" si="10"/>
        <v>64.625</v>
      </c>
      <c r="I306" s="140">
        <v>10.34</v>
      </c>
    </row>
    <row r="307" spans="1:11">
      <c r="A307" t="s">
        <v>184</v>
      </c>
      <c r="B307" s="1">
        <v>41666</v>
      </c>
      <c r="C307" t="s">
        <v>185</v>
      </c>
      <c r="D307">
        <v>1</v>
      </c>
      <c r="E307" t="s">
        <v>186</v>
      </c>
      <c r="F307" t="s">
        <v>763</v>
      </c>
      <c r="G307" s="9" t="s">
        <v>900</v>
      </c>
      <c r="H307" s="141">
        <f t="shared" si="10"/>
        <v>395.8125</v>
      </c>
      <c r="I307" s="141">
        <v>63.33</v>
      </c>
    </row>
    <row r="308" spans="1:11">
      <c r="A308" t="s">
        <v>184</v>
      </c>
      <c r="B308" s="1">
        <v>41666</v>
      </c>
      <c r="C308" t="s">
        <v>185</v>
      </c>
      <c r="D308">
        <v>1</v>
      </c>
      <c r="E308" t="s">
        <v>186</v>
      </c>
      <c r="F308" t="s">
        <v>763</v>
      </c>
      <c r="G308" s="9" t="s">
        <v>913</v>
      </c>
      <c r="H308" s="141">
        <f t="shared" si="10"/>
        <v>359.5</v>
      </c>
      <c r="I308" s="141">
        <v>57.52</v>
      </c>
      <c r="J308" s="13">
        <f>1154.69-H305-H306-H307-H308</f>
        <v>2.5000000000545697E-3</v>
      </c>
      <c r="K308" s="13">
        <f>184.75-I305-I306-I307-I308</f>
        <v>0</v>
      </c>
    </row>
    <row r="309" spans="1:11">
      <c r="A309" t="s">
        <v>178</v>
      </c>
      <c r="B309" s="1">
        <v>41666</v>
      </c>
      <c r="C309" t="s">
        <v>179</v>
      </c>
      <c r="D309">
        <v>1</v>
      </c>
      <c r="E309" t="s">
        <v>180</v>
      </c>
      <c r="F309" s="25" t="s">
        <v>873</v>
      </c>
      <c r="G309" s="25" t="s">
        <v>918</v>
      </c>
      <c r="H309" s="140">
        <f t="shared" si="10"/>
        <v>53</v>
      </c>
      <c r="I309" s="140">
        <v>8.48</v>
      </c>
      <c r="J309" s="3"/>
      <c r="K309" s="3"/>
    </row>
    <row r="310" spans="1:11">
      <c r="A310" t="s">
        <v>178</v>
      </c>
      <c r="B310" s="1">
        <v>41666</v>
      </c>
      <c r="C310" t="s">
        <v>179</v>
      </c>
      <c r="D310">
        <v>1</v>
      </c>
      <c r="E310" t="s">
        <v>180</v>
      </c>
      <c r="F310" s="137" t="s">
        <v>919</v>
      </c>
      <c r="G310" s="137" t="s">
        <v>920</v>
      </c>
      <c r="H310" s="142">
        <f t="shared" si="10"/>
        <v>125.5625</v>
      </c>
      <c r="I310" s="142">
        <v>20.09</v>
      </c>
    </row>
    <row r="311" spans="1:11">
      <c r="A311" t="s">
        <v>178</v>
      </c>
      <c r="B311" s="1">
        <v>41666</v>
      </c>
      <c r="C311" t="s">
        <v>179</v>
      </c>
      <c r="D311">
        <v>1</v>
      </c>
      <c r="E311" t="s">
        <v>180</v>
      </c>
      <c r="F311" s="137" t="s">
        <v>921</v>
      </c>
      <c r="G311" s="137" t="s">
        <v>922</v>
      </c>
      <c r="H311" s="142">
        <f t="shared" si="10"/>
        <v>431.0625</v>
      </c>
      <c r="I311" s="142">
        <v>68.97</v>
      </c>
      <c r="J311" s="13"/>
    </row>
    <row r="312" spans="1:11">
      <c r="A312" t="s">
        <v>178</v>
      </c>
      <c r="B312" s="1">
        <v>41666</v>
      </c>
      <c r="C312" t="s">
        <v>179</v>
      </c>
      <c r="D312">
        <v>1</v>
      </c>
      <c r="E312" t="s">
        <v>180</v>
      </c>
      <c r="F312" t="s">
        <v>763</v>
      </c>
      <c r="G312" t="s">
        <v>900</v>
      </c>
      <c r="H312" s="141">
        <f t="shared" si="10"/>
        <v>388</v>
      </c>
      <c r="I312" s="141">
        <v>62.08</v>
      </c>
    </row>
    <row r="313" spans="1:11">
      <c r="A313" t="s">
        <v>178</v>
      </c>
      <c r="B313" s="1">
        <v>41666</v>
      </c>
      <c r="C313" t="s">
        <v>179</v>
      </c>
      <c r="D313">
        <v>1</v>
      </c>
      <c r="E313" t="s">
        <v>180</v>
      </c>
      <c r="F313" t="s">
        <v>763</v>
      </c>
      <c r="G313" t="s">
        <v>913</v>
      </c>
      <c r="H313" s="141">
        <f t="shared" si="10"/>
        <v>480.1875</v>
      </c>
      <c r="I313" s="141">
        <v>76.83</v>
      </c>
      <c r="J313" s="13">
        <f>1477.81-H309-H310-H311-H312-H313</f>
        <v>-2.5000000000545697E-3</v>
      </c>
      <c r="K313" s="13">
        <f>236.45-I309-I310-I311-I312-I313</f>
        <v>0</v>
      </c>
    </row>
    <row r="314" spans="1:11">
      <c r="A314" t="s">
        <v>193</v>
      </c>
      <c r="B314" s="1">
        <v>41666</v>
      </c>
      <c r="C314" t="s">
        <v>194</v>
      </c>
      <c r="D314">
        <v>1</v>
      </c>
      <c r="E314" t="s">
        <v>195</v>
      </c>
      <c r="F314" t="s">
        <v>763</v>
      </c>
      <c r="G314" t="s">
        <v>900</v>
      </c>
      <c r="H314" s="141">
        <f t="shared" si="10"/>
        <v>388</v>
      </c>
      <c r="I314" s="141">
        <v>62.08</v>
      </c>
      <c r="J314" s="3"/>
      <c r="K314" s="3"/>
    </row>
    <row r="315" spans="1:11">
      <c r="A315" t="s">
        <v>193</v>
      </c>
      <c r="B315" s="1">
        <v>41666</v>
      </c>
      <c r="C315" t="s">
        <v>194</v>
      </c>
      <c r="D315">
        <v>1</v>
      </c>
      <c r="E315" t="s">
        <v>195</v>
      </c>
      <c r="F315" s="25" t="s">
        <v>903</v>
      </c>
      <c r="G315" s="25" t="s">
        <v>904</v>
      </c>
      <c r="H315" s="140">
        <f t="shared" si="10"/>
        <v>73.25</v>
      </c>
      <c r="I315" s="140">
        <v>11.72</v>
      </c>
    </row>
    <row r="316" spans="1:11">
      <c r="A316" t="s">
        <v>193</v>
      </c>
      <c r="B316" s="1">
        <v>41666</v>
      </c>
      <c r="C316" t="s">
        <v>194</v>
      </c>
      <c r="D316">
        <v>1</v>
      </c>
      <c r="E316" t="s">
        <v>195</v>
      </c>
      <c r="F316" s="25" t="s">
        <v>923</v>
      </c>
      <c r="G316" s="25" t="s">
        <v>924</v>
      </c>
      <c r="H316" s="140">
        <f t="shared" si="10"/>
        <v>98.25</v>
      </c>
      <c r="I316" s="140">
        <v>15.72</v>
      </c>
    </row>
    <row r="317" spans="1:11">
      <c r="A317" t="s">
        <v>193</v>
      </c>
      <c r="B317" s="1">
        <v>41666</v>
      </c>
      <c r="C317" t="s">
        <v>194</v>
      </c>
      <c r="D317">
        <v>1</v>
      </c>
      <c r="E317" t="s">
        <v>195</v>
      </c>
      <c r="F317" s="25" t="s">
        <v>925</v>
      </c>
      <c r="G317" s="25" t="s">
        <v>926</v>
      </c>
      <c r="H317" s="140">
        <f t="shared" si="10"/>
        <v>350.5625</v>
      </c>
      <c r="I317" s="140">
        <v>56.09</v>
      </c>
      <c r="J317" s="13">
        <f>910.06-H314-H315-H316-H317</f>
        <v>-2.5000000000545697E-3</v>
      </c>
      <c r="K317" s="13">
        <f>145.61-I314-I315-I316-I317</f>
        <v>0</v>
      </c>
    </row>
    <row r="318" spans="1:11">
      <c r="A318" t="s">
        <v>172</v>
      </c>
      <c r="B318" s="1">
        <v>41666</v>
      </c>
      <c r="C318" t="s">
        <v>173</v>
      </c>
      <c r="D318">
        <v>1</v>
      </c>
      <c r="E318" t="s">
        <v>174</v>
      </c>
      <c r="F318" s="137" t="s">
        <v>914</v>
      </c>
      <c r="G318" s="137" t="s">
        <v>915</v>
      </c>
      <c r="H318" s="142">
        <f t="shared" si="10"/>
        <v>340.625</v>
      </c>
      <c r="I318" s="142">
        <v>54.5</v>
      </c>
      <c r="J318" s="3"/>
      <c r="K318" s="3"/>
    </row>
    <row r="319" spans="1:11">
      <c r="A319" t="s">
        <v>172</v>
      </c>
      <c r="B319" s="1">
        <v>41666</v>
      </c>
      <c r="C319" t="s">
        <v>173</v>
      </c>
      <c r="D319">
        <v>1</v>
      </c>
      <c r="E319" t="s">
        <v>174</v>
      </c>
      <c r="F319" s="25" t="s">
        <v>923</v>
      </c>
      <c r="G319" s="25" t="s">
        <v>927</v>
      </c>
      <c r="H319" s="140">
        <f t="shared" si="10"/>
        <v>359.5</v>
      </c>
      <c r="I319" s="140">
        <v>57.52</v>
      </c>
    </row>
    <row r="320" spans="1:11">
      <c r="A320" t="s">
        <v>172</v>
      </c>
      <c r="B320" s="1">
        <v>41666</v>
      </c>
      <c r="C320" t="s">
        <v>173</v>
      </c>
      <c r="D320">
        <v>1</v>
      </c>
      <c r="E320" t="s">
        <v>174</v>
      </c>
      <c r="F320" s="25" t="s">
        <v>928</v>
      </c>
      <c r="G320" s="25" t="s">
        <v>929</v>
      </c>
      <c r="H320" s="140">
        <f t="shared" si="10"/>
        <v>65</v>
      </c>
      <c r="I320" s="140">
        <v>10.4</v>
      </c>
    </row>
    <row r="321" spans="1:11">
      <c r="A321" t="s">
        <v>172</v>
      </c>
      <c r="B321" s="1">
        <v>41666</v>
      </c>
      <c r="C321" t="s">
        <v>173</v>
      </c>
      <c r="D321">
        <v>1</v>
      </c>
      <c r="E321" t="s">
        <v>174</v>
      </c>
      <c r="F321" t="s">
        <v>763</v>
      </c>
      <c r="G321" t="s">
        <v>900</v>
      </c>
      <c r="H321" s="3">
        <f t="shared" si="10"/>
        <v>430.1875</v>
      </c>
      <c r="I321" s="141">
        <v>68.83</v>
      </c>
      <c r="J321" s="13">
        <f>1195.31-H318-H319-H320-H321</f>
        <v>-2.5000000000545697E-3</v>
      </c>
      <c r="K321" s="13">
        <f>191.25-I318-I319-I320-I321</f>
        <v>0</v>
      </c>
    </row>
    <row r="322" spans="1:11">
      <c r="A322" t="s">
        <v>393</v>
      </c>
      <c r="B322" s="1">
        <v>41670</v>
      </c>
      <c r="C322" t="s">
        <v>394</v>
      </c>
      <c r="D322">
        <v>1</v>
      </c>
      <c r="E322" t="s">
        <v>395</v>
      </c>
      <c r="F322" s="25" t="s">
        <v>930</v>
      </c>
      <c r="G322" s="25" t="s">
        <v>931</v>
      </c>
      <c r="H322" s="140">
        <f t="shared" si="10"/>
        <v>86.25</v>
      </c>
      <c r="I322" s="140">
        <v>13.8</v>
      </c>
      <c r="J322" s="3"/>
      <c r="K322" s="3"/>
    </row>
    <row r="323" spans="1:11">
      <c r="A323" t="s">
        <v>393</v>
      </c>
      <c r="B323" s="1">
        <v>41670</v>
      </c>
      <c r="C323" t="s">
        <v>394</v>
      </c>
      <c r="D323">
        <v>1</v>
      </c>
      <c r="E323" t="s">
        <v>395</v>
      </c>
      <c r="F323" s="25" t="s">
        <v>932</v>
      </c>
      <c r="G323" s="25" t="s">
        <v>933</v>
      </c>
      <c r="H323" s="140">
        <f t="shared" si="10"/>
        <v>292.875</v>
      </c>
      <c r="I323" s="140">
        <v>46.86</v>
      </c>
    </row>
    <row r="324" spans="1:11">
      <c r="A324" t="s">
        <v>393</v>
      </c>
      <c r="B324" s="1">
        <v>41670</v>
      </c>
      <c r="C324" t="s">
        <v>394</v>
      </c>
      <c r="D324">
        <v>1</v>
      </c>
      <c r="E324" t="s">
        <v>395</v>
      </c>
      <c r="F324" t="s">
        <v>763</v>
      </c>
      <c r="G324" t="s">
        <v>900</v>
      </c>
      <c r="H324" s="3">
        <f t="shared" si="10"/>
        <v>114.6875</v>
      </c>
      <c r="I324" s="141">
        <v>18.350000000000001</v>
      </c>
      <c r="J324" s="13">
        <f>493.81-H322-H323-H324</f>
        <v>-2.4999999999977263E-3</v>
      </c>
      <c r="K324" s="13">
        <f>79.01-I322-I323-I324</f>
        <v>0</v>
      </c>
    </row>
    <row r="325" spans="1:11">
      <c r="A325" t="s">
        <v>303</v>
      </c>
      <c r="B325" s="1">
        <v>41670</v>
      </c>
      <c r="C325" t="s">
        <v>304</v>
      </c>
      <c r="D325">
        <v>1</v>
      </c>
      <c r="E325" t="s">
        <v>305</v>
      </c>
      <c r="F325" t="s">
        <v>763</v>
      </c>
      <c r="G325" t="s">
        <v>843</v>
      </c>
      <c r="H325" s="3">
        <f>+I325/0.16</f>
        <v>109.5</v>
      </c>
      <c r="I325" s="3">
        <v>17.52</v>
      </c>
    </row>
    <row r="326" spans="1:11">
      <c r="A326" t="s">
        <v>175</v>
      </c>
      <c r="B326" s="1">
        <v>41666</v>
      </c>
      <c r="C326" t="s">
        <v>176</v>
      </c>
      <c r="D326">
        <v>1</v>
      </c>
      <c r="E326" t="s">
        <v>177</v>
      </c>
      <c r="F326" s="25" t="s">
        <v>934</v>
      </c>
      <c r="G326" s="25" t="s">
        <v>935</v>
      </c>
      <c r="H326" s="140">
        <f t="shared" ref="H326:H331" si="11">I326/0.16</f>
        <v>292.9375</v>
      </c>
      <c r="I326" s="140">
        <v>46.87</v>
      </c>
      <c r="J326" s="3"/>
      <c r="K326" s="3"/>
    </row>
    <row r="327" spans="1:11">
      <c r="A327" t="s">
        <v>175</v>
      </c>
      <c r="B327" s="1">
        <v>41666</v>
      </c>
      <c r="C327" t="s">
        <v>176</v>
      </c>
      <c r="D327">
        <v>1</v>
      </c>
      <c r="E327" t="s">
        <v>177</v>
      </c>
      <c r="F327" t="s">
        <v>763</v>
      </c>
      <c r="G327" t="s">
        <v>900</v>
      </c>
      <c r="H327" s="3">
        <f t="shared" si="11"/>
        <v>226.8125</v>
      </c>
      <c r="I327" s="141">
        <v>36.29</v>
      </c>
      <c r="J327" s="13">
        <f>519.75-H326-H327</f>
        <v>0</v>
      </c>
      <c r="K327" s="13">
        <f>83.16-I326-I327</f>
        <v>0</v>
      </c>
    </row>
    <row r="328" spans="1:11">
      <c r="A328" t="s">
        <v>385</v>
      </c>
      <c r="B328" s="1">
        <v>41670</v>
      </c>
      <c r="C328" t="s">
        <v>386</v>
      </c>
      <c r="D328">
        <v>1</v>
      </c>
      <c r="E328" t="s">
        <v>387</v>
      </c>
      <c r="F328" t="s">
        <v>763</v>
      </c>
      <c r="G328" t="s">
        <v>900</v>
      </c>
      <c r="H328" s="141">
        <f t="shared" si="11"/>
        <v>697.5</v>
      </c>
      <c r="I328" s="141">
        <v>111.6</v>
      </c>
      <c r="J328" s="3"/>
      <c r="K328" s="3"/>
    </row>
    <row r="329" spans="1:11">
      <c r="A329" t="s">
        <v>385</v>
      </c>
      <c r="B329" s="1">
        <v>41670</v>
      </c>
      <c r="C329" t="s">
        <v>386</v>
      </c>
      <c r="D329">
        <v>1</v>
      </c>
      <c r="E329" t="s">
        <v>387</v>
      </c>
      <c r="F329" s="137" t="s">
        <v>914</v>
      </c>
      <c r="G329" s="137" t="s">
        <v>915</v>
      </c>
      <c r="H329" s="142">
        <f t="shared" si="11"/>
        <v>251.0625</v>
      </c>
      <c r="I329" s="142">
        <v>40.17</v>
      </c>
    </row>
    <row r="330" spans="1:11">
      <c r="A330" t="s">
        <v>385</v>
      </c>
      <c r="B330" s="1">
        <v>41670</v>
      </c>
      <c r="C330" t="s">
        <v>386</v>
      </c>
      <c r="D330">
        <v>1</v>
      </c>
      <c r="E330" t="s">
        <v>387</v>
      </c>
      <c r="F330" s="25" t="s">
        <v>936</v>
      </c>
      <c r="G330" s="25" t="s">
        <v>937</v>
      </c>
      <c r="H330" s="140">
        <f t="shared" si="11"/>
        <v>95</v>
      </c>
      <c r="I330" s="140">
        <v>15.2</v>
      </c>
    </row>
    <row r="331" spans="1:11">
      <c r="A331" t="s">
        <v>385</v>
      </c>
      <c r="B331" s="1">
        <v>41670</v>
      </c>
      <c r="C331" t="s">
        <v>386</v>
      </c>
      <c r="D331">
        <v>1</v>
      </c>
      <c r="E331" t="s">
        <v>387</v>
      </c>
      <c r="F331" s="137" t="s">
        <v>938</v>
      </c>
      <c r="G331" s="137" t="s">
        <v>939</v>
      </c>
      <c r="H331" s="142">
        <f t="shared" si="11"/>
        <v>476.99999999999994</v>
      </c>
      <c r="I331" s="142">
        <v>76.319999999999993</v>
      </c>
      <c r="J331" s="13">
        <f>1520.56-H328-H329-H330-H331</f>
        <v>-2.4999999999977263E-3</v>
      </c>
      <c r="K331" s="13">
        <f>243.29-I328-I329-I330-I331</f>
        <v>0</v>
      </c>
    </row>
    <row r="332" spans="1:11">
      <c r="A332" t="s">
        <v>411</v>
      </c>
      <c r="B332" s="1">
        <v>41670</v>
      </c>
      <c r="C332" t="s">
        <v>412</v>
      </c>
      <c r="D332">
        <v>1</v>
      </c>
      <c r="E332" t="s">
        <v>413</v>
      </c>
      <c r="F332" s="25" t="s">
        <v>907</v>
      </c>
      <c r="G332" s="25" t="s">
        <v>908</v>
      </c>
      <c r="H332" s="3">
        <f>+I332/0.16</f>
        <v>93.999999999999986</v>
      </c>
      <c r="I332" s="3">
        <v>15.04</v>
      </c>
    </row>
    <row r="333" spans="1:11">
      <c r="A333" t="s">
        <v>306</v>
      </c>
      <c r="B333" s="1">
        <v>41670</v>
      </c>
      <c r="C333" t="s">
        <v>307</v>
      </c>
      <c r="D333">
        <v>1</v>
      </c>
      <c r="E333" t="s">
        <v>308</v>
      </c>
      <c r="F333" s="25" t="s">
        <v>916</v>
      </c>
      <c r="G333" s="25" t="s">
        <v>917</v>
      </c>
      <c r="H333" s="140">
        <f t="shared" ref="H333:H342" si="12">I333/0.16</f>
        <v>64.625</v>
      </c>
      <c r="I333" s="140">
        <v>10.34</v>
      </c>
      <c r="J333" s="3"/>
      <c r="K333" s="3"/>
    </row>
    <row r="334" spans="1:11">
      <c r="A334" t="s">
        <v>306</v>
      </c>
      <c r="B334" s="1">
        <v>41670</v>
      </c>
      <c r="C334" t="s">
        <v>307</v>
      </c>
      <c r="D334">
        <v>1</v>
      </c>
      <c r="E334" t="s">
        <v>308</v>
      </c>
      <c r="F334" s="137" t="s">
        <v>911</v>
      </c>
      <c r="G334" s="137" t="s">
        <v>912</v>
      </c>
      <c r="H334" s="142">
        <f t="shared" si="12"/>
        <v>418.4375</v>
      </c>
      <c r="I334" s="142">
        <v>66.95</v>
      </c>
    </row>
    <row r="335" spans="1:11">
      <c r="A335" t="s">
        <v>306</v>
      </c>
      <c r="B335" s="1">
        <v>41670</v>
      </c>
      <c r="C335" t="s">
        <v>307</v>
      </c>
      <c r="D335">
        <v>1</v>
      </c>
      <c r="E335" t="s">
        <v>308</v>
      </c>
      <c r="F335" t="s">
        <v>763</v>
      </c>
      <c r="G335" t="s">
        <v>900</v>
      </c>
      <c r="H335" s="141">
        <f t="shared" si="12"/>
        <v>789.6875</v>
      </c>
      <c r="I335" s="141">
        <v>126.35</v>
      </c>
      <c r="J335" s="13">
        <f>1272.75-H333-H334-H335</f>
        <v>0</v>
      </c>
      <c r="K335" s="13">
        <f>203.64-I333-I334-I335</f>
        <v>0</v>
      </c>
    </row>
    <row r="336" spans="1:11">
      <c r="A336" t="s">
        <v>318</v>
      </c>
      <c r="B336" s="1">
        <v>41670</v>
      </c>
      <c r="C336" t="s">
        <v>319</v>
      </c>
      <c r="D336">
        <v>1</v>
      </c>
      <c r="E336" t="s">
        <v>320</v>
      </c>
      <c r="F336" s="9" t="s">
        <v>763</v>
      </c>
      <c r="G336" s="9" t="s">
        <v>900</v>
      </c>
      <c r="H336" s="141">
        <f t="shared" si="12"/>
        <v>789.6875</v>
      </c>
      <c r="I336" s="141">
        <v>126.35</v>
      </c>
      <c r="J336" s="3"/>
      <c r="K336" s="3"/>
    </row>
    <row r="337" spans="1:11">
      <c r="A337" t="s">
        <v>318</v>
      </c>
      <c r="B337" s="1">
        <v>41670</v>
      </c>
      <c r="C337" t="s">
        <v>319</v>
      </c>
      <c r="D337">
        <v>1</v>
      </c>
      <c r="E337" t="s">
        <v>320</v>
      </c>
      <c r="F337" s="25" t="s">
        <v>916</v>
      </c>
      <c r="G337" s="25" t="s">
        <v>917</v>
      </c>
      <c r="H337" s="140">
        <f t="shared" si="12"/>
        <v>94.8125</v>
      </c>
      <c r="I337" s="140">
        <v>15.17</v>
      </c>
    </row>
    <row r="338" spans="1:11">
      <c r="A338" t="s">
        <v>318</v>
      </c>
      <c r="B338" s="1">
        <v>41670</v>
      </c>
      <c r="C338" t="s">
        <v>319</v>
      </c>
      <c r="D338">
        <v>1</v>
      </c>
      <c r="E338" t="s">
        <v>320</v>
      </c>
      <c r="F338" s="137" t="s">
        <v>911</v>
      </c>
      <c r="G338" s="137" t="s">
        <v>912</v>
      </c>
      <c r="H338" s="142">
        <f t="shared" si="12"/>
        <v>251.0625</v>
      </c>
      <c r="I338" s="142">
        <v>40.17</v>
      </c>
    </row>
    <row r="339" spans="1:11">
      <c r="A339" t="s">
        <v>318</v>
      </c>
      <c r="B339" s="1">
        <v>41670</v>
      </c>
      <c r="C339" t="s">
        <v>319</v>
      </c>
      <c r="D339">
        <v>1</v>
      </c>
      <c r="E339" t="s">
        <v>320</v>
      </c>
      <c r="F339" s="25" t="s">
        <v>940</v>
      </c>
      <c r="G339" s="25" t="s">
        <v>941</v>
      </c>
      <c r="H339" s="140">
        <f t="shared" si="12"/>
        <v>86.187499999999986</v>
      </c>
      <c r="I339" s="140">
        <v>13.79</v>
      </c>
      <c r="J339" s="13">
        <f>1221.75-H336-H337-H338-H339</f>
        <v>0</v>
      </c>
      <c r="K339" s="13">
        <f>195.48-I336-I337-I338-I339</f>
        <v>0</v>
      </c>
    </row>
    <row r="340" spans="1:11">
      <c r="A340" t="s">
        <v>390</v>
      </c>
      <c r="B340" s="1">
        <v>41670</v>
      </c>
      <c r="C340" t="s">
        <v>391</v>
      </c>
      <c r="D340">
        <v>1</v>
      </c>
      <c r="E340" t="s">
        <v>392</v>
      </c>
      <c r="F340" s="137" t="s">
        <v>911</v>
      </c>
      <c r="G340" s="137" t="s">
        <v>912</v>
      </c>
      <c r="H340" s="142">
        <f t="shared" si="12"/>
        <v>495.43749999999994</v>
      </c>
      <c r="I340" s="142">
        <v>79.27</v>
      </c>
      <c r="J340" s="3"/>
      <c r="K340" s="3"/>
    </row>
    <row r="341" spans="1:11">
      <c r="A341" t="s">
        <v>390</v>
      </c>
      <c r="B341" s="1">
        <v>41670</v>
      </c>
      <c r="C341" t="s">
        <v>391</v>
      </c>
      <c r="D341">
        <v>1</v>
      </c>
      <c r="E341" t="s">
        <v>392</v>
      </c>
      <c r="F341" s="25" t="s">
        <v>928</v>
      </c>
      <c r="G341" s="25" t="s">
        <v>929</v>
      </c>
      <c r="H341" s="140">
        <f t="shared" si="12"/>
        <v>65</v>
      </c>
      <c r="I341" s="140">
        <v>10.4</v>
      </c>
    </row>
    <row r="342" spans="1:11">
      <c r="A342" t="s">
        <v>390</v>
      </c>
      <c r="B342" s="1">
        <v>41670</v>
      </c>
      <c r="C342" t="s">
        <v>391</v>
      </c>
      <c r="D342">
        <v>1</v>
      </c>
      <c r="E342" t="s">
        <v>392</v>
      </c>
      <c r="F342" t="s">
        <v>763</v>
      </c>
      <c r="G342" t="s">
        <v>900</v>
      </c>
      <c r="H342" s="141">
        <f t="shared" si="12"/>
        <v>789.6875</v>
      </c>
      <c r="I342" s="141">
        <v>126.35</v>
      </c>
      <c r="J342" s="13">
        <f>1350.13-H340-H342-H341</f>
        <v>5.0000000001091394E-3</v>
      </c>
      <c r="K342" s="13">
        <f>216.02-I340-I341-I342</f>
        <v>0</v>
      </c>
    </row>
    <row r="343" spans="1:11">
      <c r="A343" t="s">
        <v>388</v>
      </c>
      <c r="B343" s="1">
        <v>41670</v>
      </c>
      <c r="C343">
        <v>9006293</v>
      </c>
      <c r="D343">
        <v>1</v>
      </c>
      <c r="E343" t="s">
        <v>389</v>
      </c>
      <c r="F343" s="25" t="s">
        <v>907</v>
      </c>
      <c r="G343" s="25" t="s">
        <v>908</v>
      </c>
      <c r="H343" s="3">
        <f>+I343/0.16</f>
        <v>102.5625</v>
      </c>
      <c r="I343" s="3">
        <v>16.41</v>
      </c>
    </row>
    <row r="344" spans="1:11">
      <c r="A344" t="s">
        <v>405</v>
      </c>
      <c r="B344" s="1">
        <v>41670</v>
      </c>
      <c r="C344" t="s">
        <v>406</v>
      </c>
      <c r="D344">
        <v>1</v>
      </c>
      <c r="E344" t="s">
        <v>407</v>
      </c>
      <c r="F344" s="137" t="s">
        <v>942</v>
      </c>
      <c r="G344" s="137" t="s">
        <v>943</v>
      </c>
      <c r="H344" s="142">
        <f t="shared" ref="H344:H369" si="13">I344/0.16</f>
        <v>309.3125</v>
      </c>
      <c r="I344" s="142">
        <v>49.49</v>
      </c>
      <c r="J344" s="3"/>
      <c r="K344" s="3"/>
    </row>
    <row r="345" spans="1:11">
      <c r="A345" t="s">
        <v>405</v>
      </c>
      <c r="B345" s="1">
        <v>41670</v>
      </c>
      <c r="C345" t="s">
        <v>406</v>
      </c>
      <c r="D345">
        <v>1</v>
      </c>
      <c r="E345" t="s">
        <v>407</v>
      </c>
      <c r="F345" t="s">
        <v>763</v>
      </c>
      <c r="G345" t="s">
        <v>900</v>
      </c>
      <c r="H345" s="141">
        <f t="shared" si="13"/>
        <v>226.8125</v>
      </c>
      <c r="I345" s="141">
        <v>36.29</v>
      </c>
      <c r="J345" s="13">
        <f>536.13-H344-H345</f>
        <v>4.9999999999954525E-3</v>
      </c>
      <c r="K345" s="13">
        <f>85.78-I344-I345</f>
        <v>0</v>
      </c>
    </row>
    <row r="346" spans="1:11">
      <c r="A346" t="s">
        <v>408</v>
      </c>
      <c r="B346" s="1">
        <v>41670</v>
      </c>
      <c r="C346" t="s">
        <v>409</v>
      </c>
      <c r="D346">
        <v>1</v>
      </c>
      <c r="E346" t="s">
        <v>410</v>
      </c>
      <c r="F346" s="9" t="s">
        <v>763</v>
      </c>
      <c r="G346" s="9" t="s">
        <v>900</v>
      </c>
      <c r="H346" s="141">
        <f t="shared" si="13"/>
        <v>733.625</v>
      </c>
      <c r="I346" s="141">
        <v>117.38</v>
      </c>
      <c r="J346" s="3"/>
      <c r="K346" s="3"/>
    </row>
    <row r="347" spans="1:11">
      <c r="A347" t="s">
        <v>408</v>
      </c>
      <c r="B347" s="1">
        <v>41670</v>
      </c>
      <c r="C347" t="s">
        <v>409</v>
      </c>
      <c r="D347">
        <v>1</v>
      </c>
      <c r="E347" t="s">
        <v>410</v>
      </c>
      <c r="F347" s="137" t="s">
        <v>914</v>
      </c>
      <c r="G347" s="137" t="s">
        <v>915</v>
      </c>
      <c r="H347" s="142">
        <f t="shared" si="13"/>
        <v>376.625</v>
      </c>
      <c r="I347" s="142">
        <v>60.26</v>
      </c>
    </row>
    <row r="348" spans="1:11">
      <c r="A348" t="s">
        <v>408</v>
      </c>
      <c r="B348" s="1">
        <v>41670</v>
      </c>
      <c r="C348" t="s">
        <v>409</v>
      </c>
      <c r="D348">
        <v>1</v>
      </c>
      <c r="E348" t="s">
        <v>410</v>
      </c>
      <c r="F348" s="25" t="s">
        <v>944</v>
      </c>
      <c r="G348" s="25" t="s">
        <v>945</v>
      </c>
      <c r="H348" s="140">
        <f t="shared" si="13"/>
        <v>99.125</v>
      </c>
      <c r="I348" s="140">
        <v>15.86</v>
      </c>
      <c r="J348" s="13">
        <f>1209.38-H346-H347-H348</f>
        <v>5.0000000001091394E-3</v>
      </c>
      <c r="K348" s="13">
        <f>193.5-I346-I347-I348</f>
        <v>0</v>
      </c>
    </row>
    <row r="349" spans="1:11">
      <c r="A349" t="s">
        <v>312</v>
      </c>
      <c r="B349" s="1">
        <v>41670</v>
      </c>
      <c r="C349" t="s">
        <v>313</v>
      </c>
      <c r="D349">
        <v>1</v>
      </c>
      <c r="E349" t="s">
        <v>314</v>
      </c>
      <c r="F349" s="25" t="s">
        <v>946</v>
      </c>
      <c r="G349" s="25" t="s">
        <v>947</v>
      </c>
      <c r="H349" s="140">
        <f t="shared" si="13"/>
        <v>8.1875</v>
      </c>
      <c r="I349" s="140">
        <v>1.31</v>
      </c>
      <c r="J349" s="3"/>
      <c r="K349" s="3"/>
    </row>
    <row r="350" spans="1:11">
      <c r="A350" t="s">
        <v>312</v>
      </c>
      <c r="B350" s="1">
        <v>41670</v>
      </c>
      <c r="C350" t="s">
        <v>313</v>
      </c>
      <c r="D350">
        <v>1</v>
      </c>
      <c r="E350" t="s">
        <v>314</v>
      </c>
      <c r="F350" s="25" t="s">
        <v>948</v>
      </c>
      <c r="G350" s="25" t="s">
        <v>949</v>
      </c>
      <c r="H350" s="140">
        <f t="shared" si="13"/>
        <v>69</v>
      </c>
      <c r="I350" s="140">
        <v>11.04</v>
      </c>
    </row>
    <row r="351" spans="1:11">
      <c r="A351" t="s">
        <v>312</v>
      </c>
      <c r="B351" s="1">
        <v>41670</v>
      </c>
      <c r="C351" t="s">
        <v>313</v>
      </c>
      <c r="D351">
        <v>1</v>
      </c>
      <c r="E351" t="s">
        <v>314</v>
      </c>
      <c r="F351" s="137" t="s">
        <v>919</v>
      </c>
      <c r="G351" s="137" t="s">
        <v>920</v>
      </c>
      <c r="H351" s="142">
        <f t="shared" si="13"/>
        <v>125.5625</v>
      </c>
      <c r="I351" s="142">
        <v>20.09</v>
      </c>
    </row>
    <row r="352" spans="1:11">
      <c r="A352" t="s">
        <v>312</v>
      </c>
      <c r="B352" s="1">
        <v>41670</v>
      </c>
      <c r="C352" t="s">
        <v>313</v>
      </c>
      <c r="D352">
        <v>1</v>
      </c>
      <c r="E352" t="s">
        <v>314</v>
      </c>
      <c r="F352" s="137" t="s">
        <v>950</v>
      </c>
      <c r="G352" s="137" t="s">
        <v>951</v>
      </c>
      <c r="H352" s="142">
        <f t="shared" si="13"/>
        <v>535.625</v>
      </c>
      <c r="I352" s="142">
        <v>85.7</v>
      </c>
    </row>
    <row r="353" spans="1:11">
      <c r="A353" t="s">
        <v>312</v>
      </c>
      <c r="B353" s="1">
        <v>41670</v>
      </c>
      <c r="C353" t="s">
        <v>313</v>
      </c>
      <c r="D353">
        <v>1</v>
      </c>
      <c r="E353" t="s">
        <v>314</v>
      </c>
      <c r="F353" s="137" t="s">
        <v>952</v>
      </c>
      <c r="G353" s="137" t="s">
        <v>953</v>
      </c>
      <c r="H353" s="142">
        <f t="shared" si="13"/>
        <v>515.5</v>
      </c>
      <c r="I353" s="142">
        <v>82.48</v>
      </c>
    </row>
    <row r="354" spans="1:11">
      <c r="A354" t="s">
        <v>312</v>
      </c>
      <c r="B354" s="1">
        <v>41670</v>
      </c>
      <c r="C354" t="s">
        <v>313</v>
      </c>
      <c r="D354">
        <v>1</v>
      </c>
      <c r="E354" t="s">
        <v>314</v>
      </c>
      <c r="F354" t="s">
        <v>763</v>
      </c>
      <c r="G354" t="s">
        <v>900</v>
      </c>
      <c r="H354" s="141">
        <f t="shared" si="13"/>
        <v>904.37499999999989</v>
      </c>
      <c r="I354" s="141">
        <v>144.69999999999999</v>
      </c>
      <c r="J354" s="13">
        <f>2158.25-H349-H350-H351-H352-H353-H354</f>
        <v>0</v>
      </c>
      <c r="K354" s="13">
        <f>345.32-I349-I350-I351-I352-I353-I354</f>
        <v>0</v>
      </c>
    </row>
    <row r="355" spans="1:11">
      <c r="A355" t="s">
        <v>187</v>
      </c>
      <c r="B355" s="1">
        <v>41666</v>
      </c>
      <c r="C355" t="s">
        <v>188</v>
      </c>
      <c r="D355">
        <v>1</v>
      </c>
      <c r="E355" t="s">
        <v>189</v>
      </c>
      <c r="F355" t="s">
        <v>763</v>
      </c>
      <c r="G355" t="s">
        <v>900</v>
      </c>
      <c r="H355" s="141">
        <f t="shared" si="13"/>
        <v>693.125</v>
      </c>
      <c r="I355" s="141">
        <v>110.9</v>
      </c>
      <c r="J355" s="3"/>
      <c r="K355" s="3"/>
    </row>
    <row r="356" spans="1:11">
      <c r="A356" t="s">
        <v>187</v>
      </c>
      <c r="B356" s="1">
        <v>41666</v>
      </c>
      <c r="C356" t="s">
        <v>188</v>
      </c>
      <c r="D356">
        <v>1</v>
      </c>
      <c r="E356" t="s">
        <v>189</v>
      </c>
      <c r="F356" t="s">
        <v>763</v>
      </c>
      <c r="G356" t="s">
        <v>913</v>
      </c>
      <c r="H356" s="141">
        <f t="shared" si="13"/>
        <v>737.0625</v>
      </c>
      <c r="I356" s="141">
        <v>117.93</v>
      </c>
    </row>
    <row r="357" spans="1:11">
      <c r="A357" t="s">
        <v>187</v>
      </c>
      <c r="B357" s="1">
        <v>41666</v>
      </c>
      <c r="C357" t="s">
        <v>188</v>
      </c>
      <c r="D357">
        <v>1</v>
      </c>
      <c r="E357" t="s">
        <v>189</v>
      </c>
      <c r="F357" s="25" t="s">
        <v>954</v>
      </c>
      <c r="G357" s="25" t="s">
        <v>955</v>
      </c>
      <c r="H357" s="140">
        <f t="shared" si="13"/>
        <v>86.25</v>
      </c>
      <c r="I357" s="140">
        <v>13.8</v>
      </c>
    </row>
    <row r="358" spans="1:11">
      <c r="A358" t="s">
        <v>187</v>
      </c>
      <c r="B358" s="1">
        <v>41666</v>
      </c>
      <c r="C358" t="s">
        <v>188</v>
      </c>
      <c r="D358">
        <v>1</v>
      </c>
      <c r="E358" t="s">
        <v>189</v>
      </c>
      <c r="F358" s="25" t="s">
        <v>956</v>
      </c>
      <c r="G358" s="25" t="s">
        <v>957</v>
      </c>
      <c r="H358" s="140">
        <f t="shared" si="13"/>
        <v>309.3125</v>
      </c>
      <c r="I358" s="140">
        <v>49.49</v>
      </c>
    </row>
    <row r="359" spans="1:11">
      <c r="A359" t="s">
        <v>187</v>
      </c>
      <c r="B359" s="1">
        <v>41666</v>
      </c>
      <c r="C359" t="s">
        <v>188</v>
      </c>
      <c r="D359">
        <v>1</v>
      </c>
      <c r="E359" t="s">
        <v>189</v>
      </c>
      <c r="F359" s="137" t="s">
        <v>958</v>
      </c>
      <c r="G359" s="137" t="s">
        <v>959</v>
      </c>
      <c r="H359" s="142">
        <f t="shared" si="13"/>
        <v>543.125</v>
      </c>
      <c r="I359" s="142">
        <v>86.9</v>
      </c>
      <c r="J359" s="13">
        <f>2368.88-H355-H356-H357-H358-H359</f>
        <v>5.0000000001091394E-3</v>
      </c>
      <c r="K359" s="13">
        <f>379.02-I355-I356-I357-I358-I359</f>
        <v>0</v>
      </c>
    </row>
    <row r="360" spans="1:11">
      <c r="A360" t="s">
        <v>190</v>
      </c>
      <c r="B360" s="1">
        <v>41666</v>
      </c>
      <c r="C360" t="s">
        <v>191</v>
      </c>
      <c r="D360">
        <v>1</v>
      </c>
      <c r="E360" t="s">
        <v>192</v>
      </c>
      <c r="F360" s="25" t="s">
        <v>903</v>
      </c>
      <c r="G360" s="25" t="s">
        <v>904</v>
      </c>
      <c r="H360" s="140">
        <f t="shared" si="13"/>
        <v>70.6875</v>
      </c>
      <c r="I360" s="140">
        <v>11.31</v>
      </c>
      <c r="J360" s="3"/>
      <c r="K360" s="3"/>
    </row>
    <row r="361" spans="1:11">
      <c r="A361" t="s">
        <v>190</v>
      </c>
      <c r="B361" s="1">
        <v>41666</v>
      </c>
      <c r="C361" t="s">
        <v>191</v>
      </c>
      <c r="D361">
        <v>1</v>
      </c>
      <c r="E361" t="s">
        <v>192</v>
      </c>
      <c r="F361" s="25" t="s">
        <v>960</v>
      </c>
      <c r="G361" s="25" t="s">
        <v>961</v>
      </c>
      <c r="H361" s="140">
        <f t="shared" si="13"/>
        <v>334.75</v>
      </c>
      <c r="I361" s="140">
        <v>53.56</v>
      </c>
    </row>
    <row r="362" spans="1:11">
      <c r="A362" t="s">
        <v>190</v>
      </c>
      <c r="B362" s="1">
        <v>41666</v>
      </c>
      <c r="C362" t="s">
        <v>191</v>
      </c>
      <c r="D362">
        <v>1</v>
      </c>
      <c r="E362" t="s">
        <v>192</v>
      </c>
      <c r="F362" t="s">
        <v>763</v>
      </c>
      <c r="G362" t="s">
        <v>900</v>
      </c>
      <c r="H362" s="141">
        <f t="shared" si="13"/>
        <v>120.75</v>
      </c>
      <c r="I362" s="141">
        <v>19.32</v>
      </c>
      <c r="J362" s="13">
        <f>526.19-H360-H361-H362</f>
        <v>2.5000000000545697E-3</v>
      </c>
      <c r="K362" s="13">
        <f>84.19-I360-I361-I362</f>
        <v>0</v>
      </c>
    </row>
    <row r="363" spans="1:11">
      <c r="A363" t="s">
        <v>309</v>
      </c>
      <c r="B363" s="1">
        <v>41670</v>
      </c>
      <c r="C363" t="s">
        <v>310</v>
      </c>
      <c r="D363">
        <v>1</v>
      </c>
      <c r="E363" t="s">
        <v>311</v>
      </c>
      <c r="F363" t="s">
        <v>763</v>
      </c>
      <c r="G363" t="s">
        <v>900</v>
      </c>
      <c r="H363" s="141">
        <f t="shared" si="13"/>
        <v>176.8125</v>
      </c>
      <c r="I363" s="141">
        <v>28.29</v>
      </c>
      <c r="J363" s="3"/>
      <c r="K363" s="3"/>
    </row>
    <row r="364" spans="1:11">
      <c r="A364" t="s">
        <v>309</v>
      </c>
      <c r="B364" s="1">
        <v>41670</v>
      </c>
      <c r="C364" t="s">
        <v>310</v>
      </c>
      <c r="D364">
        <v>1</v>
      </c>
      <c r="E364" t="s">
        <v>311</v>
      </c>
      <c r="F364" s="25" t="s">
        <v>948</v>
      </c>
      <c r="G364" s="25" t="s">
        <v>949</v>
      </c>
      <c r="H364" s="140">
        <f t="shared" si="13"/>
        <v>111.25</v>
      </c>
      <c r="I364" s="140">
        <v>17.8</v>
      </c>
    </row>
    <row r="365" spans="1:11">
      <c r="A365" t="s">
        <v>309</v>
      </c>
      <c r="B365" s="1">
        <v>41670</v>
      </c>
      <c r="C365" t="s">
        <v>310</v>
      </c>
      <c r="D365">
        <v>1</v>
      </c>
      <c r="E365" t="s">
        <v>311</v>
      </c>
      <c r="F365" s="137" t="s">
        <v>905</v>
      </c>
      <c r="G365" s="137" t="s">
        <v>906</v>
      </c>
      <c r="H365" s="142">
        <f t="shared" si="13"/>
        <v>309.75</v>
      </c>
      <c r="I365" s="142">
        <v>49.56</v>
      </c>
      <c r="J365" s="13">
        <f>597.81-H363-H364-H365</f>
        <v>-2.5000000000545697E-3</v>
      </c>
      <c r="K365" s="13">
        <f>95.65-I363-I364-I365</f>
        <v>0</v>
      </c>
    </row>
    <row r="366" spans="1:11">
      <c r="A366" t="s">
        <v>169</v>
      </c>
      <c r="B366" s="1">
        <v>41666</v>
      </c>
      <c r="C366" t="s">
        <v>170</v>
      </c>
      <c r="D366">
        <v>1</v>
      </c>
      <c r="E366" t="s">
        <v>171</v>
      </c>
      <c r="F366" s="25" t="s">
        <v>903</v>
      </c>
      <c r="G366" s="25" t="s">
        <v>904</v>
      </c>
      <c r="H366" s="140">
        <f t="shared" si="13"/>
        <v>73.25</v>
      </c>
      <c r="I366" s="140">
        <v>11.72</v>
      </c>
      <c r="J366" s="3"/>
      <c r="K366" s="3"/>
    </row>
    <row r="367" spans="1:11">
      <c r="A367" t="s">
        <v>169</v>
      </c>
      <c r="B367" s="1">
        <v>41666</v>
      </c>
      <c r="C367" t="s">
        <v>170</v>
      </c>
      <c r="D367">
        <v>1</v>
      </c>
      <c r="E367" t="s">
        <v>171</v>
      </c>
      <c r="F367" s="25" t="s">
        <v>923</v>
      </c>
      <c r="G367" s="25" t="s">
        <v>927</v>
      </c>
      <c r="H367" s="140">
        <f t="shared" si="13"/>
        <v>200</v>
      </c>
      <c r="I367" s="140">
        <v>32</v>
      </c>
    </row>
    <row r="368" spans="1:11">
      <c r="A368" t="s">
        <v>169</v>
      </c>
      <c r="B368" s="1">
        <v>41666</v>
      </c>
      <c r="C368" t="s">
        <v>170</v>
      </c>
      <c r="D368">
        <v>1</v>
      </c>
      <c r="E368" t="s">
        <v>171</v>
      </c>
      <c r="F368" s="137" t="s">
        <v>905</v>
      </c>
      <c r="G368" s="137" t="s">
        <v>906</v>
      </c>
      <c r="H368" s="142">
        <f t="shared" si="13"/>
        <v>309.3125</v>
      </c>
      <c r="I368" s="142">
        <v>49.49</v>
      </c>
    </row>
    <row r="369" spans="1:11">
      <c r="A369" t="s">
        <v>169</v>
      </c>
      <c r="B369" s="1">
        <v>41666</v>
      </c>
      <c r="C369" t="s">
        <v>170</v>
      </c>
      <c r="D369">
        <v>1</v>
      </c>
      <c r="E369" t="s">
        <v>171</v>
      </c>
      <c r="F369" t="s">
        <v>763</v>
      </c>
      <c r="G369" t="s">
        <v>900</v>
      </c>
      <c r="H369" s="3">
        <f t="shared" si="13"/>
        <v>176.8125</v>
      </c>
      <c r="I369" s="141">
        <v>28.29</v>
      </c>
      <c r="J369" s="13">
        <f>759.38-H366-H367-H368-H369</f>
        <v>4.9999999999954525E-3</v>
      </c>
      <c r="K369" s="13">
        <f>121.5-I366-I367-I368-I369</f>
        <v>0</v>
      </c>
    </row>
    <row r="370" spans="1:11">
      <c r="A370" t="s">
        <v>396</v>
      </c>
      <c r="B370" s="1">
        <v>41670</v>
      </c>
      <c r="C370" t="s">
        <v>397</v>
      </c>
      <c r="D370">
        <v>1</v>
      </c>
      <c r="E370" t="s">
        <v>398</v>
      </c>
      <c r="F370" t="s">
        <v>763</v>
      </c>
      <c r="G370" t="s">
        <v>900</v>
      </c>
      <c r="H370" s="3">
        <f>+I370/0.16</f>
        <v>56.0625</v>
      </c>
      <c r="I370" s="3">
        <v>8.9700000000000006</v>
      </c>
    </row>
    <row r="371" spans="1:11">
      <c r="A371" t="s">
        <v>382</v>
      </c>
      <c r="B371" s="1">
        <v>41670</v>
      </c>
      <c r="C371" t="s">
        <v>383</v>
      </c>
      <c r="D371">
        <v>1</v>
      </c>
      <c r="E371" t="s">
        <v>384</v>
      </c>
      <c r="F371" t="s">
        <v>763</v>
      </c>
      <c r="G371" t="s">
        <v>900</v>
      </c>
      <c r="H371" s="141">
        <f t="shared" ref="H371:H377" si="14">I371/0.16</f>
        <v>789.6875</v>
      </c>
      <c r="I371" s="141">
        <v>126.35</v>
      </c>
      <c r="J371" s="3"/>
      <c r="K371" s="3"/>
    </row>
    <row r="372" spans="1:11">
      <c r="A372" t="s">
        <v>382</v>
      </c>
      <c r="B372" s="1">
        <v>41670</v>
      </c>
      <c r="C372" t="s">
        <v>383</v>
      </c>
      <c r="D372">
        <v>1</v>
      </c>
      <c r="E372" t="s">
        <v>384</v>
      </c>
      <c r="F372" s="25" t="s">
        <v>962</v>
      </c>
      <c r="G372" s="25" t="s">
        <v>963</v>
      </c>
      <c r="H372" s="140">
        <f t="shared" si="14"/>
        <v>344.8125</v>
      </c>
      <c r="I372" s="140">
        <v>55.17</v>
      </c>
    </row>
    <row r="373" spans="1:11">
      <c r="A373" t="s">
        <v>382</v>
      </c>
      <c r="B373" s="1">
        <v>41670</v>
      </c>
      <c r="C373" t="s">
        <v>383</v>
      </c>
      <c r="D373">
        <v>1</v>
      </c>
      <c r="E373" t="s">
        <v>384</v>
      </c>
      <c r="F373" s="25" t="s">
        <v>916</v>
      </c>
      <c r="G373" s="25" t="s">
        <v>917</v>
      </c>
      <c r="H373" s="140">
        <f t="shared" si="14"/>
        <v>64.625</v>
      </c>
      <c r="I373" s="140">
        <v>10.34</v>
      </c>
      <c r="J373" s="13">
        <f>1199.13-H371-H372-H373</f>
        <v>5.0000000001091394E-3</v>
      </c>
      <c r="K373" s="13">
        <f>191.86-I371-I372-I373</f>
        <v>1.7763568394002505E-14</v>
      </c>
    </row>
    <row r="374" spans="1:11">
      <c r="A374" t="s">
        <v>379</v>
      </c>
      <c r="B374" s="1">
        <v>41670</v>
      </c>
      <c r="C374" t="s">
        <v>380</v>
      </c>
      <c r="D374">
        <v>1</v>
      </c>
      <c r="E374" t="s">
        <v>381</v>
      </c>
      <c r="F374" s="25" t="s">
        <v>964</v>
      </c>
      <c r="G374" s="25" t="s">
        <v>965</v>
      </c>
      <c r="H374" s="140">
        <f t="shared" si="14"/>
        <v>83.6875</v>
      </c>
      <c r="I374" s="140">
        <v>13.39</v>
      </c>
      <c r="J374" s="3"/>
      <c r="K374" s="3"/>
    </row>
    <row r="375" spans="1:11">
      <c r="A375" t="s">
        <v>379</v>
      </c>
      <c r="B375" s="1">
        <v>41670</v>
      </c>
      <c r="C375" t="s">
        <v>380</v>
      </c>
      <c r="D375">
        <v>1</v>
      </c>
      <c r="E375" t="s">
        <v>381</v>
      </c>
      <c r="F375" t="s">
        <v>763</v>
      </c>
      <c r="G375" t="s">
        <v>900</v>
      </c>
      <c r="H375" s="141">
        <f t="shared" si="14"/>
        <v>115.56249999999999</v>
      </c>
      <c r="I375" s="141">
        <v>18.489999999999998</v>
      </c>
      <c r="J375" s="13">
        <f>199.25-H374-H375</f>
        <v>0</v>
      </c>
      <c r="K375" s="13">
        <f>31.88-I374-I375</f>
        <v>0</v>
      </c>
    </row>
    <row r="376" spans="1:11">
      <c r="A376" t="s">
        <v>315</v>
      </c>
      <c r="B376" s="1">
        <v>41670</v>
      </c>
      <c r="C376" t="s">
        <v>316</v>
      </c>
      <c r="D376">
        <v>1</v>
      </c>
      <c r="E376" t="s">
        <v>317</v>
      </c>
      <c r="F376" s="25" t="s">
        <v>966</v>
      </c>
      <c r="G376" s="25" t="s">
        <v>967</v>
      </c>
      <c r="H376" s="140">
        <f t="shared" si="14"/>
        <v>40</v>
      </c>
      <c r="I376" s="140">
        <v>6.4</v>
      </c>
      <c r="J376" s="3"/>
      <c r="K376" s="3"/>
    </row>
    <row r="377" spans="1:11">
      <c r="A377" t="s">
        <v>315</v>
      </c>
      <c r="B377" s="1">
        <v>41670</v>
      </c>
      <c r="C377" t="s">
        <v>316</v>
      </c>
      <c r="D377">
        <v>1</v>
      </c>
      <c r="E377" t="s">
        <v>317</v>
      </c>
      <c r="F377" s="137" t="s">
        <v>968</v>
      </c>
      <c r="G377" s="137" t="s">
        <v>969</v>
      </c>
      <c r="H377" s="142">
        <f t="shared" si="14"/>
        <v>226.8125</v>
      </c>
      <c r="I377" s="142">
        <v>36.29</v>
      </c>
      <c r="J377" s="13">
        <f>266.81-H376-H377</f>
        <v>-2.4999999999977263E-3</v>
      </c>
      <c r="K377" s="13">
        <f>42.69-I376-I377</f>
        <v>0</v>
      </c>
    </row>
    <row r="378" spans="1:11">
      <c r="A378" t="s">
        <v>528</v>
      </c>
      <c r="B378" s="1">
        <v>41655</v>
      </c>
      <c r="C378" t="s">
        <v>529</v>
      </c>
      <c r="D378">
        <v>1</v>
      </c>
      <c r="E378" t="s">
        <v>530</v>
      </c>
      <c r="F378" t="s">
        <v>899</v>
      </c>
      <c r="G378" t="s">
        <v>530</v>
      </c>
      <c r="H378" s="3">
        <f>+I378/0.16</f>
        <v>2100</v>
      </c>
      <c r="I378" s="3">
        <v>336</v>
      </c>
    </row>
    <row r="379" spans="1:11">
      <c r="A379" t="s">
        <v>401</v>
      </c>
      <c r="B379" s="1">
        <v>41670</v>
      </c>
      <c r="C379">
        <v>9662</v>
      </c>
      <c r="D379">
        <v>1</v>
      </c>
      <c r="E379" t="s">
        <v>402</v>
      </c>
      <c r="F379" s="25" t="s">
        <v>903</v>
      </c>
      <c r="G379" s="25" t="s">
        <v>904</v>
      </c>
      <c r="H379" s="140">
        <f t="shared" ref="H379:H383" si="15">I379/0.16</f>
        <v>60.375</v>
      </c>
      <c r="I379" s="140">
        <v>9.66</v>
      </c>
      <c r="J379" s="3"/>
      <c r="K379" s="3"/>
    </row>
    <row r="380" spans="1:11">
      <c r="A380" t="s">
        <v>401</v>
      </c>
      <c r="B380" s="1">
        <v>41670</v>
      </c>
      <c r="C380">
        <v>9662</v>
      </c>
      <c r="D380">
        <v>1</v>
      </c>
      <c r="E380" t="s">
        <v>402</v>
      </c>
      <c r="F380" t="s">
        <v>763</v>
      </c>
      <c r="G380" t="s">
        <v>900</v>
      </c>
      <c r="H380" s="141">
        <f t="shared" si="15"/>
        <v>226.8125</v>
      </c>
      <c r="I380" s="141">
        <v>36.29</v>
      </c>
      <c r="J380" s="13">
        <f>287.19-H379-H380</f>
        <v>2.4999999999977263E-3</v>
      </c>
      <c r="K380" s="13">
        <f>45.95-I379-I380</f>
        <v>0</v>
      </c>
    </row>
    <row r="381" spans="1:11">
      <c r="A381" t="s">
        <v>403</v>
      </c>
      <c r="B381" s="1">
        <v>41670</v>
      </c>
      <c r="C381">
        <v>9663</v>
      </c>
      <c r="D381">
        <v>1</v>
      </c>
      <c r="E381" t="s">
        <v>404</v>
      </c>
      <c r="F381" t="s">
        <v>763</v>
      </c>
      <c r="G381" t="s">
        <v>900</v>
      </c>
      <c r="H381" s="141">
        <f t="shared" si="15"/>
        <v>697.5</v>
      </c>
      <c r="I381" s="141">
        <v>111.6</v>
      </c>
      <c r="J381" s="3"/>
      <c r="K381" s="3"/>
    </row>
    <row r="382" spans="1:11">
      <c r="A382" t="s">
        <v>403</v>
      </c>
      <c r="B382" s="1">
        <v>41670</v>
      </c>
      <c r="C382">
        <v>9663</v>
      </c>
      <c r="D382">
        <v>1</v>
      </c>
      <c r="E382" t="s">
        <v>404</v>
      </c>
      <c r="F382" s="25" t="s">
        <v>936</v>
      </c>
      <c r="G382" s="25" t="s">
        <v>937</v>
      </c>
      <c r="H382" s="140">
        <f t="shared" si="15"/>
        <v>95</v>
      </c>
      <c r="I382" s="140">
        <v>15.2</v>
      </c>
    </row>
    <row r="383" spans="1:11">
      <c r="A383" t="s">
        <v>403</v>
      </c>
      <c r="B383" s="1">
        <v>41670</v>
      </c>
      <c r="C383">
        <v>9663</v>
      </c>
      <c r="D383">
        <v>1</v>
      </c>
      <c r="E383" t="s">
        <v>404</v>
      </c>
      <c r="F383" s="137" t="s">
        <v>970</v>
      </c>
      <c r="G383" s="137" t="s">
        <v>971</v>
      </c>
      <c r="H383" s="142">
        <f t="shared" si="15"/>
        <v>334.75</v>
      </c>
      <c r="I383" s="142">
        <v>53.56</v>
      </c>
      <c r="J383" s="13">
        <f>1127.25-H381-H382-H383</f>
        <v>0</v>
      </c>
      <c r="K383" s="13">
        <f>180.36-I381-I382-I383</f>
        <v>0</v>
      </c>
    </row>
    <row r="384" spans="1:11">
      <c r="A384" t="s">
        <v>255</v>
      </c>
      <c r="B384" s="1">
        <v>41670</v>
      </c>
      <c r="C384">
        <v>9594</v>
      </c>
      <c r="D384">
        <v>1</v>
      </c>
      <c r="E384" t="s">
        <v>256</v>
      </c>
      <c r="F384" s="25" t="s">
        <v>895</v>
      </c>
      <c r="G384" s="25" t="s">
        <v>896</v>
      </c>
      <c r="H384" s="3">
        <f>+I384/0.16</f>
        <v>1137.9375</v>
      </c>
      <c r="I384" s="3">
        <v>182.07</v>
      </c>
    </row>
    <row r="385" spans="1:9">
      <c r="A385" t="s">
        <v>261</v>
      </c>
      <c r="B385" s="1">
        <v>41670</v>
      </c>
      <c r="C385">
        <v>9600</v>
      </c>
      <c r="D385">
        <v>1</v>
      </c>
      <c r="E385" t="s">
        <v>262</v>
      </c>
      <c r="F385" s="137" t="s">
        <v>897</v>
      </c>
      <c r="G385" s="137" t="s">
        <v>898</v>
      </c>
      <c r="H385" s="3">
        <f>+I385/0.16</f>
        <v>167.375</v>
      </c>
      <c r="I385" s="3">
        <v>26.78</v>
      </c>
    </row>
    <row r="386" spans="1:9">
      <c r="H386" s="3">
        <f>SUM(H6:H385)</f>
        <v>22134126.75</v>
      </c>
      <c r="I386" s="3">
        <f>SUM(I6:I385)</f>
        <v>3541460.28</v>
      </c>
    </row>
    <row r="388" spans="1:9">
      <c r="H388" s="3">
        <f>3933656.49-392196.21</f>
        <v>3541460.2800000003</v>
      </c>
      <c r="I388" s="3">
        <f>+H388-I386</f>
        <v>0</v>
      </c>
    </row>
  </sheetData>
  <sortState ref="A6:J317">
    <sortCondition ref="E6:E3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9" sqref="J29"/>
    </sheetView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3"/>
  <sheetViews>
    <sheetView workbookViewId="0">
      <pane ySplit="6" topLeftCell="A298" activePane="bottomLeft" state="frozen"/>
      <selection pane="bottomLeft" activeCell="I383" sqref="I383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1.7109375" customWidth="1"/>
    <col min="4" max="4" width="2" bestFit="1" customWidth="1"/>
    <col min="5" max="5" width="39.5703125" bestFit="1" customWidth="1"/>
    <col min="6" max="6" width="26.28515625" customWidth="1"/>
    <col min="7" max="7" width="20" customWidth="1"/>
    <col min="8" max="8" width="16.7109375" style="3" customWidth="1"/>
    <col min="9" max="9" width="13.140625" style="3" bestFit="1" customWidth="1"/>
    <col min="10" max="10" width="9.5703125" style="3" bestFit="1" customWidth="1"/>
    <col min="11" max="11" width="12.5703125" style="3" customWidth="1"/>
  </cols>
  <sheetData>
    <row r="1" spans="1:9">
      <c r="A1" t="s">
        <v>707</v>
      </c>
    </row>
    <row r="2" spans="1:9">
      <c r="A2" t="s">
        <v>2279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1399</v>
      </c>
      <c r="B7" s="1">
        <v>41687</v>
      </c>
      <c r="C7" t="s">
        <v>1400</v>
      </c>
      <c r="D7">
        <v>1</v>
      </c>
      <c r="E7" t="s">
        <v>1401</v>
      </c>
      <c r="F7" s="149" t="s">
        <v>1532</v>
      </c>
      <c r="G7" s="149" t="s">
        <v>1401</v>
      </c>
      <c r="H7" s="3">
        <f t="shared" ref="H7:H38" si="0">+I7/0.16</f>
        <v>6614.6874999999991</v>
      </c>
      <c r="I7" s="3">
        <v>1058.3499999999999</v>
      </c>
    </row>
    <row r="8" spans="1:9">
      <c r="A8" t="s">
        <v>1402</v>
      </c>
      <c r="B8" s="1">
        <v>41687</v>
      </c>
      <c r="C8" t="s">
        <v>1403</v>
      </c>
      <c r="D8">
        <v>1</v>
      </c>
      <c r="E8" t="s">
        <v>1401</v>
      </c>
      <c r="F8" s="149" t="s">
        <v>1532</v>
      </c>
      <c r="G8" s="149" t="s">
        <v>1401</v>
      </c>
      <c r="H8" s="3">
        <f t="shared" si="0"/>
        <v>6614.6874999999991</v>
      </c>
      <c r="I8" s="3">
        <v>1058.3499999999999</v>
      </c>
    </row>
    <row r="9" spans="1:9">
      <c r="A9" t="s">
        <v>1516</v>
      </c>
      <c r="B9" s="1">
        <v>41698</v>
      </c>
      <c r="C9" t="s">
        <v>1517</v>
      </c>
      <c r="D9">
        <v>1</v>
      </c>
      <c r="E9" t="s">
        <v>1401</v>
      </c>
      <c r="F9" s="149" t="s">
        <v>1532</v>
      </c>
      <c r="G9" s="149" t="s">
        <v>1401</v>
      </c>
      <c r="H9" s="3">
        <f t="shared" si="0"/>
        <v>6614.6874999999991</v>
      </c>
      <c r="I9" s="3">
        <v>1058.3499999999999</v>
      </c>
    </row>
    <row r="10" spans="1:9">
      <c r="A10" t="s">
        <v>1192</v>
      </c>
      <c r="B10" s="1">
        <v>41697</v>
      </c>
      <c r="C10" t="s">
        <v>1193</v>
      </c>
      <c r="D10">
        <v>1</v>
      </c>
      <c r="E10" t="s">
        <v>1194</v>
      </c>
      <c r="F10" s="150" t="s">
        <v>787</v>
      </c>
      <c r="G10" s="149" t="s">
        <v>788</v>
      </c>
      <c r="H10" s="3">
        <f t="shared" si="0"/>
        <v>260157.5625</v>
      </c>
      <c r="I10" s="3">
        <v>41625.21</v>
      </c>
    </row>
    <row r="11" spans="1:9">
      <c r="A11" t="s">
        <v>1027</v>
      </c>
      <c r="B11" s="1">
        <v>41681</v>
      </c>
      <c r="C11" t="s">
        <v>1028</v>
      </c>
      <c r="D11">
        <v>1</v>
      </c>
      <c r="E11" t="s">
        <v>1029</v>
      </c>
      <c r="F11" s="150" t="s">
        <v>787</v>
      </c>
      <c r="G11" s="149" t="s">
        <v>788</v>
      </c>
      <c r="H11" s="3">
        <f t="shared" si="0"/>
        <v>216185.75</v>
      </c>
      <c r="I11" s="3">
        <v>34589.72</v>
      </c>
    </row>
    <row r="12" spans="1:9">
      <c r="A12" t="s">
        <v>1145</v>
      </c>
      <c r="B12" s="1">
        <v>41691</v>
      </c>
      <c r="C12" t="s">
        <v>1146</v>
      </c>
      <c r="D12">
        <v>1</v>
      </c>
      <c r="E12" t="s">
        <v>1147</v>
      </c>
      <c r="F12" s="150" t="s">
        <v>1533</v>
      </c>
      <c r="G12" s="149" t="s">
        <v>1534</v>
      </c>
      <c r="H12" s="3">
        <f t="shared" si="0"/>
        <v>182289.6875</v>
      </c>
      <c r="I12" s="3">
        <v>29166.35</v>
      </c>
    </row>
    <row r="13" spans="1:9">
      <c r="A13" t="s">
        <v>1078</v>
      </c>
      <c r="B13" s="1">
        <v>41691</v>
      </c>
      <c r="C13">
        <v>9674</v>
      </c>
      <c r="D13">
        <v>1</v>
      </c>
      <c r="E13" t="s">
        <v>1079</v>
      </c>
      <c r="F13" s="149" t="s">
        <v>1535</v>
      </c>
      <c r="G13" s="149" t="s">
        <v>1079</v>
      </c>
      <c r="H13" s="3">
        <f t="shared" si="0"/>
        <v>544.8125</v>
      </c>
      <c r="I13" s="3">
        <v>87.17</v>
      </c>
    </row>
    <row r="14" spans="1:9">
      <c r="A14" t="s">
        <v>1106</v>
      </c>
      <c r="B14" s="1">
        <v>41691</v>
      </c>
      <c r="C14" t="s">
        <v>1107</v>
      </c>
      <c r="D14">
        <v>1</v>
      </c>
      <c r="E14" t="s">
        <v>272</v>
      </c>
      <c r="F14" s="149" t="s">
        <v>719</v>
      </c>
      <c r="G14" s="149" t="s">
        <v>272</v>
      </c>
      <c r="H14" s="3">
        <f t="shared" si="0"/>
        <v>152.625</v>
      </c>
      <c r="I14" s="3">
        <v>24.42</v>
      </c>
    </row>
    <row r="15" spans="1:9">
      <c r="A15" t="s">
        <v>107</v>
      </c>
      <c r="B15" s="1">
        <v>41691</v>
      </c>
      <c r="C15" t="s">
        <v>1075</v>
      </c>
      <c r="D15">
        <v>1</v>
      </c>
      <c r="E15" t="s">
        <v>123</v>
      </c>
      <c r="F15" s="149" t="s">
        <v>721</v>
      </c>
      <c r="G15" s="149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1076</v>
      </c>
      <c r="B16" s="1">
        <v>41691</v>
      </c>
      <c r="C16" t="s">
        <v>1077</v>
      </c>
      <c r="D16">
        <v>1</v>
      </c>
      <c r="E16" t="s">
        <v>123</v>
      </c>
      <c r="F16" s="149" t="s">
        <v>721</v>
      </c>
      <c r="G16" s="149" t="s">
        <v>123</v>
      </c>
      <c r="H16" s="3">
        <f t="shared" si="0"/>
        <v>215.49999999999997</v>
      </c>
      <c r="I16" s="3">
        <v>34.479999999999997</v>
      </c>
    </row>
    <row r="17" spans="1:9">
      <c r="A17" t="s">
        <v>1265</v>
      </c>
      <c r="B17" s="1">
        <v>41698</v>
      </c>
      <c r="C17" t="s">
        <v>1266</v>
      </c>
      <c r="D17">
        <v>1</v>
      </c>
      <c r="E17" t="s">
        <v>123</v>
      </c>
      <c r="F17" s="151" t="s">
        <v>721</v>
      </c>
      <c r="G17" s="149" t="s">
        <v>123</v>
      </c>
      <c r="H17" s="3">
        <f t="shared" si="0"/>
        <v>215.49999999999997</v>
      </c>
      <c r="I17" s="3">
        <v>34.479999999999997</v>
      </c>
    </row>
    <row r="18" spans="1:9">
      <c r="A18" t="s">
        <v>1274</v>
      </c>
      <c r="B18" s="1">
        <v>41698</v>
      </c>
      <c r="C18" t="s">
        <v>1275</v>
      </c>
      <c r="D18">
        <v>1</v>
      </c>
      <c r="E18" t="s">
        <v>123</v>
      </c>
      <c r="F18" s="151" t="s">
        <v>721</v>
      </c>
      <c r="G18" s="149" t="s">
        <v>123</v>
      </c>
      <c r="H18" s="3">
        <f t="shared" si="0"/>
        <v>215.49999999999997</v>
      </c>
      <c r="I18" s="3">
        <v>34.479999999999997</v>
      </c>
    </row>
    <row r="19" spans="1:9">
      <c r="A19" t="s">
        <v>990</v>
      </c>
      <c r="B19" s="1">
        <v>41678</v>
      </c>
      <c r="C19" t="s">
        <v>991</v>
      </c>
      <c r="D19">
        <v>1</v>
      </c>
      <c r="E19" t="s">
        <v>992</v>
      </c>
      <c r="F19" s="150" t="s">
        <v>1536</v>
      </c>
      <c r="G19" s="149" t="s">
        <v>992</v>
      </c>
      <c r="H19" s="3">
        <f t="shared" si="0"/>
        <v>270515.8125</v>
      </c>
      <c r="I19" s="3">
        <v>43282.53</v>
      </c>
    </row>
    <row r="20" spans="1:9">
      <c r="A20" t="s">
        <v>1155</v>
      </c>
      <c r="B20" s="1">
        <v>41692</v>
      </c>
      <c r="C20" t="s">
        <v>1156</v>
      </c>
      <c r="D20">
        <v>1</v>
      </c>
      <c r="E20" t="s">
        <v>1157</v>
      </c>
      <c r="F20" s="152" t="s">
        <v>785</v>
      </c>
      <c r="G20" s="153" t="s">
        <v>786</v>
      </c>
      <c r="H20" s="3">
        <f t="shared" si="0"/>
        <v>436676.375</v>
      </c>
      <c r="I20" s="3">
        <v>69868.22</v>
      </c>
    </row>
    <row r="21" spans="1:9">
      <c r="A21" t="s">
        <v>1135</v>
      </c>
      <c r="B21" s="1">
        <v>41691</v>
      </c>
      <c r="C21" t="s">
        <v>1136</v>
      </c>
      <c r="D21">
        <v>1</v>
      </c>
      <c r="E21" t="s">
        <v>1137</v>
      </c>
      <c r="F21" s="149" t="s">
        <v>724</v>
      </c>
      <c r="G21" s="149" t="s">
        <v>1137</v>
      </c>
      <c r="H21" s="3">
        <f t="shared" si="0"/>
        <v>228.125</v>
      </c>
      <c r="I21" s="3">
        <v>36.5</v>
      </c>
    </row>
    <row r="22" spans="1:9">
      <c r="A22" t="s">
        <v>1130</v>
      </c>
      <c r="B22" s="1">
        <v>41691</v>
      </c>
      <c r="C22" t="s">
        <v>1131</v>
      </c>
      <c r="D22">
        <v>1</v>
      </c>
      <c r="E22" t="s">
        <v>264</v>
      </c>
      <c r="F22" s="149" t="s">
        <v>724</v>
      </c>
      <c r="G22" s="149" t="s">
        <v>264</v>
      </c>
      <c r="H22" s="3">
        <f t="shared" si="0"/>
        <v>68.8125</v>
      </c>
      <c r="I22" s="3">
        <v>11.01</v>
      </c>
    </row>
    <row r="23" spans="1:9">
      <c r="A23" t="s">
        <v>1269</v>
      </c>
      <c r="B23" s="1">
        <v>41698</v>
      </c>
      <c r="C23" t="s">
        <v>1270</v>
      </c>
      <c r="D23">
        <v>1</v>
      </c>
      <c r="E23" t="s">
        <v>1271</v>
      </c>
      <c r="F23" s="151" t="s">
        <v>1537</v>
      </c>
      <c r="G23" s="149" t="s">
        <v>1271</v>
      </c>
      <c r="H23" s="3">
        <f t="shared" si="0"/>
        <v>142.25</v>
      </c>
      <c r="I23" s="3">
        <v>22.76</v>
      </c>
    </row>
    <row r="24" spans="1:9">
      <c r="A24" t="s">
        <v>1141</v>
      </c>
      <c r="B24" s="1">
        <v>41691</v>
      </c>
      <c r="C24">
        <v>9732</v>
      </c>
      <c r="D24">
        <v>1</v>
      </c>
      <c r="E24" t="s">
        <v>1142</v>
      </c>
      <c r="F24" s="151" t="s">
        <v>820</v>
      </c>
      <c r="G24" s="149" t="s">
        <v>1142</v>
      </c>
      <c r="H24" s="3">
        <f t="shared" si="0"/>
        <v>150</v>
      </c>
      <c r="I24" s="3">
        <v>24</v>
      </c>
    </row>
    <row r="25" spans="1:9">
      <c r="A25" t="s">
        <v>1256</v>
      </c>
      <c r="B25" s="1">
        <v>41698</v>
      </c>
      <c r="C25">
        <v>9777</v>
      </c>
      <c r="D25">
        <v>1</v>
      </c>
      <c r="E25" t="s">
        <v>1142</v>
      </c>
      <c r="F25" s="151" t="s">
        <v>820</v>
      </c>
      <c r="G25" s="149" t="s">
        <v>1142</v>
      </c>
      <c r="H25" s="3">
        <f t="shared" si="0"/>
        <v>50</v>
      </c>
      <c r="I25" s="3">
        <v>8</v>
      </c>
    </row>
    <row r="26" spans="1:9">
      <c r="A26" t="s">
        <v>1361</v>
      </c>
      <c r="B26" s="1">
        <v>41685</v>
      </c>
      <c r="C26" t="s">
        <v>1362</v>
      </c>
      <c r="D26">
        <v>1</v>
      </c>
      <c r="E26" t="s">
        <v>459</v>
      </c>
      <c r="F26" s="149" t="s">
        <v>762</v>
      </c>
      <c r="G26" s="149" t="s">
        <v>459</v>
      </c>
      <c r="H26" s="3">
        <f t="shared" si="0"/>
        <v>32971.8125</v>
      </c>
      <c r="I26" s="3">
        <v>5275.49</v>
      </c>
    </row>
    <row r="27" spans="1:9">
      <c r="A27" t="s">
        <v>557</v>
      </c>
      <c r="B27" s="1">
        <v>41687</v>
      </c>
      <c r="C27" t="s">
        <v>1398</v>
      </c>
      <c r="D27">
        <v>1</v>
      </c>
      <c r="E27" t="s">
        <v>459</v>
      </c>
      <c r="F27" s="149" t="s">
        <v>762</v>
      </c>
      <c r="G27" s="149" t="s">
        <v>459</v>
      </c>
      <c r="H27" s="3">
        <f t="shared" si="0"/>
        <v>1698.2500000000002</v>
      </c>
      <c r="I27" s="3">
        <v>271.72000000000003</v>
      </c>
    </row>
    <row r="28" spans="1:9">
      <c r="A28" t="s">
        <v>1514</v>
      </c>
      <c r="B28" s="1">
        <v>41698</v>
      </c>
      <c r="C28" t="s">
        <v>1515</v>
      </c>
      <c r="D28">
        <v>1</v>
      </c>
      <c r="E28" t="s">
        <v>459</v>
      </c>
      <c r="F28" s="149" t="s">
        <v>762</v>
      </c>
      <c r="G28" s="149" t="s">
        <v>459</v>
      </c>
      <c r="H28" s="3">
        <f t="shared" si="0"/>
        <v>15301.750000000002</v>
      </c>
      <c r="I28" s="3">
        <v>2448.2800000000002</v>
      </c>
    </row>
    <row r="29" spans="1:9">
      <c r="A29" t="s">
        <v>1099</v>
      </c>
      <c r="B29" s="1">
        <v>41691</v>
      </c>
      <c r="C29" t="s">
        <v>1100</v>
      </c>
      <c r="D29">
        <v>1</v>
      </c>
      <c r="E29" t="s">
        <v>254</v>
      </c>
      <c r="F29" t="s">
        <v>763</v>
      </c>
      <c r="G29" t="s">
        <v>254</v>
      </c>
      <c r="H29" s="3">
        <f t="shared" si="0"/>
        <v>206.99999999999997</v>
      </c>
      <c r="I29" s="3">
        <v>33.119999999999997</v>
      </c>
    </row>
    <row r="30" spans="1:9">
      <c r="A30" t="s">
        <v>1223</v>
      </c>
      <c r="B30" s="1">
        <v>41698</v>
      </c>
      <c r="C30">
        <v>9786</v>
      </c>
      <c r="D30">
        <v>1</v>
      </c>
      <c r="E30" t="s">
        <v>1224</v>
      </c>
      <c r="F30" t="s">
        <v>763</v>
      </c>
      <c r="G30" t="s">
        <v>900</v>
      </c>
      <c r="H30" s="3">
        <f t="shared" si="0"/>
        <v>206.99999999999997</v>
      </c>
      <c r="I30" s="3">
        <v>33.119999999999997</v>
      </c>
    </row>
    <row r="31" spans="1:9">
      <c r="A31" t="s">
        <v>1150</v>
      </c>
      <c r="B31" s="1">
        <v>41692</v>
      </c>
      <c r="C31" t="s">
        <v>1151</v>
      </c>
      <c r="D31">
        <v>1</v>
      </c>
      <c r="E31" t="s">
        <v>772</v>
      </c>
      <c r="F31" s="152" t="s">
        <v>726</v>
      </c>
      <c r="G31" s="149" t="s">
        <v>1538</v>
      </c>
      <c r="H31" s="3">
        <f t="shared" si="0"/>
        <v>322089.875</v>
      </c>
      <c r="I31" s="3">
        <v>51534.38</v>
      </c>
    </row>
    <row r="32" spans="1:9">
      <c r="A32" t="s">
        <v>1162</v>
      </c>
      <c r="B32" s="1">
        <v>41692</v>
      </c>
      <c r="C32" t="s">
        <v>1163</v>
      </c>
      <c r="D32">
        <v>1</v>
      </c>
      <c r="E32" t="s">
        <v>1164</v>
      </c>
      <c r="F32" s="152" t="s">
        <v>726</v>
      </c>
      <c r="G32" s="149" t="s">
        <v>1538</v>
      </c>
      <c r="H32" s="3">
        <f t="shared" si="0"/>
        <v>162935.75</v>
      </c>
      <c r="I32" s="3">
        <v>26069.72</v>
      </c>
    </row>
    <row r="33" spans="1:9">
      <c r="A33" t="s">
        <v>1064</v>
      </c>
      <c r="B33" s="1">
        <v>41689</v>
      </c>
      <c r="C33" t="s">
        <v>1065</v>
      </c>
      <c r="D33">
        <v>1</v>
      </c>
      <c r="E33" t="s">
        <v>773</v>
      </c>
      <c r="F33" s="152" t="s">
        <v>726</v>
      </c>
      <c r="G33" s="149" t="s">
        <v>1538</v>
      </c>
      <c r="H33" s="3">
        <f t="shared" si="0"/>
        <v>195878.125</v>
      </c>
      <c r="I33" s="3">
        <v>31340.5</v>
      </c>
    </row>
    <row r="34" spans="1:9">
      <c r="A34" t="s">
        <v>1247</v>
      </c>
      <c r="B34" s="1">
        <v>41698</v>
      </c>
      <c r="C34">
        <v>9746</v>
      </c>
      <c r="D34">
        <v>1</v>
      </c>
      <c r="E34" t="s">
        <v>1248</v>
      </c>
      <c r="F34" s="149" t="s">
        <v>1539</v>
      </c>
      <c r="G34" s="149" t="s">
        <v>1248</v>
      </c>
      <c r="H34" s="3">
        <f t="shared" si="0"/>
        <v>188.4375</v>
      </c>
      <c r="I34" s="3">
        <v>30.15</v>
      </c>
    </row>
    <row r="35" spans="1:9">
      <c r="A35" t="s">
        <v>1033</v>
      </c>
      <c r="B35" s="1">
        <v>41682</v>
      </c>
      <c r="C35" t="s">
        <v>1034</v>
      </c>
      <c r="D35">
        <v>1</v>
      </c>
      <c r="E35" t="s">
        <v>1035</v>
      </c>
      <c r="F35" s="150" t="s">
        <v>733</v>
      </c>
      <c r="G35" s="149" t="s">
        <v>734</v>
      </c>
      <c r="H35" s="3">
        <f t="shared" si="0"/>
        <v>323465.75</v>
      </c>
      <c r="I35" s="3">
        <v>51754.52</v>
      </c>
    </row>
    <row r="36" spans="1:9">
      <c r="A36" t="s">
        <v>1069</v>
      </c>
      <c r="B36" s="1">
        <v>41690</v>
      </c>
      <c r="C36" t="s">
        <v>1070</v>
      </c>
      <c r="D36">
        <v>1</v>
      </c>
      <c r="E36" t="s">
        <v>1071</v>
      </c>
      <c r="F36" s="150" t="s">
        <v>733</v>
      </c>
      <c r="G36" s="149" t="s">
        <v>734</v>
      </c>
      <c r="H36" s="3">
        <f t="shared" si="0"/>
        <v>478010.75</v>
      </c>
      <c r="I36" s="3">
        <v>76481.72</v>
      </c>
    </row>
    <row r="37" spans="1:9">
      <c r="A37" t="s">
        <v>985</v>
      </c>
      <c r="B37" s="1">
        <v>41677</v>
      </c>
      <c r="C37" t="s">
        <v>986</v>
      </c>
      <c r="D37">
        <v>1</v>
      </c>
      <c r="E37" t="s">
        <v>987</v>
      </c>
      <c r="F37" s="150" t="s">
        <v>731</v>
      </c>
      <c r="G37" s="149" t="s">
        <v>732</v>
      </c>
      <c r="H37" s="3">
        <f t="shared" si="0"/>
        <v>168289.1875</v>
      </c>
      <c r="I37" s="3">
        <v>26926.27</v>
      </c>
    </row>
    <row r="38" spans="1:9">
      <c r="A38" t="s">
        <v>1204</v>
      </c>
      <c r="B38" s="1">
        <v>41698</v>
      </c>
      <c r="C38" t="s">
        <v>1205</v>
      </c>
      <c r="D38">
        <v>1</v>
      </c>
      <c r="E38" t="s">
        <v>1206</v>
      </c>
      <c r="F38" s="150" t="s">
        <v>731</v>
      </c>
      <c r="G38" s="149" t="s">
        <v>732</v>
      </c>
      <c r="H38" s="3">
        <f t="shared" si="0"/>
        <v>210177.81249999997</v>
      </c>
      <c r="I38" s="3">
        <v>33628.449999999997</v>
      </c>
    </row>
    <row r="39" spans="1:9">
      <c r="A39" t="s">
        <v>1072</v>
      </c>
      <c r="B39" s="1">
        <v>41690</v>
      </c>
      <c r="C39" t="s">
        <v>1073</v>
      </c>
      <c r="D39">
        <v>1</v>
      </c>
      <c r="E39" t="s">
        <v>1074</v>
      </c>
      <c r="F39" s="150" t="s">
        <v>731</v>
      </c>
      <c r="G39" s="149" t="s">
        <v>732</v>
      </c>
      <c r="H39" s="3">
        <f t="shared" ref="H39:H56" si="1">+I39/0.16</f>
        <v>294191.3125</v>
      </c>
      <c r="I39" s="3">
        <v>47070.61</v>
      </c>
    </row>
    <row r="40" spans="1:9">
      <c r="A40" t="s">
        <v>1195</v>
      </c>
      <c r="B40" s="1">
        <v>41698</v>
      </c>
      <c r="C40" t="s">
        <v>1196</v>
      </c>
      <c r="D40">
        <v>1</v>
      </c>
      <c r="E40" t="s">
        <v>1197</v>
      </c>
      <c r="F40" s="150" t="s">
        <v>731</v>
      </c>
      <c r="G40" s="149" t="s">
        <v>732</v>
      </c>
      <c r="H40" s="3">
        <f t="shared" si="1"/>
        <v>169134.0625</v>
      </c>
      <c r="I40" s="3">
        <v>27061.45</v>
      </c>
    </row>
    <row r="41" spans="1:9">
      <c r="A41" t="s">
        <v>510</v>
      </c>
      <c r="B41" s="1">
        <v>41685</v>
      </c>
      <c r="C41" t="s">
        <v>1359</v>
      </c>
      <c r="D41">
        <v>1</v>
      </c>
      <c r="E41" t="s">
        <v>1360</v>
      </c>
      <c r="F41" s="149" t="s">
        <v>1540</v>
      </c>
      <c r="G41" s="149" t="s">
        <v>1360</v>
      </c>
      <c r="H41" s="3">
        <f t="shared" si="1"/>
        <v>860.375</v>
      </c>
      <c r="I41" s="3">
        <v>137.66</v>
      </c>
    </row>
    <row r="42" spans="1:9">
      <c r="A42" t="s">
        <v>460</v>
      </c>
      <c r="B42" s="1">
        <v>41680</v>
      </c>
      <c r="C42" t="s">
        <v>1326</v>
      </c>
      <c r="D42">
        <v>2</v>
      </c>
      <c r="E42" t="s">
        <v>619</v>
      </c>
      <c r="F42" s="149" t="s">
        <v>791</v>
      </c>
      <c r="G42" s="149" t="s">
        <v>619</v>
      </c>
      <c r="H42" s="3">
        <f t="shared" si="1"/>
        <v>3034.5</v>
      </c>
      <c r="I42" s="3">
        <v>485.52</v>
      </c>
    </row>
    <row r="43" spans="1:9">
      <c r="A43" t="s">
        <v>508</v>
      </c>
      <c r="B43" s="1">
        <v>41685</v>
      </c>
      <c r="C43" t="s">
        <v>1355</v>
      </c>
      <c r="D43">
        <v>2</v>
      </c>
      <c r="E43" t="s">
        <v>619</v>
      </c>
      <c r="F43" s="151" t="s">
        <v>791</v>
      </c>
      <c r="G43" s="149" t="s">
        <v>619</v>
      </c>
      <c r="H43" s="3">
        <f t="shared" si="1"/>
        <v>3758.625</v>
      </c>
      <c r="I43" s="3">
        <v>601.38</v>
      </c>
    </row>
    <row r="44" spans="1:9">
      <c r="A44" t="s">
        <v>1494</v>
      </c>
      <c r="B44" s="1">
        <v>41697</v>
      </c>
      <c r="C44" t="s">
        <v>1495</v>
      </c>
      <c r="D44">
        <v>2</v>
      </c>
      <c r="E44" t="s">
        <v>619</v>
      </c>
      <c r="F44" s="149" t="s">
        <v>791</v>
      </c>
      <c r="G44" s="149" t="s">
        <v>619</v>
      </c>
      <c r="H44" s="3">
        <f t="shared" si="1"/>
        <v>3577.5624999999995</v>
      </c>
      <c r="I44" s="3">
        <v>572.41</v>
      </c>
    </row>
    <row r="45" spans="1:9">
      <c r="A45" t="s">
        <v>1091</v>
      </c>
      <c r="B45" s="1">
        <v>41691</v>
      </c>
      <c r="C45" t="s">
        <v>1092</v>
      </c>
      <c r="D45">
        <v>1</v>
      </c>
      <c r="E45" t="s">
        <v>1093</v>
      </c>
      <c r="F45" s="149" t="s">
        <v>1541</v>
      </c>
      <c r="G45" s="149" t="s">
        <v>1093</v>
      </c>
      <c r="H45" s="3">
        <f t="shared" si="1"/>
        <v>215.5625</v>
      </c>
      <c r="I45" s="3">
        <v>34.49</v>
      </c>
    </row>
    <row r="46" spans="1:9">
      <c r="A46" t="s">
        <v>1201</v>
      </c>
      <c r="B46" s="1">
        <v>41698</v>
      </c>
      <c r="C46" t="s">
        <v>1202</v>
      </c>
      <c r="D46">
        <v>1</v>
      </c>
      <c r="E46" t="s">
        <v>1203</v>
      </c>
      <c r="F46" s="152" t="s">
        <v>798</v>
      </c>
      <c r="G46" s="154" t="s">
        <v>799</v>
      </c>
      <c r="H46" s="3">
        <f t="shared" si="1"/>
        <v>4642.8125</v>
      </c>
      <c r="I46" s="3">
        <v>742.85</v>
      </c>
    </row>
    <row r="47" spans="1:9">
      <c r="A47" t="s">
        <v>1527</v>
      </c>
      <c r="B47" s="1">
        <v>41698</v>
      </c>
      <c r="C47" t="s">
        <v>1528</v>
      </c>
      <c r="D47">
        <v>1</v>
      </c>
      <c r="E47" t="s">
        <v>1203</v>
      </c>
      <c r="F47" s="152" t="s">
        <v>798</v>
      </c>
      <c r="G47" s="154" t="s">
        <v>799</v>
      </c>
      <c r="H47" s="3">
        <f t="shared" si="1"/>
        <v>326.75</v>
      </c>
      <c r="I47" s="3">
        <v>52.28</v>
      </c>
    </row>
    <row r="48" spans="1:9">
      <c r="A48" t="s">
        <v>1453</v>
      </c>
      <c r="B48" s="1">
        <v>41696</v>
      </c>
      <c r="C48" t="s">
        <v>1199</v>
      </c>
      <c r="D48">
        <v>1</v>
      </c>
      <c r="E48" t="s">
        <v>1454</v>
      </c>
      <c r="F48" s="152" t="s">
        <v>796</v>
      </c>
      <c r="G48" s="149" t="s">
        <v>797</v>
      </c>
      <c r="H48" s="3">
        <f t="shared" si="1"/>
        <v>11897.5</v>
      </c>
      <c r="I48" s="3">
        <v>1903.6</v>
      </c>
    </row>
    <row r="49" spans="1:11">
      <c r="A49" t="s">
        <v>1507</v>
      </c>
      <c r="B49" s="1">
        <v>41698</v>
      </c>
      <c r="C49" t="s">
        <v>1508</v>
      </c>
      <c r="D49">
        <v>1</v>
      </c>
      <c r="E49" t="s">
        <v>1509</v>
      </c>
      <c r="F49" s="152" t="s">
        <v>800</v>
      </c>
      <c r="G49" s="154" t="s">
        <v>801</v>
      </c>
      <c r="H49" s="3">
        <f t="shared" si="1"/>
        <v>100</v>
      </c>
      <c r="I49" s="3">
        <v>16</v>
      </c>
    </row>
    <row r="50" spans="1:11">
      <c r="A50" t="s">
        <v>1522</v>
      </c>
      <c r="B50" s="1">
        <v>41698</v>
      </c>
      <c r="C50" t="s">
        <v>1523</v>
      </c>
      <c r="D50">
        <v>1</v>
      </c>
      <c r="E50" t="s">
        <v>1524</v>
      </c>
      <c r="F50" s="150" t="s">
        <v>802</v>
      </c>
      <c r="G50" s="149" t="s">
        <v>1542</v>
      </c>
      <c r="H50" s="3">
        <f t="shared" si="1"/>
        <v>434.99999999999994</v>
      </c>
      <c r="I50" s="3">
        <v>69.599999999999994</v>
      </c>
    </row>
    <row r="51" spans="1:11">
      <c r="A51" t="s">
        <v>1198</v>
      </c>
      <c r="B51" s="1">
        <v>41698</v>
      </c>
      <c r="C51" t="s">
        <v>1199</v>
      </c>
      <c r="D51">
        <v>1</v>
      </c>
      <c r="E51" t="s">
        <v>1200</v>
      </c>
      <c r="F51" s="152" t="s">
        <v>796</v>
      </c>
      <c r="G51" s="149" t="s">
        <v>797</v>
      </c>
      <c r="H51" s="3">
        <f t="shared" si="1"/>
        <v>496</v>
      </c>
      <c r="I51" s="3">
        <v>79.36</v>
      </c>
    </row>
    <row r="52" spans="1:11">
      <c r="A52" t="s">
        <v>481</v>
      </c>
      <c r="B52" s="1">
        <v>41682</v>
      </c>
      <c r="C52" t="s">
        <v>1339</v>
      </c>
      <c r="D52">
        <v>1</v>
      </c>
      <c r="E52" t="s">
        <v>563</v>
      </c>
      <c r="F52" s="150" t="s">
        <v>795</v>
      </c>
      <c r="G52" s="149" t="s">
        <v>563</v>
      </c>
      <c r="H52" s="3">
        <f t="shared" si="1"/>
        <v>22742.25</v>
      </c>
      <c r="I52" s="3">
        <v>3638.76</v>
      </c>
      <c r="J52" s="3" t="e">
        <f>+H52-#REF!</f>
        <v>#REF!</v>
      </c>
      <c r="K52" s="3" t="e">
        <f>+I52-#REF!</f>
        <v>#REF!</v>
      </c>
    </row>
    <row r="53" spans="1:11">
      <c r="A53" t="s">
        <v>688</v>
      </c>
      <c r="B53" s="1">
        <v>41698</v>
      </c>
      <c r="C53" t="s">
        <v>1518</v>
      </c>
      <c r="D53">
        <v>1</v>
      </c>
      <c r="E53" t="s">
        <v>1519</v>
      </c>
      <c r="F53" s="15" t="s">
        <v>806</v>
      </c>
      <c r="G53" s="155" t="s">
        <v>807</v>
      </c>
      <c r="H53" s="3">
        <f t="shared" si="1"/>
        <v>1170</v>
      </c>
      <c r="I53" s="3">
        <v>187.2</v>
      </c>
    </row>
    <row r="54" spans="1:11">
      <c r="A54" t="s">
        <v>690</v>
      </c>
      <c r="B54" s="1">
        <v>41698</v>
      </c>
      <c r="C54" t="s">
        <v>1520</v>
      </c>
      <c r="D54">
        <v>1</v>
      </c>
      <c r="E54" t="s">
        <v>1521</v>
      </c>
      <c r="F54" s="152" t="s">
        <v>800</v>
      </c>
      <c r="G54" s="154" t="s">
        <v>801</v>
      </c>
      <c r="H54" s="3">
        <f t="shared" si="1"/>
        <v>52</v>
      </c>
      <c r="I54" s="3">
        <v>8.32</v>
      </c>
    </row>
    <row r="55" spans="1:11">
      <c r="A55" t="s">
        <v>1510</v>
      </c>
      <c r="B55" s="1">
        <v>41698</v>
      </c>
      <c r="C55" t="s">
        <v>693</v>
      </c>
      <c r="D55">
        <v>1</v>
      </c>
      <c r="E55" t="s">
        <v>1511</v>
      </c>
      <c r="F55" s="153" t="s">
        <v>792</v>
      </c>
      <c r="G55" s="156" t="s">
        <v>793</v>
      </c>
      <c r="H55" s="3">
        <f t="shared" si="1"/>
        <v>887.625</v>
      </c>
      <c r="I55" s="3">
        <v>142.02000000000001</v>
      </c>
    </row>
    <row r="56" spans="1:11">
      <c r="A56" t="s">
        <v>695</v>
      </c>
      <c r="B56" s="1">
        <v>41698</v>
      </c>
      <c r="C56" t="s">
        <v>1525</v>
      </c>
      <c r="D56">
        <v>1</v>
      </c>
      <c r="E56" t="s">
        <v>1526</v>
      </c>
      <c r="F56" s="152" t="s">
        <v>804</v>
      </c>
      <c r="G56" s="154" t="s">
        <v>805</v>
      </c>
      <c r="H56" s="3">
        <f t="shared" si="1"/>
        <v>32</v>
      </c>
      <c r="I56" s="3">
        <v>5.12</v>
      </c>
    </row>
    <row r="57" spans="1:11">
      <c r="A57" t="s">
        <v>1052</v>
      </c>
      <c r="B57" s="1">
        <v>41687</v>
      </c>
      <c r="C57" t="s">
        <v>26</v>
      </c>
      <c r="D57">
        <v>1</v>
      </c>
      <c r="E57" t="s">
        <v>1053</v>
      </c>
      <c r="F57" s="151" t="s">
        <v>1543</v>
      </c>
      <c r="G57" s="149" t="s">
        <v>1544</v>
      </c>
      <c r="H57" s="157">
        <f>I57/0.16</f>
        <v>102.1875</v>
      </c>
      <c r="I57" s="149">
        <v>16.350000000000001</v>
      </c>
    </row>
    <row r="58" spans="1:11">
      <c r="A58" t="s">
        <v>1052</v>
      </c>
      <c r="B58" s="1">
        <v>41687</v>
      </c>
      <c r="C58" t="s">
        <v>26</v>
      </c>
      <c r="D58">
        <v>1</v>
      </c>
      <c r="E58" t="s">
        <v>1053</v>
      </c>
      <c r="F58" s="151" t="s">
        <v>1545</v>
      </c>
      <c r="G58" s="149" t="s">
        <v>1546</v>
      </c>
      <c r="H58" s="157">
        <f>I58/0.16</f>
        <v>114.6875</v>
      </c>
      <c r="I58" s="149">
        <v>18.350000000000001</v>
      </c>
    </row>
    <row r="59" spans="1:11">
      <c r="A59" t="s">
        <v>1052</v>
      </c>
      <c r="B59" s="1">
        <v>41687</v>
      </c>
      <c r="C59" t="s">
        <v>26</v>
      </c>
      <c r="D59">
        <v>1</v>
      </c>
      <c r="E59" t="s">
        <v>1053</v>
      </c>
      <c r="F59" s="151" t="s">
        <v>812</v>
      </c>
      <c r="G59" s="149" t="s">
        <v>1547</v>
      </c>
      <c r="H59" s="157">
        <f>I59/0.16</f>
        <v>95.6875</v>
      </c>
      <c r="I59" s="149">
        <v>15.31</v>
      </c>
    </row>
    <row r="60" spans="1:11">
      <c r="A60" t="s">
        <v>1052</v>
      </c>
      <c r="B60" s="1">
        <v>41687</v>
      </c>
      <c r="C60" t="s">
        <v>26</v>
      </c>
      <c r="D60">
        <v>1</v>
      </c>
      <c r="E60" t="s">
        <v>1053</v>
      </c>
      <c r="F60" s="151" t="s">
        <v>812</v>
      </c>
      <c r="G60" s="149" t="s">
        <v>1547</v>
      </c>
      <c r="H60" s="157">
        <f>I60/0.16</f>
        <v>99.125</v>
      </c>
      <c r="I60" s="149">
        <v>15.86</v>
      </c>
    </row>
    <row r="61" spans="1:11">
      <c r="A61" t="s">
        <v>1052</v>
      </c>
      <c r="B61" s="1">
        <v>41687</v>
      </c>
      <c r="C61" t="s">
        <v>26</v>
      </c>
      <c r="D61">
        <v>1</v>
      </c>
      <c r="E61" t="s">
        <v>1053</v>
      </c>
      <c r="F61" s="158" t="s">
        <v>763</v>
      </c>
      <c r="G61" t="s">
        <v>1548</v>
      </c>
      <c r="H61" s="2">
        <f t="shared" ref="H61:H62" si="2">I61/0.16</f>
        <v>539.625</v>
      </c>
      <c r="I61" s="9">
        <v>86.34</v>
      </c>
      <c r="J61" s="3">
        <f>951.31-H57-H58-H59-H60-H61</f>
        <v>-2.5000000000545697E-3</v>
      </c>
      <c r="K61" s="3">
        <f>152.21-I57-I58-I59-I60-I61</f>
        <v>0</v>
      </c>
    </row>
    <row r="62" spans="1:11">
      <c r="A62" t="s">
        <v>245</v>
      </c>
      <c r="B62" s="1">
        <v>41698</v>
      </c>
      <c r="C62" t="s">
        <v>26</v>
      </c>
      <c r="D62">
        <v>1</v>
      </c>
      <c r="E62" t="s">
        <v>1211</v>
      </c>
      <c r="F62" t="s">
        <v>763</v>
      </c>
      <c r="G62" t="s">
        <v>1549</v>
      </c>
      <c r="H62" s="159">
        <f t="shared" si="2"/>
        <v>543.9375</v>
      </c>
      <c r="I62" s="159">
        <v>87.03</v>
      </c>
    </row>
    <row r="63" spans="1:11">
      <c r="A63" t="s">
        <v>245</v>
      </c>
      <c r="B63" s="1">
        <v>41698</v>
      </c>
      <c r="C63" t="s">
        <v>26</v>
      </c>
      <c r="D63">
        <v>1</v>
      </c>
      <c r="E63" t="s">
        <v>1211</v>
      </c>
      <c r="F63" s="149" t="s">
        <v>810</v>
      </c>
      <c r="G63" s="149" t="s">
        <v>1550</v>
      </c>
      <c r="H63" s="157">
        <f>I63/0.16</f>
        <v>1109.25</v>
      </c>
      <c r="I63" s="157">
        <v>177.48</v>
      </c>
    </row>
    <row r="64" spans="1:11">
      <c r="A64" t="s">
        <v>245</v>
      </c>
      <c r="B64" s="1">
        <v>41698</v>
      </c>
      <c r="C64" t="s">
        <v>26</v>
      </c>
      <c r="D64">
        <v>1</v>
      </c>
      <c r="E64" t="s">
        <v>1211</v>
      </c>
      <c r="F64" s="149" t="s">
        <v>1551</v>
      </c>
      <c r="G64" s="149" t="s">
        <v>1552</v>
      </c>
      <c r="H64" s="157">
        <f>I64/0.16</f>
        <v>155.1875</v>
      </c>
      <c r="I64" s="157">
        <v>24.83</v>
      </c>
      <c r="J64" s="3">
        <f>1808.38-H62-H63-H64</f>
        <v>5.0000000001091394E-3</v>
      </c>
      <c r="K64" s="3">
        <f>289.34-I62-I63-I64</f>
        <v>0</v>
      </c>
    </row>
    <row r="65" spans="1:11">
      <c r="A65" t="s">
        <v>1054</v>
      </c>
      <c r="B65" s="1">
        <v>41687</v>
      </c>
      <c r="C65" t="s">
        <v>26</v>
      </c>
      <c r="D65">
        <v>1</v>
      </c>
      <c r="E65" t="s">
        <v>1055</v>
      </c>
      <c r="F65" s="158" t="s">
        <v>1553</v>
      </c>
      <c r="G65" t="s">
        <v>1554</v>
      </c>
      <c r="H65" s="159">
        <f t="shared" ref="H65" si="3">I65/0.16</f>
        <v>539.625</v>
      </c>
      <c r="I65" s="9">
        <v>86.34</v>
      </c>
    </row>
    <row r="66" spans="1:11">
      <c r="A66" t="s">
        <v>1054</v>
      </c>
      <c r="B66" s="1">
        <v>41687</v>
      </c>
      <c r="C66" t="s">
        <v>26</v>
      </c>
      <c r="D66">
        <v>1</v>
      </c>
      <c r="E66" t="s">
        <v>1055</v>
      </c>
      <c r="F66" s="151" t="s">
        <v>1543</v>
      </c>
      <c r="G66" s="149" t="s">
        <v>1555</v>
      </c>
      <c r="H66" s="157">
        <f>I66/0.16</f>
        <v>102.1875</v>
      </c>
      <c r="I66" s="149">
        <v>16.350000000000001</v>
      </c>
    </row>
    <row r="67" spans="1:11">
      <c r="A67" t="s">
        <v>1054</v>
      </c>
      <c r="B67" s="1">
        <v>41687</v>
      </c>
      <c r="C67" t="s">
        <v>26</v>
      </c>
      <c r="D67">
        <v>1</v>
      </c>
      <c r="E67" t="s">
        <v>1055</v>
      </c>
      <c r="F67" s="151" t="s">
        <v>810</v>
      </c>
      <c r="G67" s="149" t="s">
        <v>1550</v>
      </c>
      <c r="H67" s="157">
        <f>I67/0.16</f>
        <v>2554.625</v>
      </c>
      <c r="I67" s="149">
        <v>408.74</v>
      </c>
    </row>
    <row r="68" spans="1:11">
      <c r="A68" t="s">
        <v>1054</v>
      </c>
      <c r="B68" s="1">
        <v>41687</v>
      </c>
      <c r="C68" t="s">
        <v>26</v>
      </c>
      <c r="D68">
        <v>1</v>
      </c>
      <c r="E68" t="s">
        <v>1055</v>
      </c>
      <c r="F68" s="151" t="s">
        <v>1545</v>
      </c>
      <c r="G68" s="149" t="s">
        <v>1546</v>
      </c>
      <c r="H68" s="157">
        <f>I68/0.16</f>
        <v>114.6875</v>
      </c>
      <c r="I68" s="149">
        <v>18.350000000000001</v>
      </c>
    </row>
    <row r="69" spans="1:11">
      <c r="A69" t="s">
        <v>1054</v>
      </c>
      <c r="B69" s="1">
        <v>41687</v>
      </c>
      <c r="C69" t="s">
        <v>26</v>
      </c>
      <c r="D69">
        <v>1</v>
      </c>
      <c r="E69" t="s">
        <v>1055</v>
      </c>
      <c r="F69" s="151" t="s">
        <v>812</v>
      </c>
      <c r="G69" s="149" t="s">
        <v>1547</v>
      </c>
      <c r="H69" s="157">
        <f>I69/0.16</f>
        <v>100.875</v>
      </c>
      <c r="I69" s="149">
        <v>16.14</v>
      </c>
    </row>
    <row r="70" spans="1:11">
      <c r="A70" t="s">
        <v>1054</v>
      </c>
      <c r="B70" s="1">
        <v>41687</v>
      </c>
      <c r="C70" t="s">
        <v>26</v>
      </c>
      <c r="D70">
        <v>1</v>
      </c>
      <c r="E70" t="s">
        <v>1055</v>
      </c>
      <c r="F70" s="151" t="s">
        <v>812</v>
      </c>
      <c r="G70" s="149" t="s">
        <v>1547</v>
      </c>
      <c r="H70" s="157">
        <f>I70/0.16</f>
        <v>99.125</v>
      </c>
      <c r="I70" s="149">
        <v>15.86</v>
      </c>
      <c r="J70" s="3">
        <f>3511.13-H65-H66-H67-H68-H69-H70</f>
        <v>5.0000000001091394E-3</v>
      </c>
      <c r="K70" s="3">
        <f>561.78-I65-I66-I67-I68-I69-I70</f>
        <v>-9.2370555648813024E-14</v>
      </c>
    </row>
    <row r="71" spans="1:11">
      <c r="A71" t="s">
        <v>1132</v>
      </c>
      <c r="B71" s="1">
        <v>41691</v>
      </c>
      <c r="C71" t="s">
        <v>1133</v>
      </c>
      <c r="D71">
        <v>1</v>
      </c>
      <c r="E71" t="s">
        <v>1134</v>
      </c>
      <c r="F71" s="151" t="s">
        <v>790</v>
      </c>
      <c r="G71" s="149" t="s">
        <v>1134</v>
      </c>
      <c r="H71" s="3">
        <f>+I71/0.16</f>
        <v>56.875</v>
      </c>
      <c r="I71" s="3">
        <v>9.1</v>
      </c>
    </row>
    <row r="72" spans="1:11">
      <c r="A72" t="s">
        <v>1066</v>
      </c>
      <c r="B72" s="1">
        <v>41690</v>
      </c>
      <c r="C72" t="s">
        <v>1067</v>
      </c>
      <c r="D72">
        <v>1</v>
      </c>
      <c r="E72" t="s">
        <v>1068</v>
      </c>
      <c r="F72" s="149" t="s">
        <v>923</v>
      </c>
      <c r="G72" s="149" t="s">
        <v>924</v>
      </c>
      <c r="H72" s="157">
        <f t="shared" ref="H72:H81" si="4">I72/0.16</f>
        <v>539.625</v>
      </c>
      <c r="I72" s="157">
        <v>86.34</v>
      </c>
    </row>
    <row r="73" spans="1:11">
      <c r="A73" t="s">
        <v>1066</v>
      </c>
      <c r="B73" s="1">
        <v>41690</v>
      </c>
      <c r="C73" t="s">
        <v>1067</v>
      </c>
      <c r="D73">
        <v>1</v>
      </c>
      <c r="E73" t="s">
        <v>1068</v>
      </c>
      <c r="F73" s="149" t="s">
        <v>1543</v>
      </c>
      <c r="G73" s="149" t="s">
        <v>1556</v>
      </c>
      <c r="H73" s="157">
        <f t="shared" si="4"/>
        <v>102.1875</v>
      </c>
      <c r="I73" s="157">
        <v>16.350000000000001</v>
      </c>
    </row>
    <row r="74" spans="1:11">
      <c r="A74" t="s">
        <v>1066</v>
      </c>
      <c r="B74" s="1">
        <v>41690</v>
      </c>
      <c r="C74" t="s">
        <v>1067</v>
      </c>
      <c r="D74">
        <v>1</v>
      </c>
      <c r="E74" t="s">
        <v>1068</v>
      </c>
      <c r="F74" s="149" t="s">
        <v>810</v>
      </c>
      <c r="G74" s="149" t="s">
        <v>1550</v>
      </c>
      <c r="H74" s="157">
        <f t="shared" si="4"/>
        <v>2218.5</v>
      </c>
      <c r="I74" s="157">
        <v>354.96</v>
      </c>
    </row>
    <row r="75" spans="1:11">
      <c r="A75" t="s">
        <v>1066</v>
      </c>
      <c r="B75" s="1">
        <v>41690</v>
      </c>
      <c r="C75" t="s">
        <v>1067</v>
      </c>
      <c r="D75">
        <v>1</v>
      </c>
      <c r="E75" t="s">
        <v>1068</v>
      </c>
      <c r="F75" s="149" t="s">
        <v>1545</v>
      </c>
      <c r="G75" s="149" t="s">
        <v>1546</v>
      </c>
      <c r="H75" s="157">
        <f t="shared" si="4"/>
        <v>114.6875</v>
      </c>
      <c r="I75" s="157">
        <v>18.350000000000001</v>
      </c>
    </row>
    <row r="76" spans="1:11">
      <c r="A76" t="s">
        <v>1066</v>
      </c>
      <c r="B76" s="1">
        <v>41690</v>
      </c>
      <c r="C76" t="s">
        <v>1067</v>
      </c>
      <c r="D76">
        <v>1</v>
      </c>
      <c r="E76" t="s">
        <v>1068</v>
      </c>
      <c r="F76" s="149" t="s">
        <v>812</v>
      </c>
      <c r="G76" s="149" t="s">
        <v>1547</v>
      </c>
      <c r="H76" s="157">
        <f t="shared" si="4"/>
        <v>99.125</v>
      </c>
      <c r="I76" s="157">
        <v>15.86</v>
      </c>
    </row>
    <row r="77" spans="1:11">
      <c r="A77" t="s">
        <v>1066</v>
      </c>
      <c r="B77" s="1">
        <v>41690</v>
      </c>
      <c r="C77" t="s">
        <v>1067</v>
      </c>
      <c r="D77">
        <v>1</v>
      </c>
      <c r="E77" t="s">
        <v>1068</v>
      </c>
      <c r="F77" s="149" t="s">
        <v>812</v>
      </c>
      <c r="G77" s="149" t="s">
        <v>1547</v>
      </c>
      <c r="H77" s="157">
        <f t="shared" si="4"/>
        <v>71.5625</v>
      </c>
      <c r="I77" s="157">
        <v>11.45</v>
      </c>
      <c r="J77" s="3">
        <f>3145.69-H72-H73-H74-H75-H76-H77</f>
        <v>2.5000000000545697E-3</v>
      </c>
      <c r="K77" s="3">
        <f>503.31-I72-I73-I74-I75-I76-I77</f>
        <v>2.4868995751603507E-14</v>
      </c>
    </row>
    <row r="78" spans="1:11">
      <c r="A78" t="s">
        <v>1059</v>
      </c>
      <c r="B78" s="1">
        <v>41688</v>
      </c>
      <c r="C78" t="s">
        <v>26</v>
      </c>
      <c r="D78">
        <v>1</v>
      </c>
      <c r="E78" t="s">
        <v>1060</v>
      </c>
      <c r="F78" s="149" t="s">
        <v>1543</v>
      </c>
      <c r="G78" s="149" t="s">
        <v>1556</v>
      </c>
      <c r="H78" s="157">
        <f t="shared" si="4"/>
        <v>102.1875</v>
      </c>
      <c r="I78" s="149">
        <v>16.350000000000001</v>
      </c>
    </row>
    <row r="79" spans="1:11">
      <c r="A79" t="s">
        <v>1059</v>
      </c>
      <c r="B79" s="1">
        <v>41688</v>
      </c>
      <c r="C79" t="s">
        <v>26</v>
      </c>
      <c r="D79">
        <v>1</v>
      </c>
      <c r="E79" t="s">
        <v>1060</v>
      </c>
      <c r="F79" s="149" t="s">
        <v>810</v>
      </c>
      <c r="G79" s="149" t="s">
        <v>1550</v>
      </c>
      <c r="H79" s="157">
        <f t="shared" si="4"/>
        <v>1663.8750000000002</v>
      </c>
      <c r="I79" s="149">
        <v>266.22000000000003</v>
      </c>
    </row>
    <row r="80" spans="1:11">
      <c r="A80" t="s">
        <v>1059</v>
      </c>
      <c r="B80" s="1">
        <v>41688</v>
      </c>
      <c r="C80" t="s">
        <v>26</v>
      </c>
      <c r="D80">
        <v>1</v>
      </c>
      <c r="E80" t="s">
        <v>1060</v>
      </c>
      <c r="F80" s="149" t="s">
        <v>1545</v>
      </c>
      <c r="G80" s="149" t="s">
        <v>1546</v>
      </c>
      <c r="H80" s="157">
        <f t="shared" si="4"/>
        <v>114.6875</v>
      </c>
      <c r="I80" s="149">
        <v>18.350000000000001</v>
      </c>
    </row>
    <row r="81" spans="1:11">
      <c r="A81" t="s">
        <v>1059</v>
      </c>
      <c r="B81" s="1">
        <v>41688</v>
      </c>
      <c r="C81" t="s">
        <v>26</v>
      </c>
      <c r="D81">
        <v>1</v>
      </c>
      <c r="E81" t="s">
        <v>1060</v>
      </c>
      <c r="F81" s="149" t="s">
        <v>812</v>
      </c>
      <c r="G81" s="149" t="s">
        <v>1547</v>
      </c>
      <c r="H81" s="157">
        <f t="shared" si="4"/>
        <v>100.875</v>
      </c>
      <c r="I81" s="149">
        <v>16.14</v>
      </c>
    </row>
    <row r="82" spans="1:11">
      <c r="A82" t="s">
        <v>1059</v>
      </c>
      <c r="B82" s="1">
        <v>41688</v>
      </c>
      <c r="C82" t="s">
        <v>26</v>
      </c>
      <c r="D82">
        <v>1</v>
      </c>
      <c r="E82" t="s">
        <v>1060</v>
      </c>
      <c r="F82" t="s">
        <v>763</v>
      </c>
      <c r="G82" t="s">
        <v>1549</v>
      </c>
      <c r="H82" s="2">
        <f t="shared" ref="H82" si="5">I82/0.16</f>
        <v>539.625</v>
      </c>
      <c r="I82" s="9">
        <v>86.34</v>
      </c>
      <c r="J82" s="3">
        <f>2521.25-H78-H79-H80-H81-H82</f>
        <v>0</v>
      </c>
      <c r="K82" s="3">
        <f>403.4-I78-I79-I80-I81-I82</f>
        <v>0</v>
      </c>
    </row>
    <row r="83" spans="1:11">
      <c r="A83" t="s">
        <v>1112</v>
      </c>
      <c r="B83" s="1">
        <v>41691</v>
      </c>
      <c r="C83" t="s">
        <v>1113</v>
      </c>
      <c r="D83">
        <v>1</v>
      </c>
      <c r="E83" t="s">
        <v>355</v>
      </c>
      <c r="F83" s="149" t="s">
        <v>815</v>
      </c>
      <c r="G83" s="149" t="s">
        <v>355</v>
      </c>
      <c r="H83" s="3">
        <f t="shared" ref="H83:H114" si="6">+I83/0.16</f>
        <v>1120.6875</v>
      </c>
      <c r="I83" s="3">
        <v>179.31</v>
      </c>
      <c r="J83" s="3" t="e">
        <f>+H83-#REF!</f>
        <v>#REF!</v>
      </c>
      <c r="K83" s="3" t="e">
        <f>+I83-#REF!</f>
        <v>#REF!</v>
      </c>
    </row>
    <row r="84" spans="1:11">
      <c r="A84" t="s">
        <v>536</v>
      </c>
      <c r="B84" s="1">
        <v>41685</v>
      </c>
      <c r="C84" t="s">
        <v>1386</v>
      </c>
      <c r="D84">
        <v>1</v>
      </c>
      <c r="E84" t="s">
        <v>547</v>
      </c>
      <c r="F84" s="151" t="s">
        <v>817</v>
      </c>
      <c r="G84" s="149" t="s">
        <v>547</v>
      </c>
      <c r="H84" s="3">
        <f t="shared" si="6"/>
        <v>4045</v>
      </c>
      <c r="I84" s="3">
        <v>647.20000000000005</v>
      </c>
    </row>
    <row r="85" spans="1:11">
      <c r="A85" t="s">
        <v>539</v>
      </c>
      <c r="B85" s="1">
        <v>41685</v>
      </c>
      <c r="C85" t="s">
        <v>1387</v>
      </c>
      <c r="D85">
        <v>1</v>
      </c>
      <c r="E85" t="s">
        <v>547</v>
      </c>
      <c r="F85" s="149" t="s">
        <v>817</v>
      </c>
      <c r="G85" s="149" t="s">
        <v>547</v>
      </c>
      <c r="H85" s="3">
        <f t="shared" si="6"/>
        <v>1700</v>
      </c>
      <c r="I85" s="3">
        <v>272</v>
      </c>
    </row>
    <row r="86" spans="1:11">
      <c r="A86" t="s">
        <v>655</v>
      </c>
      <c r="B86" s="1">
        <v>41697</v>
      </c>
      <c r="C86" t="s">
        <v>1468</v>
      </c>
      <c r="D86">
        <v>1</v>
      </c>
      <c r="E86" t="s">
        <v>547</v>
      </c>
      <c r="F86" s="151" t="s">
        <v>817</v>
      </c>
      <c r="G86" s="149" t="s">
        <v>547</v>
      </c>
      <c r="H86" s="3">
        <f t="shared" si="6"/>
        <v>8078</v>
      </c>
      <c r="I86" s="3">
        <v>1292.48</v>
      </c>
    </row>
    <row r="87" spans="1:11">
      <c r="A87" t="s">
        <v>1486</v>
      </c>
      <c r="B87" s="1">
        <v>41697</v>
      </c>
      <c r="C87" t="s">
        <v>1487</v>
      </c>
      <c r="D87">
        <v>1</v>
      </c>
      <c r="E87" t="s">
        <v>547</v>
      </c>
      <c r="F87" s="151" t="s">
        <v>817</v>
      </c>
      <c r="G87" s="149" t="s">
        <v>547</v>
      </c>
      <c r="H87" s="3">
        <f t="shared" si="6"/>
        <v>4095</v>
      </c>
      <c r="I87" s="3">
        <v>655.20000000000005</v>
      </c>
    </row>
    <row r="88" spans="1:11">
      <c r="A88" t="s">
        <v>433</v>
      </c>
      <c r="B88" s="1">
        <v>41674</v>
      </c>
      <c r="C88" t="s">
        <v>1305</v>
      </c>
      <c r="D88">
        <v>1</v>
      </c>
      <c r="E88" t="s">
        <v>429</v>
      </c>
      <c r="F88" s="150" t="s">
        <v>818</v>
      </c>
      <c r="G88" s="149" t="s">
        <v>429</v>
      </c>
      <c r="H88" s="3">
        <f t="shared" si="6"/>
        <v>234607.68750000003</v>
      </c>
      <c r="I88" s="3">
        <v>37537.230000000003</v>
      </c>
    </row>
    <row r="89" spans="1:11">
      <c r="A89" t="s">
        <v>1313</v>
      </c>
      <c r="B89" s="1">
        <v>41675</v>
      </c>
      <c r="C89" t="s">
        <v>1314</v>
      </c>
      <c r="D89">
        <v>1</v>
      </c>
      <c r="E89" t="s">
        <v>429</v>
      </c>
      <c r="F89" s="150" t="s">
        <v>818</v>
      </c>
      <c r="G89" s="149" t="s">
        <v>429</v>
      </c>
      <c r="H89" s="3">
        <f t="shared" si="6"/>
        <v>79215.25</v>
      </c>
      <c r="I89" s="3">
        <v>12674.44</v>
      </c>
    </row>
    <row r="90" spans="1:11">
      <c r="A90" t="s">
        <v>1315</v>
      </c>
      <c r="B90" s="1">
        <v>41676</v>
      </c>
      <c r="C90" t="s">
        <v>1316</v>
      </c>
      <c r="D90">
        <v>1</v>
      </c>
      <c r="E90" t="s">
        <v>429</v>
      </c>
      <c r="F90" s="150" t="s">
        <v>818</v>
      </c>
      <c r="G90" s="149" t="s">
        <v>429</v>
      </c>
      <c r="H90" s="3">
        <f t="shared" si="6"/>
        <v>11074.625</v>
      </c>
      <c r="I90" s="3">
        <v>1771.94</v>
      </c>
    </row>
    <row r="91" spans="1:11">
      <c r="A91" t="s">
        <v>1322</v>
      </c>
      <c r="B91" s="1">
        <v>41677</v>
      </c>
      <c r="C91" t="s">
        <v>1323</v>
      </c>
      <c r="D91">
        <v>1</v>
      </c>
      <c r="E91" t="s">
        <v>429</v>
      </c>
      <c r="F91" s="150" t="s">
        <v>818</v>
      </c>
      <c r="G91" s="149" t="s">
        <v>429</v>
      </c>
      <c r="H91" s="3">
        <f t="shared" si="6"/>
        <v>72276.5</v>
      </c>
      <c r="I91" s="3">
        <v>11564.24</v>
      </c>
    </row>
    <row r="92" spans="1:11">
      <c r="A92" t="s">
        <v>1324</v>
      </c>
      <c r="B92" s="1">
        <v>41678</v>
      </c>
      <c r="C92" t="s">
        <v>1325</v>
      </c>
      <c r="D92">
        <v>1</v>
      </c>
      <c r="E92" t="s">
        <v>429</v>
      </c>
      <c r="F92" s="150" t="s">
        <v>818</v>
      </c>
      <c r="G92" s="149" t="s">
        <v>429</v>
      </c>
      <c r="H92" s="3">
        <f t="shared" si="6"/>
        <v>15064.0625</v>
      </c>
      <c r="I92" s="3">
        <v>2410.25</v>
      </c>
    </row>
    <row r="93" spans="1:11">
      <c r="A93" t="s">
        <v>1327</v>
      </c>
      <c r="B93" s="1">
        <v>41680</v>
      </c>
      <c r="C93" t="s">
        <v>1328</v>
      </c>
      <c r="D93">
        <v>1</v>
      </c>
      <c r="E93" t="s">
        <v>429</v>
      </c>
      <c r="F93" s="150" t="s">
        <v>818</v>
      </c>
      <c r="G93" s="149" t="s">
        <v>429</v>
      </c>
      <c r="H93" s="3">
        <f t="shared" si="6"/>
        <v>5714.25</v>
      </c>
      <c r="I93" s="3">
        <v>914.28</v>
      </c>
    </row>
    <row r="94" spans="1:11">
      <c r="A94" t="s">
        <v>468</v>
      </c>
      <c r="B94" s="1">
        <v>41681</v>
      </c>
      <c r="C94" t="s">
        <v>1337</v>
      </c>
      <c r="D94">
        <v>1</v>
      </c>
      <c r="E94" t="s">
        <v>429</v>
      </c>
      <c r="F94" s="150" t="s">
        <v>818</v>
      </c>
      <c r="G94" s="149" t="s">
        <v>429</v>
      </c>
      <c r="H94" s="3">
        <f t="shared" si="6"/>
        <v>7209.9999999999991</v>
      </c>
      <c r="I94" s="3">
        <v>1153.5999999999999</v>
      </c>
    </row>
    <row r="95" spans="1:11">
      <c r="A95" t="s">
        <v>479</v>
      </c>
      <c r="B95" s="1">
        <v>41682</v>
      </c>
      <c r="C95" t="s">
        <v>1338</v>
      </c>
      <c r="D95">
        <v>1</v>
      </c>
      <c r="E95" t="s">
        <v>429</v>
      </c>
      <c r="F95" s="150" t="s">
        <v>818</v>
      </c>
      <c r="G95" s="149" t="s">
        <v>429</v>
      </c>
      <c r="H95" s="3">
        <f t="shared" si="6"/>
        <v>2867.1875</v>
      </c>
      <c r="I95" s="3">
        <v>458.75</v>
      </c>
    </row>
    <row r="96" spans="1:11">
      <c r="A96" t="s">
        <v>1340</v>
      </c>
      <c r="B96" s="1">
        <v>41683</v>
      </c>
      <c r="C96" t="s">
        <v>1341</v>
      </c>
      <c r="D96">
        <v>1</v>
      </c>
      <c r="E96" t="s">
        <v>429</v>
      </c>
      <c r="F96" s="150" t="s">
        <v>818</v>
      </c>
      <c r="G96" s="149" t="s">
        <v>429</v>
      </c>
      <c r="H96" s="3">
        <f t="shared" si="6"/>
        <v>51500</v>
      </c>
      <c r="I96" s="3">
        <v>8240</v>
      </c>
    </row>
    <row r="97" spans="1:9">
      <c r="A97" t="s">
        <v>1342</v>
      </c>
      <c r="B97" s="1">
        <v>41683</v>
      </c>
      <c r="C97" t="s">
        <v>1343</v>
      </c>
      <c r="D97">
        <v>1</v>
      </c>
      <c r="E97" t="s">
        <v>429</v>
      </c>
      <c r="F97" s="150" t="s">
        <v>818</v>
      </c>
      <c r="G97" s="149" t="s">
        <v>429</v>
      </c>
      <c r="H97" s="3">
        <f t="shared" si="6"/>
        <v>35844</v>
      </c>
      <c r="I97" s="3">
        <v>5735.04</v>
      </c>
    </row>
    <row r="98" spans="1:9">
      <c r="A98" t="s">
        <v>1344</v>
      </c>
      <c r="B98" s="1">
        <v>41683</v>
      </c>
      <c r="C98" t="s">
        <v>1345</v>
      </c>
      <c r="D98">
        <v>1</v>
      </c>
      <c r="E98" t="s">
        <v>429</v>
      </c>
      <c r="F98" s="150" t="s">
        <v>818</v>
      </c>
      <c r="G98" s="149" t="s">
        <v>429</v>
      </c>
      <c r="H98" s="3">
        <f t="shared" si="6"/>
        <v>6320.3125</v>
      </c>
      <c r="I98" s="3">
        <v>1011.25</v>
      </c>
    </row>
    <row r="99" spans="1:9">
      <c r="A99" t="s">
        <v>494</v>
      </c>
      <c r="B99" s="1">
        <v>41683</v>
      </c>
      <c r="C99" t="s">
        <v>1346</v>
      </c>
      <c r="D99">
        <v>1</v>
      </c>
      <c r="E99" t="s">
        <v>429</v>
      </c>
      <c r="F99" s="150" t="s">
        <v>818</v>
      </c>
      <c r="G99" s="149" t="s">
        <v>429</v>
      </c>
      <c r="H99" s="3">
        <f t="shared" si="6"/>
        <v>3703.875</v>
      </c>
      <c r="I99" s="3">
        <v>592.62</v>
      </c>
    </row>
    <row r="100" spans="1:9">
      <c r="A100" t="s">
        <v>1350</v>
      </c>
      <c r="B100" s="1">
        <v>41684</v>
      </c>
      <c r="C100" t="s">
        <v>1351</v>
      </c>
      <c r="D100">
        <v>1</v>
      </c>
      <c r="E100" t="s">
        <v>429</v>
      </c>
      <c r="F100" s="150" t="s">
        <v>818</v>
      </c>
      <c r="G100" s="149" t="s">
        <v>429</v>
      </c>
      <c r="H100" s="3">
        <f t="shared" si="6"/>
        <v>392824.5</v>
      </c>
      <c r="I100" s="3">
        <v>62851.92</v>
      </c>
    </row>
    <row r="101" spans="1:9">
      <c r="A101" t="s">
        <v>1352</v>
      </c>
      <c r="B101" s="1">
        <v>41684</v>
      </c>
      <c r="C101" t="s">
        <v>1353</v>
      </c>
      <c r="D101">
        <v>1</v>
      </c>
      <c r="E101" t="s">
        <v>429</v>
      </c>
      <c r="F101" s="150" t="s">
        <v>818</v>
      </c>
      <c r="G101" s="149" t="s">
        <v>429</v>
      </c>
      <c r="H101" s="3">
        <f t="shared" si="6"/>
        <v>72434.3125</v>
      </c>
      <c r="I101" s="3">
        <v>11589.49</v>
      </c>
    </row>
    <row r="102" spans="1:9">
      <c r="A102" t="s">
        <v>559</v>
      </c>
      <c r="B102" s="1">
        <v>41687</v>
      </c>
      <c r="C102" t="s">
        <v>1404</v>
      </c>
      <c r="D102">
        <v>1</v>
      </c>
      <c r="E102" t="s">
        <v>429</v>
      </c>
      <c r="F102" s="150" t="s">
        <v>818</v>
      </c>
      <c r="G102" s="149" t="s">
        <v>429</v>
      </c>
      <c r="H102" s="3">
        <f t="shared" si="6"/>
        <v>848.49999999999989</v>
      </c>
      <c r="I102" s="3">
        <v>135.76</v>
      </c>
    </row>
    <row r="103" spans="1:9">
      <c r="A103" t="s">
        <v>1407</v>
      </c>
      <c r="B103" s="1">
        <v>41687</v>
      </c>
      <c r="C103" t="s">
        <v>1408</v>
      </c>
      <c r="D103">
        <v>1</v>
      </c>
      <c r="E103" t="s">
        <v>429</v>
      </c>
      <c r="F103" s="150" t="s">
        <v>818</v>
      </c>
      <c r="G103" s="149" t="s">
        <v>429</v>
      </c>
      <c r="H103" s="3">
        <f t="shared" si="6"/>
        <v>6186.5</v>
      </c>
      <c r="I103" s="3">
        <v>989.84</v>
      </c>
    </row>
    <row r="104" spans="1:9">
      <c r="A104" t="s">
        <v>1409</v>
      </c>
      <c r="B104" s="1">
        <v>41687</v>
      </c>
      <c r="C104" t="s">
        <v>1410</v>
      </c>
      <c r="D104">
        <v>1</v>
      </c>
      <c r="E104" t="s">
        <v>429</v>
      </c>
      <c r="F104" s="150" t="s">
        <v>818</v>
      </c>
      <c r="G104" s="149" t="s">
        <v>429</v>
      </c>
      <c r="H104" s="3">
        <f t="shared" si="6"/>
        <v>32568.75</v>
      </c>
      <c r="I104" s="3">
        <v>5211</v>
      </c>
    </row>
    <row r="105" spans="1:9">
      <c r="A105" t="s">
        <v>566</v>
      </c>
      <c r="B105" s="1">
        <v>41687</v>
      </c>
      <c r="C105" t="s">
        <v>1411</v>
      </c>
      <c r="D105">
        <v>1</v>
      </c>
      <c r="E105" t="s">
        <v>429</v>
      </c>
      <c r="F105" s="150" t="s">
        <v>818</v>
      </c>
      <c r="G105" s="149" t="s">
        <v>429</v>
      </c>
      <c r="H105" s="3">
        <f t="shared" si="6"/>
        <v>7000</v>
      </c>
      <c r="I105" s="3">
        <v>1120</v>
      </c>
    </row>
    <row r="106" spans="1:9">
      <c r="A106" t="s">
        <v>568</v>
      </c>
      <c r="B106" s="1">
        <v>41687</v>
      </c>
      <c r="C106" t="s">
        <v>1412</v>
      </c>
      <c r="D106">
        <v>1</v>
      </c>
      <c r="E106" t="s">
        <v>429</v>
      </c>
      <c r="F106" s="150" t="s">
        <v>818</v>
      </c>
      <c r="G106" s="149" t="s">
        <v>429</v>
      </c>
      <c r="H106" s="3">
        <f t="shared" si="6"/>
        <v>14134.25</v>
      </c>
      <c r="I106" s="3">
        <v>2261.48</v>
      </c>
    </row>
    <row r="107" spans="1:9">
      <c r="A107" t="s">
        <v>1413</v>
      </c>
      <c r="B107" s="1">
        <v>41687</v>
      </c>
      <c r="C107" t="s">
        <v>1414</v>
      </c>
      <c r="D107">
        <v>1</v>
      </c>
      <c r="E107" t="s">
        <v>429</v>
      </c>
      <c r="F107" s="150" t="s">
        <v>818</v>
      </c>
      <c r="G107" s="149" t="s">
        <v>429</v>
      </c>
      <c r="H107" s="3">
        <f t="shared" si="6"/>
        <v>1641</v>
      </c>
      <c r="I107" s="3">
        <v>262.56</v>
      </c>
    </row>
    <row r="108" spans="1:9">
      <c r="A108" t="s">
        <v>570</v>
      </c>
      <c r="B108" s="1">
        <v>41687</v>
      </c>
      <c r="C108" t="s">
        <v>1415</v>
      </c>
      <c r="D108">
        <v>1</v>
      </c>
      <c r="E108" t="s">
        <v>429</v>
      </c>
      <c r="F108" s="150" t="s">
        <v>818</v>
      </c>
      <c r="G108" s="149" t="s">
        <v>429</v>
      </c>
      <c r="H108" s="3">
        <f t="shared" si="6"/>
        <v>5260.8125</v>
      </c>
      <c r="I108" s="3">
        <v>841.73</v>
      </c>
    </row>
    <row r="109" spans="1:9">
      <c r="A109" t="s">
        <v>572</v>
      </c>
      <c r="B109" s="1">
        <v>41687</v>
      </c>
      <c r="C109" t="s">
        <v>1416</v>
      </c>
      <c r="D109">
        <v>1</v>
      </c>
      <c r="E109" t="s">
        <v>429</v>
      </c>
      <c r="F109" s="150" t="s">
        <v>818</v>
      </c>
      <c r="G109" s="149" t="s">
        <v>429</v>
      </c>
      <c r="H109" s="3">
        <f t="shared" si="6"/>
        <v>8421.9375</v>
      </c>
      <c r="I109" s="3">
        <v>1347.51</v>
      </c>
    </row>
    <row r="110" spans="1:9">
      <c r="A110" t="s">
        <v>1427</v>
      </c>
      <c r="B110" s="1">
        <v>41689</v>
      </c>
      <c r="C110" t="s">
        <v>1428</v>
      </c>
      <c r="D110">
        <v>1</v>
      </c>
      <c r="E110" t="s">
        <v>429</v>
      </c>
      <c r="F110" s="150" t="s">
        <v>818</v>
      </c>
      <c r="G110" s="149" t="s">
        <v>429</v>
      </c>
      <c r="H110" s="3">
        <f t="shared" si="6"/>
        <v>10300</v>
      </c>
      <c r="I110" s="3">
        <v>1648</v>
      </c>
    </row>
    <row r="111" spans="1:9">
      <c r="A111" t="s">
        <v>583</v>
      </c>
      <c r="B111" s="1">
        <v>41690</v>
      </c>
      <c r="C111" t="s">
        <v>1429</v>
      </c>
      <c r="D111">
        <v>1</v>
      </c>
      <c r="E111" t="s">
        <v>429</v>
      </c>
      <c r="F111" s="150" t="s">
        <v>818</v>
      </c>
      <c r="G111" s="149" t="s">
        <v>429</v>
      </c>
      <c r="H111" s="3">
        <f t="shared" si="6"/>
        <v>15150.062500000002</v>
      </c>
      <c r="I111" s="3">
        <v>2424.0100000000002</v>
      </c>
    </row>
    <row r="112" spans="1:9">
      <c r="A112" t="s">
        <v>1431</v>
      </c>
      <c r="B112" s="1">
        <v>41690</v>
      </c>
      <c r="C112" t="s">
        <v>1432</v>
      </c>
      <c r="D112">
        <v>1</v>
      </c>
      <c r="E112" t="s">
        <v>429</v>
      </c>
      <c r="F112" s="150" t="s">
        <v>818</v>
      </c>
      <c r="G112" s="149" t="s">
        <v>429</v>
      </c>
      <c r="H112" s="3">
        <f t="shared" si="6"/>
        <v>51500</v>
      </c>
      <c r="I112" s="3">
        <v>8240</v>
      </c>
    </row>
    <row r="113" spans="1:9">
      <c r="A113" t="s">
        <v>1433</v>
      </c>
      <c r="B113" s="1">
        <v>41690</v>
      </c>
      <c r="C113" t="s">
        <v>1434</v>
      </c>
      <c r="D113">
        <v>1</v>
      </c>
      <c r="E113" t="s">
        <v>429</v>
      </c>
      <c r="F113" s="150" t="s">
        <v>818</v>
      </c>
      <c r="G113" s="149" t="s">
        <v>429</v>
      </c>
      <c r="H113" s="3">
        <f t="shared" si="6"/>
        <v>2987</v>
      </c>
      <c r="I113" s="3">
        <v>477.92</v>
      </c>
    </row>
    <row r="114" spans="1:9">
      <c r="A114" t="s">
        <v>594</v>
      </c>
      <c r="B114" s="1">
        <v>41691</v>
      </c>
      <c r="C114" t="s">
        <v>1435</v>
      </c>
      <c r="D114">
        <v>1</v>
      </c>
      <c r="E114" t="s">
        <v>429</v>
      </c>
      <c r="F114" s="150" t="s">
        <v>818</v>
      </c>
      <c r="G114" s="149" t="s">
        <v>429</v>
      </c>
      <c r="H114" s="3">
        <f t="shared" si="6"/>
        <v>63305.875</v>
      </c>
      <c r="I114" s="3">
        <v>10128.94</v>
      </c>
    </row>
    <row r="115" spans="1:9">
      <c r="A115" t="s">
        <v>1438</v>
      </c>
      <c r="B115" s="1">
        <v>41691</v>
      </c>
      <c r="C115" t="s">
        <v>1439</v>
      </c>
      <c r="D115">
        <v>1</v>
      </c>
      <c r="E115" t="s">
        <v>429</v>
      </c>
      <c r="F115" s="150" t="s">
        <v>818</v>
      </c>
      <c r="G115" s="149" t="s">
        <v>429</v>
      </c>
      <c r="H115" s="3">
        <f t="shared" ref="H115:H146" si="7">+I115/0.16</f>
        <v>45322.4375</v>
      </c>
      <c r="I115" s="3">
        <v>7251.59</v>
      </c>
    </row>
    <row r="116" spans="1:9">
      <c r="A116" t="s">
        <v>604</v>
      </c>
      <c r="B116" s="1">
        <v>41694</v>
      </c>
      <c r="C116" t="s">
        <v>1443</v>
      </c>
      <c r="D116">
        <v>1</v>
      </c>
      <c r="E116" t="s">
        <v>429</v>
      </c>
      <c r="F116" s="150" t="s">
        <v>818</v>
      </c>
      <c r="G116" s="149" t="s">
        <v>429</v>
      </c>
      <c r="H116" s="3">
        <f t="shared" si="7"/>
        <v>666.875</v>
      </c>
      <c r="I116" s="3">
        <v>106.7</v>
      </c>
    </row>
    <row r="117" spans="1:9">
      <c r="A117" t="s">
        <v>1444</v>
      </c>
      <c r="B117" s="1">
        <v>41694</v>
      </c>
      <c r="C117" t="s">
        <v>1445</v>
      </c>
      <c r="D117">
        <v>1</v>
      </c>
      <c r="E117" t="s">
        <v>429</v>
      </c>
      <c r="F117" s="150" t="s">
        <v>818</v>
      </c>
      <c r="G117" s="149" t="s">
        <v>429</v>
      </c>
      <c r="H117" s="3">
        <f t="shared" si="7"/>
        <v>521.0625</v>
      </c>
      <c r="I117" s="3">
        <v>83.37</v>
      </c>
    </row>
    <row r="118" spans="1:9">
      <c r="A118" t="s">
        <v>609</v>
      </c>
      <c r="B118" s="1">
        <v>41695</v>
      </c>
      <c r="C118" t="s">
        <v>1446</v>
      </c>
      <c r="D118">
        <v>1</v>
      </c>
      <c r="E118" t="s">
        <v>429</v>
      </c>
      <c r="F118" s="150" t="s">
        <v>818</v>
      </c>
      <c r="G118" s="149" t="s">
        <v>429</v>
      </c>
      <c r="H118" s="3">
        <f t="shared" si="7"/>
        <v>2778.5625</v>
      </c>
      <c r="I118" s="3">
        <v>444.57</v>
      </c>
    </row>
    <row r="119" spans="1:9">
      <c r="A119" t="s">
        <v>620</v>
      </c>
      <c r="B119" s="1">
        <v>41696</v>
      </c>
      <c r="C119" t="s">
        <v>1450</v>
      </c>
      <c r="D119">
        <v>1</v>
      </c>
      <c r="E119" t="s">
        <v>429</v>
      </c>
      <c r="F119" s="150" t="s">
        <v>818</v>
      </c>
      <c r="G119" s="149" t="s">
        <v>429</v>
      </c>
      <c r="H119" s="3">
        <f t="shared" si="7"/>
        <v>2566.5</v>
      </c>
      <c r="I119" s="3">
        <v>410.64</v>
      </c>
    </row>
    <row r="120" spans="1:9">
      <c r="A120" t="s">
        <v>623</v>
      </c>
      <c r="B120" s="1">
        <v>41697</v>
      </c>
      <c r="C120" t="s">
        <v>1455</v>
      </c>
      <c r="D120">
        <v>1</v>
      </c>
      <c r="E120" t="s">
        <v>429</v>
      </c>
      <c r="F120" s="150" t="s">
        <v>818</v>
      </c>
      <c r="G120" s="149" t="s">
        <v>429</v>
      </c>
      <c r="H120" s="3">
        <f t="shared" si="7"/>
        <v>9319.4375</v>
      </c>
      <c r="I120" s="3">
        <v>1491.11</v>
      </c>
    </row>
    <row r="121" spans="1:9">
      <c r="A121" t="s">
        <v>625</v>
      </c>
      <c r="B121" s="1">
        <v>41697</v>
      </c>
      <c r="C121" t="s">
        <v>1456</v>
      </c>
      <c r="D121">
        <v>1</v>
      </c>
      <c r="E121" t="s">
        <v>429</v>
      </c>
      <c r="F121" s="150" t="s">
        <v>818</v>
      </c>
      <c r="G121" s="149" t="s">
        <v>429</v>
      </c>
      <c r="H121" s="3">
        <f t="shared" si="7"/>
        <v>51500</v>
      </c>
      <c r="I121" s="3">
        <v>8240</v>
      </c>
    </row>
    <row r="122" spans="1:9">
      <c r="A122" t="s">
        <v>627</v>
      </c>
      <c r="B122" s="1">
        <v>41697</v>
      </c>
      <c r="C122" t="s">
        <v>1457</v>
      </c>
      <c r="D122">
        <v>1</v>
      </c>
      <c r="E122" t="s">
        <v>429</v>
      </c>
      <c r="F122" s="150" t="s">
        <v>818</v>
      </c>
      <c r="G122" s="149" t="s">
        <v>429</v>
      </c>
      <c r="H122" s="3">
        <f t="shared" si="7"/>
        <v>10753.1875</v>
      </c>
      <c r="I122" s="3">
        <v>1720.51</v>
      </c>
    </row>
    <row r="123" spans="1:9">
      <c r="A123" t="s">
        <v>631</v>
      </c>
      <c r="B123" s="1">
        <v>41697</v>
      </c>
      <c r="C123" t="s">
        <v>1459</v>
      </c>
      <c r="D123">
        <v>1</v>
      </c>
      <c r="E123" t="s">
        <v>429</v>
      </c>
      <c r="F123" s="150" t="s">
        <v>818</v>
      </c>
      <c r="G123" s="149" t="s">
        <v>429</v>
      </c>
      <c r="H123" s="3">
        <f t="shared" si="7"/>
        <v>1500.375</v>
      </c>
      <c r="I123" s="3">
        <v>240.06</v>
      </c>
    </row>
    <row r="124" spans="1:9">
      <c r="A124" t="s">
        <v>633</v>
      </c>
      <c r="B124" s="1">
        <v>41697</v>
      </c>
      <c r="C124" t="s">
        <v>1460</v>
      </c>
      <c r="D124">
        <v>1</v>
      </c>
      <c r="E124" t="s">
        <v>429</v>
      </c>
      <c r="F124" s="150" t="s">
        <v>818</v>
      </c>
      <c r="G124" s="149" t="s">
        <v>429</v>
      </c>
      <c r="H124" s="3">
        <f t="shared" si="7"/>
        <v>148269.9375</v>
      </c>
      <c r="I124" s="3">
        <v>23723.19</v>
      </c>
    </row>
    <row r="125" spans="1:9">
      <c r="A125" t="s">
        <v>1461</v>
      </c>
      <c r="B125" s="1">
        <v>41697</v>
      </c>
      <c r="C125" t="s">
        <v>1462</v>
      </c>
      <c r="D125">
        <v>1</v>
      </c>
      <c r="E125" t="s">
        <v>429</v>
      </c>
      <c r="F125" s="150" t="s">
        <v>818</v>
      </c>
      <c r="G125" s="149" t="s">
        <v>429</v>
      </c>
      <c r="H125" s="3">
        <f t="shared" si="7"/>
        <v>1448.5625</v>
      </c>
      <c r="I125" s="3">
        <v>231.77</v>
      </c>
    </row>
    <row r="126" spans="1:9">
      <c r="A126" t="s">
        <v>638</v>
      </c>
      <c r="B126" s="1">
        <v>41697</v>
      </c>
      <c r="C126" t="s">
        <v>1463</v>
      </c>
      <c r="D126">
        <v>1</v>
      </c>
      <c r="E126" t="s">
        <v>429</v>
      </c>
      <c r="F126" s="150" t="s">
        <v>818</v>
      </c>
      <c r="G126" s="149" t="s">
        <v>429</v>
      </c>
      <c r="H126" s="3">
        <f t="shared" si="7"/>
        <v>25807.687499999996</v>
      </c>
      <c r="I126" s="3">
        <v>4129.2299999999996</v>
      </c>
    </row>
    <row r="127" spans="1:9">
      <c r="A127" t="s">
        <v>641</v>
      </c>
      <c r="B127" s="1">
        <v>41697</v>
      </c>
      <c r="C127" t="s">
        <v>1464</v>
      </c>
      <c r="D127">
        <v>1</v>
      </c>
      <c r="E127" t="s">
        <v>429</v>
      </c>
      <c r="F127" s="150" t="s">
        <v>818</v>
      </c>
      <c r="G127" s="149" t="s">
        <v>429</v>
      </c>
      <c r="H127" s="3">
        <f t="shared" si="7"/>
        <v>7168.8125</v>
      </c>
      <c r="I127" s="3">
        <v>1147.01</v>
      </c>
    </row>
    <row r="128" spans="1:9">
      <c r="A128" t="s">
        <v>644</v>
      </c>
      <c r="B128" s="1">
        <v>41697</v>
      </c>
      <c r="C128" t="s">
        <v>1465</v>
      </c>
      <c r="D128">
        <v>1</v>
      </c>
      <c r="E128" t="s">
        <v>429</v>
      </c>
      <c r="F128" s="150" t="s">
        <v>818</v>
      </c>
      <c r="G128" s="149" t="s">
        <v>429</v>
      </c>
      <c r="H128" s="3">
        <f t="shared" si="7"/>
        <v>1100</v>
      </c>
      <c r="I128" s="3">
        <v>176</v>
      </c>
    </row>
    <row r="129" spans="1:9">
      <c r="A129" t="s">
        <v>678</v>
      </c>
      <c r="B129" s="1">
        <v>41698</v>
      </c>
      <c r="C129" t="s">
        <v>1504</v>
      </c>
      <c r="D129">
        <v>1</v>
      </c>
      <c r="E129" t="s">
        <v>429</v>
      </c>
      <c r="F129" s="150" t="s">
        <v>818</v>
      </c>
      <c r="G129" s="149" t="s">
        <v>429</v>
      </c>
      <c r="H129" s="3">
        <f t="shared" si="7"/>
        <v>6792.7499999999991</v>
      </c>
      <c r="I129" s="3">
        <v>1086.8399999999999</v>
      </c>
    </row>
    <row r="130" spans="1:9">
      <c r="A130" t="s">
        <v>1505</v>
      </c>
      <c r="B130" s="1">
        <v>41698</v>
      </c>
      <c r="C130" t="s">
        <v>1506</v>
      </c>
      <c r="D130">
        <v>1</v>
      </c>
      <c r="E130" t="s">
        <v>429</v>
      </c>
      <c r="F130" s="150" t="s">
        <v>818</v>
      </c>
      <c r="G130" s="149" t="s">
        <v>429</v>
      </c>
      <c r="H130" s="3">
        <f t="shared" si="7"/>
        <v>115313.68749999999</v>
      </c>
      <c r="I130" s="3">
        <v>18450.189999999999</v>
      </c>
    </row>
    <row r="131" spans="1:9">
      <c r="A131" t="s">
        <v>1101</v>
      </c>
      <c r="B131" s="1">
        <v>41691</v>
      </c>
      <c r="C131" t="s">
        <v>1102</v>
      </c>
      <c r="D131">
        <v>1</v>
      </c>
      <c r="E131" t="s">
        <v>268</v>
      </c>
      <c r="F131" s="151" t="s">
        <v>819</v>
      </c>
      <c r="G131" s="149" t="s">
        <v>268</v>
      </c>
      <c r="H131" s="3">
        <f t="shared" si="7"/>
        <v>100.875</v>
      </c>
      <c r="I131" s="3">
        <v>16.14</v>
      </c>
    </row>
    <row r="132" spans="1:9">
      <c r="A132" t="s">
        <v>1103</v>
      </c>
      <c r="B132" s="1">
        <v>41691</v>
      </c>
      <c r="C132" t="s">
        <v>1104</v>
      </c>
      <c r="D132">
        <v>1</v>
      </c>
      <c r="E132" t="s">
        <v>268</v>
      </c>
      <c r="F132" s="149" t="s">
        <v>819</v>
      </c>
      <c r="G132" s="149" t="s">
        <v>268</v>
      </c>
      <c r="H132" s="3">
        <f t="shared" si="7"/>
        <v>48.25</v>
      </c>
      <c r="I132" s="3">
        <v>7.72</v>
      </c>
    </row>
    <row r="133" spans="1:9">
      <c r="A133" t="s">
        <v>1225</v>
      </c>
      <c r="B133" s="1">
        <v>41698</v>
      </c>
      <c r="C133">
        <v>9787</v>
      </c>
      <c r="D133">
        <v>1</v>
      </c>
      <c r="E133" t="s">
        <v>268</v>
      </c>
      <c r="F133" s="151" t="s">
        <v>819</v>
      </c>
      <c r="G133" s="149" t="s">
        <v>268</v>
      </c>
      <c r="H133" s="3">
        <f t="shared" si="7"/>
        <v>76.625</v>
      </c>
      <c r="I133" s="3">
        <v>12.26</v>
      </c>
    </row>
    <row r="134" spans="1:9">
      <c r="A134" t="s">
        <v>1392</v>
      </c>
      <c r="B134" s="1">
        <v>41687</v>
      </c>
      <c r="C134" t="s">
        <v>1393</v>
      </c>
      <c r="D134">
        <v>1</v>
      </c>
      <c r="E134" t="s">
        <v>1394</v>
      </c>
      <c r="F134" s="149" t="s">
        <v>1557</v>
      </c>
      <c r="G134" s="149" t="s">
        <v>1394</v>
      </c>
      <c r="H134" s="3">
        <f t="shared" si="7"/>
        <v>1188</v>
      </c>
      <c r="I134" s="3">
        <v>190.08</v>
      </c>
    </row>
    <row r="135" spans="1:9">
      <c r="A135" t="s">
        <v>1173</v>
      </c>
      <c r="B135" s="1">
        <v>41695</v>
      </c>
      <c r="C135" t="s">
        <v>1174</v>
      </c>
      <c r="D135">
        <v>1</v>
      </c>
      <c r="E135" t="s">
        <v>777</v>
      </c>
      <c r="F135" s="152" t="s">
        <v>737</v>
      </c>
      <c r="G135" s="149" t="s">
        <v>738</v>
      </c>
      <c r="H135" s="3">
        <f t="shared" si="7"/>
        <v>261241.3125</v>
      </c>
      <c r="I135" s="3">
        <v>41798.61</v>
      </c>
    </row>
    <row r="136" spans="1:9">
      <c r="A136" t="s">
        <v>1056</v>
      </c>
      <c r="B136" s="1">
        <v>41687</v>
      </c>
      <c r="C136" t="s">
        <v>1057</v>
      </c>
      <c r="D136">
        <v>1</v>
      </c>
      <c r="E136" t="s">
        <v>1058</v>
      </c>
      <c r="F136" s="152" t="s">
        <v>737</v>
      </c>
      <c r="G136" s="149" t="s">
        <v>738</v>
      </c>
      <c r="H136" s="3">
        <f t="shared" si="7"/>
        <v>411420.75000000006</v>
      </c>
      <c r="I136" s="3">
        <v>65827.320000000007</v>
      </c>
    </row>
    <row r="137" spans="1:9">
      <c r="A137" t="s">
        <v>1080</v>
      </c>
      <c r="B137" s="1">
        <v>41691</v>
      </c>
      <c r="C137" t="s">
        <v>1081</v>
      </c>
      <c r="D137">
        <v>1</v>
      </c>
      <c r="E137" t="s">
        <v>1082</v>
      </c>
      <c r="F137" s="149" t="s">
        <v>1558</v>
      </c>
      <c r="G137" s="149" t="s">
        <v>1082</v>
      </c>
      <c r="H137" s="3">
        <f t="shared" si="7"/>
        <v>695</v>
      </c>
      <c r="I137" s="3">
        <v>111.2</v>
      </c>
    </row>
    <row r="138" spans="1:9">
      <c r="A138" t="s">
        <v>1335</v>
      </c>
      <c r="B138" s="1">
        <v>41681</v>
      </c>
      <c r="C138" t="s">
        <v>1336</v>
      </c>
      <c r="D138">
        <v>2</v>
      </c>
      <c r="E138" t="s">
        <v>456</v>
      </c>
      <c r="F138" s="151" t="s">
        <v>824</v>
      </c>
      <c r="G138" s="149" t="s">
        <v>456</v>
      </c>
      <c r="H138" s="3">
        <f t="shared" si="7"/>
        <v>9000</v>
      </c>
      <c r="I138" s="3">
        <v>1440</v>
      </c>
    </row>
    <row r="139" spans="1:9">
      <c r="A139" t="s">
        <v>576</v>
      </c>
      <c r="B139" s="1">
        <v>41688</v>
      </c>
      <c r="C139" t="s">
        <v>1417</v>
      </c>
      <c r="D139">
        <v>2</v>
      </c>
      <c r="E139" t="s">
        <v>456</v>
      </c>
      <c r="F139" s="149" t="s">
        <v>824</v>
      </c>
      <c r="G139" s="149" t="s">
        <v>456</v>
      </c>
      <c r="H139" s="3">
        <f t="shared" si="7"/>
        <v>9000</v>
      </c>
      <c r="I139" s="3">
        <v>1440</v>
      </c>
    </row>
    <row r="140" spans="1:9">
      <c r="A140" t="s">
        <v>500</v>
      </c>
      <c r="B140" s="1">
        <v>41683</v>
      </c>
      <c r="C140" t="s">
        <v>1347</v>
      </c>
      <c r="D140">
        <v>1</v>
      </c>
      <c r="E140" t="s">
        <v>533</v>
      </c>
      <c r="F140" s="151" t="s">
        <v>825</v>
      </c>
      <c r="G140" s="149" t="s">
        <v>533</v>
      </c>
      <c r="H140" s="3">
        <f t="shared" si="7"/>
        <v>6000</v>
      </c>
      <c r="I140" s="3">
        <v>960</v>
      </c>
    </row>
    <row r="141" spans="1:9">
      <c r="A141" t="s">
        <v>1372</v>
      </c>
      <c r="B141" s="1">
        <v>41685</v>
      </c>
      <c r="C141" t="s">
        <v>1373</v>
      </c>
      <c r="D141">
        <v>1</v>
      </c>
      <c r="E141" t="s">
        <v>533</v>
      </c>
      <c r="F141" s="151" t="s">
        <v>825</v>
      </c>
      <c r="G141" s="149" t="s">
        <v>533</v>
      </c>
      <c r="H141" s="3">
        <f t="shared" si="7"/>
        <v>15150</v>
      </c>
      <c r="I141" s="3">
        <v>2424</v>
      </c>
    </row>
    <row r="142" spans="1:9">
      <c r="A142" t="s">
        <v>531</v>
      </c>
      <c r="B142" s="1">
        <v>41685</v>
      </c>
      <c r="C142" t="s">
        <v>1384</v>
      </c>
      <c r="D142">
        <v>1</v>
      </c>
      <c r="E142" t="s">
        <v>533</v>
      </c>
      <c r="F142" s="149" t="s">
        <v>825</v>
      </c>
      <c r="G142" s="149" t="s">
        <v>533</v>
      </c>
      <c r="H142" s="3">
        <f t="shared" si="7"/>
        <v>15000</v>
      </c>
      <c r="I142" s="3">
        <v>2400</v>
      </c>
    </row>
    <row r="143" spans="1:9">
      <c r="A143" t="s">
        <v>629</v>
      </c>
      <c r="B143" s="1">
        <v>41697</v>
      </c>
      <c r="C143" t="s">
        <v>1458</v>
      </c>
      <c r="D143">
        <v>1</v>
      </c>
      <c r="E143" t="s">
        <v>533</v>
      </c>
      <c r="F143" s="150" t="s">
        <v>825</v>
      </c>
      <c r="G143" s="149" t="s">
        <v>533</v>
      </c>
      <c r="H143" s="3">
        <f t="shared" si="7"/>
        <v>35175.1875</v>
      </c>
      <c r="I143" s="3">
        <v>5628.03</v>
      </c>
    </row>
    <row r="144" spans="1:9">
      <c r="A144" t="s">
        <v>1479</v>
      </c>
      <c r="B144" s="1">
        <v>41697</v>
      </c>
      <c r="C144" t="s">
        <v>1480</v>
      </c>
      <c r="D144">
        <v>1</v>
      </c>
      <c r="E144" t="s">
        <v>541</v>
      </c>
      <c r="F144" s="149" t="s">
        <v>826</v>
      </c>
      <c r="G144" s="149" t="s">
        <v>541</v>
      </c>
      <c r="H144" s="3">
        <f t="shared" si="7"/>
        <v>4702</v>
      </c>
      <c r="I144" s="3">
        <v>752.32</v>
      </c>
    </row>
    <row r="145" spans="1:12">
      <c r="A145" t="s">
        <v>1259</v>
      </c>
      <c r="B145" s="1">
        <v>41698</v>
      </c>
      <c r="C145">
        <v>9774</v>
      </c>
      <c r="D145">
        <v>1</v>
      </c>
      <c r="E145" t="s">
        <v>1260</v>
      </c>
      <c r="F145" s="151" t="s">
        <v>1559</v>
      </c>
      <c r="G145" s="149" t="s">
        <v>1260</v>
      </c>
      <c r="H145" s="3">
        <f t="shared" si="7"/>
        <v>1502.5625</v>
      </c>
      <c r="I145" s="3">
        <v>240.41</v>
      </c>
    </row>
    <row r="146" spans="1:12">
      <c r="A146" t="s">
        <v>1451</v>
      </c>
      <c r="B146" s="1">
        <v>41696</v>
      </c>
      <c r="C146" t="s">
        <v>1452</v>
      </c>
      <c r="D146">
        <v>1</v>
      </c>
      <c r="E146" t="s">
        <v>462</v>
      </c>
      <c r="F146" s="150" t="s">
        <v>829</v>
      </c>
      <c r="G146" s="149" t="s">
        <v>462</v>
      </c>
      <c r="H146" s="3">
        <f t="shared" si="7"/>
        <v>2500.875</v>
      </c>
      <c r="I146" s="3">
        <v>400.14</v>
      </c>
    </row>
    <row r="147" spans="1:12">
      <c r="A147" t="s">
        <v>1045</v>
      </c>
      <c r="B147" s="1">
        <v>41684</v>
      </c>
      <c r="C147" t="s">
        <v>1046</v>
      </c>
      <c r="D147">
        <v>1</v>
      </c>
      <c r="E147" t="s">
        <v>1047</v>
      </c>
      <c r="F147" s="149" t="s">
        <v>1560</v>
      </c>
      <c r="G147" s="149" t="s">
        <v>1561</v>
      </c>
      <c r="H147" s="3">
        <f t="shared" ref="H147:H156" si="8">+I147/0.16</f>
        <v>181607.4375</v>
      </c>
      <c r="I147" s="3">
        <v>29057.19</v>
      </c>
    </row>
    <row r="148" spans="1:12">
      <c r="A148" t="s">
        <v>1125</v>
      </c>
      <c r="B148" s="1">
        <v>41691</v>
      </c>
      <c r="C148" t="s">
        <v>1126</v>
      </c>
      <c r="D148">
        <v>1</v>
      </c>
      <c r="E148" t="s">
        <v>1127</v>
      </c>
      <c r="F148" s="151" t="s">
        <v>1562</v>
      </c>
      <c r="G148" s="149" t="s">
        <v>1127</v>
      </c>
      <c r="H148" s="3">
        <f t="shared" si="8"/>
        <v>64.625</v>
      </c>
      <c r="I148" s="3">
        <v>10.34</v>
      </c>
    </row>
    <row r="149" spans="1:12">
      <c r="A149" t="s">
        <v>1255</v>
      </c>
      <c r="B149" s="1">
        <v>41698</v>
      </c>
      <c r="C149">
        <v>9754</v>
      </c>
      <c r="D149">
        <v>1</v>
      </c>
      <c r="E149" t="s">
        <v>367</v>
      </c>
      <c r="F149" s="151" t="s">
        <v>830</v>
      </c>
      <c r="G149" s="149" t="s">
        <v>367</v>
      </c>
      <c r="H149" s="3">
        <f t="shared" si="8"/>
        <v>42.25</v>
      </c>
      <c r="I149" s="3">
        <v>6.76</v>
      </c>
    </row>
    <row r="150" spans="1:12">
      <c r="A150" t="s">
        <v>516</v>
      </c>
      <c r="B150" s="1">
        <v>41685</v>
      </c>
      <c r="C150" t="s">
        <v>1379</v>
      </c>
      <c r="D150">
        <v>1</v>
      </c>
      <c r="E150" t="s">
        <v>524</v>
      </c>
      <c r="F150" s="149" t="s">
        <v>834</v>
      </c>
      <c r="G150" s="149" t="s">
        <v>524</v>
      </c>
      <c r="H150" s="3">
        <f t="shared" si="8"/>
        <v>7318.125</v>
      </c>
      <c r="I150" s="3">
        <v>1170.9000000000001</v>
      </c>
    </row>
    <row r="151" spans="1:12">
      <c r="A151" t="s">
        <v>545</v>
      </c>
      <c r="B151" s="1">
        <v>41685</v>
      </c>
      <c r="C151" t="s">
        <v>1390</v>
      </c>
      <c r="D151">
        <v>1</v>
      </c>
      <c r="E151" t="s">
        <v>524</v>
      </c>
      <c r="F151" s="151" t="s">
        <v>834</v>
      </c>
      <c r="G151" s="149" t="s">
        <v>524</v>
      </c>
      <c r="H151" s="3">
        <f t="shared" si="8"/>
        <v>793.125</v>
      </c>
      <c r="I151" s="3">
        <v>126.9</v>
      </c>
    </row>
    <row r="152" spans="1:12">
      <c r="A152" t="s">
        <v>548</v>
      </c>
      <c r="B152" s="1">
        <v>41685</v>
      </c>
      <c r="C152" t="s">
        <v>1391</v>
      </c>
      <c r="D152">
        <v>1</v>
      </c>
      <c r="E152" t="s">
        <v>524</v>
      </c>
      <c r="F152" s="151" t="s">
        <v>834</v>
      </c>
      <c r="G152" s="149" t="s">
        <v>524</v>
      </c>
      <c r="H152" s="3">
        <f t="shared" si="8"/>
        <v>14385.3125</v>
      </c>
      <c r="I152" s="3">
        <v>2301.65</v>
      </c>
    </row>
    <row r="153" spans="1:12">
      <c r="A153" t="s">
        <v>673</v>
      </c>
      <c r="B153" s="1">
        <v>41697</v>
      </c>
      <c r="C153" t="s">
        <v>1485</v>
      </c>
      <c r="D153">
        <v>1</v>
      </c>
      <c r="E153" t="s">
        <v>524</v>
      </c>
      <c r="F153" s="151" t="s">
        <v>834</v>
      </c>
      <c r="G153" s="149" t="s">
        <v>524</v>
      </c>
      <c r="H153" s="3">
        <f t="shared" si="8"/>
        <v>11862.5</v>
      </c>
      <c r="I153" s="3">
        <v>1898</v>
      </c>
    </row>
    <row r="154" spans="1:12">
      <c r="A154" t="s">
        <v>1083</v>
      </c>
      <c r="B154" s="1">
        <v>41691</v>
      </c>
      <c r="C154">
        <v>9676</v>
      </c>
      <c r="D154">
        <v>1</v>
      </c>
      <c r="E154" t="s">
        <v>270</v>
      </c>
      <c r="F154" s="151" t="s">
        <v>836</v>
      </c>
      <c r="G154" s="149" t="s">
        <v>270</v>
      </c>
      <c r="H154" s="3">
        <f t="shared" si="8"/>
        <v>49.3125</v>
      </c>
      <c r="I154" s="3">
        <v>7.89</v>
      </c>
    </row>
    <row r="155" spans="1:12">
      <c r="A155" t="s">
        <v>1138</v>
      </c>
      <c r="B155" s="1">
        <v>41691</v>
      </c>
      <c r="C155" t="s">
        <v>1139</v>
      </c>
      <c r="D155">
        <v>1</v>
      </c>
      <c r="E155" t="s">
        <v>270</v>
      </c>
      <c r="F155" s="149" t="s">
        <v>836</v>
      </c>
      <c r="G155" s="149" t="s">
        <v>270</v>
      </c>
      <c r="H155" s="3">
        <f t="shared" si="8"/>
        <v>18.125</v>
      </c>
      <c r="I155" s="3">
        <v>2.9</v>
      </c>
    </row>
    <row r="156" spans="1:12">
      <c r="A156" t="s">
        <v>1308</v>
      </c>
      <c r="B156" s="1">
        <v>41674</v>
      </c>
      <c r="C156" t="s">
        <v>1309</v>
      </c>
      <c r="D156">
        <v>1</v>
      </c>
      <c r="E156" t="s">
        <v>453</v>
      </c>
      <c r="F156" s="152" t="s">
        <v>838</v>
      </c>
      <c r="G156" s="149" t="s">
        <v>453</v>
      </c>
      <c r="H156" s="3">
        <f t="shared" si="8"/>
        <v>10379.375</v>
      </c>
      <c r="I156" s="3">
        <v>1660.7</v>
      </c>
    </row>
    <row r="157" spans="1:12">
      <c r="A157" t="s">
        <v>1333</v>
      </c>
      <c r="B157" s="1">
        <v>41681</v>
      </c>
      <c r="C157" t="s">
        <v>1334</v>
      </c>
      <c r="D157">
        <v>1</v>
      </c>
      <c r="E157" t="s">
        <v>450</v>
      </c>
      <c r="F157" s="137" t="s">
        <v>839</v>
      </c>
      <c r="G157" s="137" t="s">
        <v>1567</v>
      </c>
      <c r="H157" s="160">
        <f>I157/0.16</f>
        <v>818</v>
      </c>
      <c r="I157" s="160">
        <v>130.88</v>
      </c>
    </row>
    <row r="158" spans="1:12">
      <c r="A158" t="s">
        <v>1333</v>
      </c>
      <c r="B158" s="1">
        <v>41681</v>
      </c>
      <c r="C158" t="s">
        <v>1334</v>
      </c>
      <c r="D158">
        <v>1</v>
      </c>
      <c r="E158" t="s">
        <v>450</v>
      </c>
      <c r="F158" s="151" t="s">
        <v>1569</v>
      </c>
      <c r="G158" s="149" t="s">
        <v>1570</v>
      </c>
      <c r="H158" s="157">
        <f>I158/0.16</f>
        <v>2297.4375</v>
      </c>
      <c r="I158" s="157">
        <v>367.59</v>
      </c>
      <c r="J158" s="3">
        <f>3107.69-H157-H158</f>
        <v>-7.7474999999999454</v>
      </c>
      <c r="K158" s="3">
        <f>497.23-I157-I158</f>
        <v>-1.2399999999999523</v>
      </c>
      <c r="L158" t="s">
        <v>850</v>
      </c>
    </row>
    <row r="159" spans="1:12">
      <c r="A159" t="s">
        <v>1405</v>
      </c>
      <c r="B159" s="1">
        <v>41687</v>
      </c>
      <c r="C159" t="s">
        <v>1406</v>
      </c>
      <c r="D159">
        <v>1</v>
      </c>
      <c r="E159" t="s">
        <v>450</v>
      </c>
      <c r="F159" s="150" t="s">
        <v>1563</v>
      </c>
      <c r="G159" s="149" t="s">
        <v>1564</v>
      </c>
      <c r="H159" s="3">
        <f>+I159/0.16</f>
        <v>714.25</v>
      </c>
      <c r="I159" s="3">
        <v>114.28</v>
      </c>
    </row>
    <row r="160" spans="1:12">
      <c r="A160" t="s">
        <v>1436</v>
      </c>
      <c r="B160" s="1">
        <v>41691</v>
      </c>
      <c r="C160" t="s">
        <v>1437</v>
      </c>
      <c r="D160">
        <v>1</v>
      </c>
      <c r="E160" t="s">
        <v>450</v>
      </c>
      <c r="F160" s="137" t="s">
        <v>839</v>
      </c>
      <c r="G160" s="137" t="s">
        <v>1567</v>
      </c>
      <c r="H160" s="160">
        <f>I160/0.16</f>
        <v>418.625</v>
      </c>
      <c r="I160" s="160">
        <v>66.98</v>
      </c>
    </row>
    <row r="161" spans="1:11">
      <c r="A161" t="s">
        <v>1436</v>
      </c>
      <c r="B161" s="1">
        <v>41691</v>
      </c>
      <c r="C161" t="s">
        <v>1437</v>
      </c>
      <c r="D161">
        <v>1</v>
      </c>
      <c r="E161" t="s">
        <v>450</v>
      </c>
      <c r="F161" t="s">
        <v>763</v>
      </c>
      <c r="G161" t="s">
        <v>254</v>
      </c>
      <c r="H161" s="159">
        <f t="shared" ref="H161" si="9">I161/0.16</f>
        <v>311.3125</v>
      </c>
      <c r="I161" s="159">
        <v>49.81</v>
      </c>
    </row>
    <row r="162" spans="1:11">
      <c r="A162" t="s">
        <v>1436</v>
      </c>
      <c r="B162" s="1">
        <v>41691</v>
      </c>
      <c r="C162" t="s">
        <v>1437</v>
      </c>
      <c r="D162">
        <v>1</v>
      </c>
      <c r="E162" t="s">
        <v>450</v>
      </c>
      <c r="F162" s="149" t="s">
        <v>1563</v>
      </c>
      <c r="G162" s="149" t="s">
        <v>1568</v>
      </c>
      <c r="H162" s="157">
        <f>I162/0.16</f>
        <v>652.9375</v>
      </c>
      <c r="I162" s="157">
        <v>104.47</v>
      </c>
      <c r="J162" s="3">
        <f>1382.88-H160-H161-H162</f>
        <v>5.0000000001091394E-3</v>
      </c>
      <c r="K162" s="3">
        <f>221.26-I160-I161-I162</f>
        <v>0</v>
      </c>
    </row>
    <row r="163" spans="1:11">
      <c r="A163" t="s">
        <v>615</v>
      </c>
      <c r="B163" s="1">
        <v>41695</v>
      </c>
      <c r="C163" t="s">
        <v>1449</v>
      </c>
      <c r="D163">
        <v>1</v>
      </c>
      <c r="E163" t="s">
        <v>450</v>
      </c>
      <c r="F163" s="149" t="s">
        <v>1565</v>
      </c>
      <c r="G163" s="149" t="s">
        <v>1566</v>
      </c>
      <c r="H163" s="3">
        <f t="shared" ref="H163:H181" si="10">+I163/0.16</f>
        <v>2336.1875</v>
      </c>
      <c r="I163" s="3">
        <v>373.79</v>
      </c>
    </row>
    <row r="164" spans="1:11">
      <c r="A164" t="s">
        <v>1122</v>
      </c>
      <c r="B164" s="1">
        <v>41691</v>
      </c>
      <c r="C164" t="s">
        <v>1123</v>
      </c>
      <c r="D164">
        <v>1</v>
      </c>
      <c r="E164" t="s">
        <v>1124</v>
      </c>
      <c r="F164" s="149" t="s">
        <v>888</v>
      </c>
      <c r="G164" s="149" t="s">
        <v>1571</v>
      </c>
      <c r="H164" s="3">
        <f t="shared" si="10"/>
        <v>28.625</v>
      </c>
      <c r="I164" s="3">
        <v>4.58</v>
      </c>
    </row>
    <row r="165" spans="1:11">
      <c r="A165" t="s">
        <v>1119</v>
      </c>
      <c r="B165" s="1">
        <v>41691</v>
      </c>
      <c r="C165" t="s">
        <v>1120</v>
      </c>
      <c r="D165">
        <v>1</v>
      </c>
      <c r="E165" t="s">
        <v>1121</v>
      </c>
      <c r="F165" s="151" t="s">
        <v>1572</v>
      </c>
      <c r="G165" s="149" t="s">
        <v>1121</v>
      </c>
      <c r="H165" s="3">
        <f t="shared" si="10"/>
        <v>103.4375</v>
      </c>
      <c r="I165" s="3">
        <v>16.55</v>
      </c>
    </row>
    <row r="166" spans="1:11">
      <c r="A166" t="s">
        <v>1370</v>
      </c>
      <c r="B166" s="1">
        <v>41685</v>
      </c>
      <c r="C166" t="s">
        <v>1371</v>
      </c>
      <c r="D166">
        <v>1</v>
      </c>
      <c r="E166" t="s">
        <v>499</v>
      </c>
      <c r="F166" s="151" t="s">
        <v>845</v>
      </c>
      <c r="G166" s="149" t="s">
        <v>499</v>
      </c>
      <c r="H166" s="3">
        <f t="shared" si="10"/>
        <v>540</v>
      </c>
      <c r="I166" s="3">
        <v>86.4</v>
      </c>
    </row>
    <row r="167" spans="1:11">
      <c r="A167" t="s">
        <v>522</v>
      </c>
      <c r="B167" s="1">
        <v>41685</v>
      </c>
      <c r="C167" t="s">
        <v>1381</v>
      </c>
      <c r="D167">
        <v>1</v>
      </c>
      <c r="E167" t="s">
        <v>499</v>
      </c>
      <c r="F167" s="149" t="s">
        <v>845</v>
      </c>
      <c r="G167" s="149" t="s">
        <v>499</v>
      </c>
      <c r="H167" s="3">
        <f t="shared" si="10"/>
        <v>3321.8125</v>
      </c>
      <c r="I167" s="3">
        <v>531.49</v>
      </c>
    </row>
    <row r="168" spans="1:11">
      <c r="A168" t="s">
        <v>668</v>
      </c>
      <c r="B168" s="1">
        <v>41697</v>
      </c>
      <c r="C168" t="s">
        <v>1481</v>
      </c>
      <c r="D168">
        <v>1</v>
      </c>
      <c r="E168" t="s">
        <v>499</v>
      </c>
      <c r="F168" s="149" t="s">
        <v>845</v>
      </c>
      <c r="G168" s="149" t="s">
        <v>499</v>
      </c>
      <c r="H168" s="3">
        <f t="shared" si="10"/>
        <v>1280</v>
      </c>
      <c r="I168" s="3">
        <v>204.8</v>
      </c>
    </row>
    <row r="169" spans="1:11">
      <c r="A169" t="s">
        <v>1061</v>
      </c>
      <c r="B169" s="1">
        <v>41689</v>
      </c>
      <c r="C169" t="s">
        <v>1062</v>
      </c>
      <c r="D169">
        <v>1</v>
      </c>
      <c r="E169" t="s">
        <v>1063</v>
      </c>
      <c r="F169" s="149" t="s">
        <v>1573</v>
      </c>
      <c r="G169" s="149" t="s">
        <v>1574</v>
      </c>
      <c r="H169" s="3">
        <f t="shared" si="10"/>
        <v>187966.5</v>
      </c>
      <c r="I169" s="3">
        <v>30074.639999999999</v>
      </c>
    </row>
    <row r="170" spans="1:11">
      <c r="A170" t="s">
        <v>661</v>
      </c>
      <c r="B170" s="1">
        <v>41697</v>
      </c>
      <c r="C170" t="s">
        <v>1471</v>
      </c>
      <c r="D170">
        <v>1</v>
      </c>
      <c r="E170" t="s">
        <v>1472</v>
      </c>
      <c r="F170" s="149" t="s">
        <v>1575</v>
      </c>
      <c r="G170" s="149" t="s">
        <v>1472</v>
      </c>
      <c r="H170" s="3">
        <f t="shared" si="10"/>
        <v>8400</v>
      </c>
      <c r="I170" s="3">
        <v>1344</v>
      </c>
    </row>
    <row r="171" spans="1:11">
      <c r="A171" t="s">
        <v>1094</v>
      </c>
      <c r="B171" s="1">
        <v>41691</v>
      </c>
      <c r="C171" t="s">
        <v>1095</v>
      </c>
      <c r="D171">
        <v>1</v>
      </c>
      <c r="E171" t="s">
        <v>349</v>
      </c>
      <c r="F171" s="149" t="s">
        <v>848</v>
      </c>
      <c r="G171" s="149" t="s">
        <v>349</v>
      </c>
      <c r="H171" s="3">
        <f t="shared" si="10"/>
        <v>344.8125</v>
      </c>
      <c r="I171" s="3">
        <v>55.17</v>
      </c>
    </row>
    <row r="172" spans="1:11">
      <c r="A172" t="s">
        <v>110</v>
      </c>
      <c r="B172" s="1">
        <v>41691</v>
      </c>
      <c r="C172" t="s">
        <v>1105</v>
      </c>
      <c r="D172">
        <v>1</v>
      </c>
      <c r="E172" t="s">
        <v>349</v>
      </c>
      <c r="F172" s="149" t="s">
        <v>848</v>
      </c>
      <c r="G172" s="149" t="s">
        <v>349</v>
      </c>
      <c r="H172" s="3">
        <f t="shared" si="10"/>
        <v>344.8125</v>
      </c>
      <c r="I172" s="3">
        <v>55.17</v>
      </c>
    </row>
    <row r="173" spans="1:11">
      <c r="A173" t="s">
        <v>1246</v>
      </c>
      <c r="B173" s="1">
        <v>41698</v>
      </c>
      <c r="C173">
        <v>9745</v>
      </c>
      <c r="D173">
        <v>1</v>
      </c>
      <c r="E173" t="s">
        <v>349</v>
      </c>
      <c r="F173" s="149" t="s">
        <v>848</v>
      </c>
      <c r="G173" s="149" t="s">
        <v>349</v>
      </c>
      <c r="H173" s="3">
        <f t="shared" si="10"/>
        <v>344.8125</v>
      </c>
      <c r="I173" s="3">
        <v>55.17</v>
      </c>
    </row>
    <row r="174" spans="1:11">
      <c r="A174" t="s">
        <v>542</v>
      </c>
      <c r="B174" s="1">
        <v>41685</v>
      </c>
      <c r="C174" t="s">
        <v>1388</v>
      </c>
      <c r="D174">
        <v>1</v>
      </c>
      <c r="E174" t="s">
        <v>1389</v>
      </c>
      <c r="F174" s="151" t="s">
        <v>1576</v>
      </c>
      <c r="G174" s="149" t="s">
        <v>1389</v>
      </c>
      <c r="H174" s="3">
        <f t="shared" si="10"/>
        <v>179.6875</v>
      </c>
      <c r="I174" s="3">
        <v>28.75</v>
      </c>
    </row>
    <row r="175" spans="1:11">
      <c r="A175" t="s">
        <v>1488</v>
      </c>
      <c r="B175" s="1">
        <v>41697</v>
      </c>
      <c r="C175" t="s">
        <v>1489</v>
      </c>
      <c r="D175">
        <v>2</v>
      </c>
      <c r="E175" t="s">
        <v>512</v>
      </c>
      <c r="F175" s="151" t="s">
        <v>849</v>
      </c>
      <c r="G175" s="149" t="s">
        <v>512</v>
      </c>
      <c r="H175" s="3">
        <f t="shared" si="10"/>
        <v>21340.125</v>
      </c>
      <c r="I175" s="3">
        <v>3414.42</v>
      </c>
    </row>
    <row r="176" spans="1:11">
      <c r="A176" t="s">
        <v>1496</v>
      </c>
      <c r="B176" s="1">
        <v>41697</v>
      </c>
      <c r="C176" t="s">
        <v>1497</v>
      </c>
      <c r="D176">
        <v>1</v>
      </c>
      <c r="E176" t="s">
        <v>1498</v>
      </c>
      <c r="F176" s="151" t="s">
        <v>1577</v>
      </c>
      <c r="G176" s="149" t="s">
        <v>1498</v>
      </c>
      <c r="H176" s="3">
        <f t="shared" si="10"/>
        <v>3500</v>
      </c>
      <c r="I176" s="3">
        <v>560</v>
      </c>
    </row>
    <row r="177" spans="1:12">
      <c r="A177" t="s">
        <v>1267</v>
      </c>
      <c r="B177" s="1">
        <v>41698</v>
      </c>
      <c r="C177" t="s">
        <v>1268</v>
      </c>
      <c r="D177">
        <v>1</v>
      </c>
      <c r="E177" t="s">
        <v>135</v>
      </c>
      <c r="F177" s="151" t="s">
        <v>852</v>
      </c>
      <c r="G177" s="149" t="s">
        <v>135</v>
      </c>
      <c r="H177" s="3">
        <f t="shared" si="10"/>
        <v>450</v>
      </c>
      <c r="I177" s="3">
        <v>72</v>
      </c>
    </row>
    <row r="178" spans="1:12">
      <c r="A178" t="s">
        <v>1331</v>
      </c>
      <c r="B178" s="1">
        <v>41680</v>
      </c>
      <c r="C178" t="s">
        <v>1332</v>
      </c>
      <c r="D178">
        <v>2</v>
      </c>
      <c r="E178" t="s">
        <v>608</v>
      </c>
      <c r="F178" s="149" t="s">
        <v>853</v>
      </c>
      <c r="G178" s="149" t="s">
        <v>608</v>
      </c>
      <c r="H178" s="3">
        <f t="shared" si="10"/>
        <v>5208</v>
      </c>
      <c r="I178" s="3">
        <v>833.28</v>
      </c>
    </row>
    <row r="179" spans="1:12">
      <c r="A179" t="s">
        <v>506</v>
      </c>
      <c r="B179" s="1">
        <v>41685</v>
      </c>
      <c r="C179" t="s">
        <v>1354</v>
      </c>
      <c r="D179">
        <v>2</v>
      </c>
      <c r="E179" t="s">
        <v>608</v>
      </c>
      <c r="F179" s="151" t="s">
        <v>853</v>
      </c>
      <c r="G179" s="149" t="s">
        <v>608</v>
      </c>
      <c r="H179" s="3">
        <f t="shared" si="10"/>
        <v>1288</v>
      </c>
      <c r="I179" s="3">
        <v>206.08</v>
      </c>
    </row>
    <row r="180" spans="1:12">
      <c r="A180" t="s">
        <v>1244</v>
      </c>
      <c r="B180" s="1">
        <v>41698</v>
      </c>
      <c r="C180">
        <v>9744</v>
      </c>
      <c r="D180">
        <v>1</v>
      </c>
      <c r="E180" t="s">
        <v>1245</v>
      </c>
      <c r="F180" s="149" t="s">
        <v>1578</v>
      </c>
      <c r="G180" s="149" t="s">
        <v>1245</v>
      </c>
      <c r="H180" s="3">
        <f t="shared" si="10"/>
        <v>1575</v>
      </c>
      <c r="I180" s="3">
        <v>252</v>
      </c>
    </row>
    <row r="181" spans="1:12">
      <c r="A181" t="s">
        <v>1310</v>
      </c>
      <c r="B181" s="1">
        <v>41674</v>
      </c>
      <c r="C181" t="s">
        <v>1311</v>
      </c>
      <c r="D181">
        <v>1</v>
      </c>
      <c r="E181" t="s">
        <v>1312</v>
      </c>
      <c r="F181" s="152" t="s">
        <v>888</v>
      </c>
      <c r="G181" s="149" t="s">
        <v>1312</v>
      </c>
      <c r="H181" s="3">
        <f t="shared" si="10"/>
        <v>19019.5625</v>
      </c>
      <c r="I181" s="3">
        <v>3043.13</v>
      </c>
    </row>
    <row r="182" spans="1:12">
      <c r="A182" t="s">
        <v>1425</v>
      </c>
      <c r="B182" s="1">
        <v>41689</v>
      </c>
      <c r="C182" t="s">
        <v>1426</v>
      </c>
      <c r="D182">
        <v>1</v>
      </c>
      <c r="E182" t="s">
        <v>975</v>
      </c>
      <c r="F182" s="151" t="s">
        <v>841</v>
      </c>
      <c r="G182" s="149" t="s">
        <v>842</v>
      </c>
      <c r="H182" s="157">
        <f>I182/0.16</f>
        <v>4341.375</v>
      </c>
      <c r="I182" s="157">
        <v>694.62</v>
      </c>
    </row>
    <row r="183" spans="1:12">
      <c r="A183" t="s">
        <v>1425</v>
      </c>
      <c r="B183" s="1">
        <v>41689</v>
      </c>
      <c r="C183" t="s">
        <v>1426</v>
      </c>
      <c r="D183">
        <v>1</v>
      </c>
      <c r="E183" t="s">
        <v>975</v>
      </c>
      <c r="F183" s="151" t="s">
        <v>841</v>
      </c>
      <c r="G183" s="149" t="s">
        <v>842</v>
      </c>
      <c r="H183" s="157">
        <f>I183/0.16</f>
        <v>211.1875</v>
      </c>
      <c r="I183" s="157">
        <v>33.79</v>
      </c>
      <c r="J183" s="3">
        <f>4552.56-H182-H183</f>
        <v>-2.4999999995998223E-3</v>
      </c>
      <c r="K183" s="3">
        <f>728.41-I182-I183</f>
        <v>0</v>
      </c>
    </row>
    <row r="184" spans="1:12">
      <c r="A184" t="s">
        <v>586</v>
      </c>
      <c r="B184" s="1">
        <v>41690</v>
      </c>
      <c r="C184" t="s">
        <v>1430</v>
      </c>
      <c r="D184">
        <v>1</v>
      </c>
      <c r="E184" t="s">
        <v>432</v>
      </c>
      <c r="F184" s="150" t="s">
        <v>855</v>
      </c>
      <c r="G184" s="149" t="s">
        <v>432</v>
      </c>
      <c r="H184" s="3">
        <f t="shared" ref="H184:H215" si="11">+I184/0.16</f>
        <v>2960</v>
      </c>
      <c r="I184" s="3">
        <v>473.6</v>
      </c>
    </row>
    <row r="185" spans="1:12">
      <c r="A185" t="s">
        <v>1049</v>
      </c>
      <c r="B185" s="1">
        <v>41685</v>
      </c>
      <c r="C185" t="s">
        <v>1050</v>
      </c>
      <c r="D185">
        <v>1</v>
      </c>
      <c r="E185" t="s">
        <v>1051</v>
      </c>
      <c r="F185" s="161" t="s">
        <v>742</v>
      </c>
      <c r="G185" s="149" t="s">
        <v>743</v>
      </c>
      <c r="H185" s="3">
        <f t="shared" si="11"/>
        <v>162935.75</v>
      </c>
      <c r="I185" s="3">
        <v>26069.72</v>
      </c>
    </row>
    <row r="186" spans="1:12">
      <c r="A186" t="s">
        <v>578</v>
      </c>
      <c r="B186" s="1">
        <v>41688</v>
      </c>
      <c r="C186" t="s">
        <v>1421</v>
      </c>
      <c r="D186">
        <v>1</v>
      </c>
      <c r="E186" t="s">
        <v>1422</v>
      </c>
      <c r="F186" s="149" t="s">
        <v>1666</v>
      </c>
      <c r="G186" s="149" t="s">
        <v>1667</v>
      </c>
      <c r="H186" s="3">
        <f t="shared" si="11"/>
        <v>15698.8125</v>
      </c>
      <c r="I186" s="3">
        <v>2511.81</v>
      </c>
      <c r="J186" s="3" t="e">
        <f>+H186-#REF!</f>
        <v>#REF!</v>
      </c>
      <c r="K186" s="3" t="e">
        <f>+I186-#REF!</f>
        <v>#REF!</v>
      </c>
      <c r="L186" t="s">
        <v>850</v>
      </c>
    </row>
    <row r="187" spans="1:12">
      <c r="A187" t="s">
        <v>1499</v>
      </c>
      <c r="B187" s="1">
        <v>41698</v>
      </c>
      <c r="C187" t="s">
        <v>1500</v>
      </c>
      <c r="D187">
        <v>1</v>
      </c>
      <c r="E187" t="s">
        <v>1501</v>
      </c>
      <c r="F187" s="149" t="s">
        <v>1664</v>
      </c>
      <c r="G187" s="149" t="s">
        <v>1665</v>
      </c>
      <c r="H187" s="3">
        <f t="shared" si="11"/>
        <v>31802.125</v>
      </c>
      <c r="I187" s="3">
        <v>5088.34</v>
      </c>
    </row>
    <row r="188" spans="1:12">
      <c r="A188" t="s">
        <v>1502</v>
      </c>
      <c r="B188" s="1">
        <v>41698</v>
      </c>
      <c r="C188" t="s">
        <v>1503</v>
      </c>
      <c r="D188">
        <v>1</v>
      </c>
      <c r="E188" t="s">
        <v>1501</v>
      </c>
      <c r="F188" s="149" t="s">
        <v>1664</v>
      </c>
      <c r="G188" s="149" t="s">
        <v>1665</v>
      </c>
      <c r="H188" s="3">
        <f t="shared" si="11"/>
        <v>31802.125</v>
      </c>
      <c r="I188" s="3">
        <v>5088.34</v>
      </c>
    </row>
    <row r="189" spans="1:12">
      <c r="A189" t="s">
        <v>436</v>
      </c>
      <c r="B189" s="1">
        <v>41674</v>
      </c>
      <c r="C189" t="s">
        <v>1306</v>
      </c>
      <c r="D189">
        <v>1</v>
      </c>
      <c r="E189" t="s">
        <v>1307</v>
      </c>
      <c r="F189" s="150" t="s">
        <v>818</v>
      </c>
      <c r="G189" s="149" t="s">
        <v>429</v>
      </c>
      <c r="H189" s="3">
        <f t="shared" si="11"/>
        <v>13002.5</v>
      </c>
      <c r="I189" s="3">
        <v>2080.4</v>
      </c>
    </row>
    <row r="190" spans="1:12">
      <c r="A190" t="s">
        <v>1302</v>
      </c>
      <c r="B190" s="1">
        <v>41675</v>
      </c>
      <c r="C190" t="s">
        <v>1303</v>
      </c>
      <c r="D190">
        <v>1</v>
      </c>
      <c r="E190" t="s">
        <v>1304</v>
      </c>
      <c r="H190" s="3">
        <f t="shared" si="11"/>
        <v>20931.75</v>
      </c>
      <c r="I190" s="3">
        <v>3349.08</v>
      </c>
    </row>
    <row r="191" spans="1:12">
      <c r="A191" t="s">
        <v>613</v>
      </c>
      <c r="B191" s="1">
        <v>41695</v>
      </c>
      <c r="C191" t="s">
        <v>1448</v>
      </c>
      <c r="D191">
        <v>1</v>
      </c>
      <c r="E191" t="s">
        <v>675</v>
      </c>
      <c r="F191" s="147" t="s">
        <v>974</v>
      </c>
      <c r="G191" s="148" t="s">
        <v>975</v>
      </c>
      <c r="H191" s="3">
        <f t="shared" si="11"/>
        <v>107142.875</v>
      </c>
      <c r="I191" s="3">
        <v>17142.86</v>
      </c>
      <c r="J191" s="3" t="e">
        <f>+H191-#REF!</f>
        <v>#REF!</v>
      </c>
      <c r="K191" s="3" t="e">
        <f>+I191-#REF!</f>
        <v>#REF!</v>
      </c>
      <c r="L191" t="s">
        <v>850</v>
      </c>
    </row>
    <row r="192" spans="1:12">
      <c r="A192" t="s">
        <v>1249</v>
      </c>
      <c r="B192" s="1">
        <v>41698</v>
      </c>
      <c r="C192">
        <v>9747</v>
      </c>
      <c r="D192">
        <v>1</v>
      </c>
      <c r="E192" t="s">
        <v>1250</v>
      </c>
      <c r="F192" s="149" t="s">
        <v>1579</v>
      </c>
      <c r="G192" s="149" t="s">
        <v>1580</v>
      </c>
      <c r="H192" s="3">
        <f t="shared" si="11"/>
        <v>436.93749999999994</v>
      </c>
      <c r="I192" s="3">
        <v>69.91</v>
      </c>
    </row>
    <row r="193" spans="1:12">
      <c r="A193" t="s">
        <v>978</v>
      </c>
      <c r="B193" s="1">
        <v>41674</v>
      </c>
      <c r="C193" t="s">
        <v>979</v>
      </c>
      <c r="D193">
        <v>1</v>
      </c>
      <c r="E193" t="s">
        <v>980</v>
      </c>
      <c r="H193" s="3">
        <f t="shared" si="11"/>
        <v>2423.8125</v>
      </c>
      <c r="I193" s="3">
        <v>387.81</v>
      </c>
    </row>
    <row r="194" spans="1:12">
      <c r="A194" t="s">
        <v>1030</v>
      </c>
      <c r="B194" s="1">
        <v>41682</v>
      </c>
      <c r="C194" t="s">
        <v>1031</v>
      </c>
      <c r="D194">
        <v>1</v>
      </c>
      <c r="E194" t="s">
        <v>1032</v>
      </c>
      <c r="H194" s="3">
        <f t="shared" si="11"/>
        <v>14963.8125</v>
      </c>
      <c r="I194" s="3">
        <v>2394.21</v>
      </c>
    </row>
    <row r="195" spans="1:12">
      <c r="A195" t="s">
        <v>612</v>
      </c>
      <c r="B195" s="1">
        <v>41695</v>
      </c>
      <c r="C195" t="s">
        <v>1447</v>
      </c>
      <c r="D195">
        <v>1</v>
      </c>
      <c r="E195" t="s">
        <v>672</v>
      </c>
      <c r="F195" s="147" t="s">
        <v>972</v>
      </c>
      <c r="G195" s="148" t="s">
        <v>973</v>
      </c>
      <c r="H195" s="3">
        <f t="shared" si="11"/>
        <v>107142.875</v>
      </c>
      <c r="I195" s="3">
        <v>17142.86</v>
      </c>
      <c r="J195" s="3" t="e">
        <f>+H195-#REF!</f>
        <v>#REF!</v>
      </c>
      <c r="K195" s="3" t="e">
        <f>+I195-#REF!</f>
        <v>#REF!</v>
      </c>
      <c r="L195" t="s">
        <v>850</v>
      </c>
    </row>
    <row r="196" spans="1:12">
      <c r="A196" t="s">
        <v>1329</v>
      </c>
      <c r="B196" s="1">
        <v>41680</v>
      </c>
      <c r="C196" t="s">
        <v>1330</v>
      </c>
      <c r="D196">
        <v>1</v>
      </c>
      <c r="E196" t="s">
        <v>106</v>
      </c>
      <c r="F196" s="149" t="s">
        <v>856</v>
      </c>
      <c r="G196" s="149" t="s">
        <v>1668</v>
      </c>
      <c r="H196" s="3">
        <f t="shared" si="11"/>
        <v>179.3125</v>
      </c>
      <c r="I196" s="3">
        <v>28.69</v>
      </c>
    </row>
    <row r="197" spans="1:12">
      <c r="A197" t="s">
        <v>44</v>
      </c>
      <c r="B197" s="1">
        <v>41683</v>
      </c>
      <c r="C197" t="s">
        <v>1037</v>
      </c>
      <c r="D197">
        <v>1</v>
      </c>
      <c r="E197" t="s">
        <v>109</v>
      </c>
      <c r="F197" s="149" t="s">
        <v>858</v>
      </c>
      <c r="G197" s="149" t="s">
        <v>1581</v>
      </c>
      <c r="H197" s="3">
        <f t="shared" si="11"/>
        <v>19560.4375</v>
      </c>
      <c r="I197" s="3">
        <v>3129.67</v>
      </c>
    </row>
    <row r="198" spans="1:12">
      <c r="A198" t="s">
        <v>1038</v>
      </c>
      <c r="B198" s="1">
        <v>41683</v>
      </c>
      <c r="C198" t="s">
        <v>1039</v>
      </c>
      <c r="D198">
        <v>1</v>
      </c>
      <c r="E198" t="s">
        <v>109</v>
      </c>
      <c r="F198" s="149" t="s">
        <v>858</v>
      </c>
      <c r="G198" s="149" t="s">
        <v>1581</v>
      </c>
      <c r="H198" s="3">
        <f t="shared" si="11"/>
        <v>3571.125</v>
      </c>
      <c r="I198" s="3">
        <v>571.38</v>
      </c>
    </row>
    <row r="199" spans="1:12">
      <c r="A199" t="s">
        <v>1040</v>
      </c>
      <c r="B199" s="1">
        <v>41683</v>
      </c>
      <c r="C199" t="s">
        <v>1041</v>
      </c>
      <c r="D199">
        <v>1</v>
      </c>
      <c r="E199" t="s">
        <v>109</v>
      </c>
      <c r="F199" s="149" t="s">
        <v>858</v>
      </c>
      <c r="G199" s="149" t="s">
        <v>1581</v>
      </c>
      <c r="H199" s="3">
        <f t="shared" si="11"/>
        <v>1587.625</v>
      </c>
      <c r="I199" s="3">
        <v>254.02</v>
      </c>
    </row>
    <row r="200" spans="1:12">
      <c r="A200" t="s">
        <v>1209</v>
      </c>
      <c r="B200" s="1">
        <v>41698</v>
      </c>
      <c r="C200" t="s">
        <v>1210</v>
      </c>
      <c r="D200">
        <v>1</v>
      </c>
      <c r="E200" t="s">
        <v>109</v>
      </c>
      <c r="F200" s="149" t="s">
        <v>858</v>
      </c>
      <c r="G200" s="149" t="s">
        <v>1581</v>
      </c>
      <c r="H200" s="3">
        <f t="shared" si="11"/>
        <v>16152.375</v>
      </c>
      <c r="I200" s="3">
        <v>2584.38</v>
      </c>
    </row>
    <row r="201" spans="1:12">
      <c r="A201" t="s">
        <v>1365</v>
      </c>
      <c r="B201" s="1">
        <v>41685</v>
      </c>
      <c r="C201" t="s">
        <v>1366</v>
      </c>
      <c r="D201">
        <v>1</v>
      </c>
      <c r="E201" t="s">
        <v>1367</v>
      </c>
      <c r="F201" s="164" t="s">
        <v>894</v>
      </c>
      <c r="G201" s="137" t="s">
        <v>502</v>
      </c>
      <c r="H201" s="3">
        <f t="shared" si="11"/>
        <v>18884.6875</v>
      </c>
      <c r="I201" s="3">
        <v>3021.55</v>
      </c>
    </row>
    <row r="202" spans="1:12">
      <c r="A202" t="s">
        <v>1395</v>
      </c>
      <c r="B202" s="1">
        <v>41687</v>
      </c>
      <c r="C202" t="s">
        <v>1396</v>
      </c>
      <c r="D202">
        <v>1</v>
      </c>
      <c r="E202" t="s">
        <v>1367</v>
      </c>
      <c r="F202" s="137" t="s">
        <v>894</v>
      </c>
      <c r="G202" s="137" t="s">
        <v>502</v>
      </c>
      <c r="H202" s="3">
        <f t="shared" si="11"/>
        <v>25857.8125</v>
      </c>
      <c r="I202" s="3">
        <v>4137.25</v>
      </c>
    </row>
    <row r="203" spans="1:12">
      <c r="A203" t="s">
        <v>1423</v>
      </c>
      <c r="B203" s="1">
        <v>41689</v>
      </c>
      <c r="C203" t="s">
        <v>1424</v>
      </c>
      <c r="D203">
        <v>1</v>
      </c>
      <c r="E203" t="s">
        <v>1367</v>
      </c>
      <c r="F203" s="137" t="s">
        <v>894</v>
      </c>
      <c r="G203" s="137" t="s">
        <v>502</v>
      </c>
      <c r="H203" s="3">
        <f t="shared" si="11"/>
        <v>16570.6875</v>
      </c>
      <c r="I203" s="3">
        <v>2651.31</v>
      </c>
    </row>
    <row r="204" spans="1:12">
      <c r="A204" t="s">
        <v>659</v>
      </c>
      <c r="B204" s="1">
        <v>41697</v>
      </c>
      <c r="C204" t="s">
        <v>1470</v>
      </c>
      <c r="D204">
        <v>1</v>
      </c>
      <c r="E204" t="s">
        <v>1367</v>
      </c>
      <c r="F204" s="137" t="s">
        <v>894</v>
      </c>
      <c r="G204" s="137" t="s">
        <v>502</v>
      </c>
      <c r="H204" s="3">
        <f t="shared" si="11"/>
        <v>10290</v>
      </c>
      <c r="I204" s="3">
        <v>1646.4</v>
      </c>
    </row>
    <row r="205" spans="1:12">
      <c r="A205" t="s">
        <v>600</v>
      </c>
      <c r="B205" s="1">
        <v>41694</v>
      </c>
      <c r="C205" t="s">
        <v>1440</v>
      </c>
      <c r="D205">
        <v>1</v>
      </c>
      <c r="E205" t="s">
        <v>1441</v>
      </c>
      <c r="H205" s="3">
        <f t="shared" si="11"/>
        <v>229803.5625</v>
      </c>
      <c r="I205" s="3">
        <v>36768.57</v>
      </c>
    </row>
    <row r="206" spans="1:12">
      <c r="A206" t="s">
        <v>602</v>
      </c>
      <c r="B206" s="1">
        <v>41694</v>
      </c>
      <c r="C206" t="s">
        <v>1442</v>
      </c>
      <c r="D206">
        <v>2</v>
      </c>
      <c r="E206" t="s">
        <v>590</v>
      </c>
      <c r="F206" s="152" t="s">
        <v>861</v>
      </c>
      <c r="G206" s="149" t="s">
        <v>590</v>
      </c>
      <c r="H206" s="3">
        <f t="shared" si="11"/>
        <v>3061.1875</v>
      </c>
      <c r="I206" s="3">
        <v>489.79</v>
      </c>
    </row>
    <row r="207" spans="1:12">
      <c r="A207" t="s">
        <v>1114</v>
      </c>
      <c r="B207" s="1">
        <v>41691</v>
      </c>
      <c r="C207" t="s">
        <v>1115</v>
      </c>
      <c r="D207">
        <v>1</v>
      </c>
      <c r="E207" t="s">
        <v>338</v>
      </c>
      <c r="F207" s="151" t="s">
        <v>862</v>
      </c>
      <c r="G207" s="149" t="s">
        <v>338</v>
      </c>
      <c r="H207" s="3">
        <f t="shared" si="11"/>
        <v>258.125</v>
      </c>
      <c r="I207" s="3">
        <v>41.3</v>
      </c>
    </row>
    <row r="208" spans="1:12">
      <c r="A208" t="s">
        <v>1140</v>
      </c>
      <c r="B208" s="1">
        <v>41691</v>
      </c>
      <c r="C208">
        <v>9731</v>
      </c>
      <c r="D208">
        <v>1</v>
      </c>
      <c r="E208" t="s">
        <v>347</v>
      </c>
      <c r="F208" s="151" t="s">
        <v>865</v>
      </c>
      <c r="G208" s="149" t="s">
        <v>347</v>
      </c>
      <c r="H208" s="3">
        <f t="shared" si="11"/>
        <v>387.375</v>
      </c>
      <c r="I208" s="3">
        <v>61.98</v>
      </c>
    </row>
    <row r="209" spans="1:9">
      <c r="A209" t="s">
        <v>663</v>
      </c>
      <c r="B209" s="1">
        <v>41697</v>
      </c>
      <c r="C209" t="s">
        <v>1473</v>
      </c>
      <c r="D209">
        <v>1</v>
      </c>
      <c r="E209" t="s">
        <v>640</v>
      </c>
      <c r="F209" s="149" t="s">
        <v>866</v>
      </c>
      <c r="G209" s="149" t="s">
        <v>640</v>
      </c>
      <c r="H209" s="3">
        <f t="shared" si="11"/>
        <v>3589.9375</v>
      </c>
      <c r="I209" s="3">
        <v>574.39</v>
      </c>
    </row>
    <row r="210" spans="1:9">
      <c r="A210" t="s">
        <v>112</v>
      </c>
      <c r="B210" s="1">
        <v>41691</v>
      </c>
      <c r="C210" t="s">
        <v>1110</v>
      </c>
      <c r="D210">
        <v>1</v>
      </c>
      <c r="E210" t="s">
        <v>1111</v>
      </c>
      <c r="F210" s="151" t="s">
        <v>1582</v>
      </c>
      <c r="G210" s="149" t="s">
        <v>1111</v>
      </c>
      <c r="H210" s="3">
        <f t="shared" si="11"/>
        <v>77.5</v>
      </c>
      <c r="I210" s="3">
        <v>12.4</v>
      </c>
    </row>
    <row r="211" spans="1:9">
      <c r="A211" t="s">
        <v>1088</v>
      </c>
      <c r="B211" s="1">
        <v>41691</v>
      </c>
      <c r="C211" t="s">
        <v>1089</v>
      </c>
      <c r="D211">
        <v>1</v>
      </c>
      <c r="E211" t="s">
        <v>1090</v>
      </c>
      <c r="F211" s="151" t="s">
        <v>1579</v>
      </c>
      <c r="G211" s="149" t="s">
        <v>1090</v>
      </c>
      <c r="H211" s="3">
        <f t="shared" si="11"/>
        <v>55.874999999999993</v>
      </c>
      <c r="I211" s="3">
        <v>8.94</v>
      </c>
    </row>
    <row r="212" spans="1:9">
      <c r="A212" t="s">
        <v>1143</v>
      </c>
      <c r="B212" s="1">
        <v>41691</v>
      </c>
      <c r="C212" t="s">
        <v>1144</v>
      </c>
      <c r="D212">
        <v>1</v>
      </c>
      <c r="E212" t="s">
        <v>364</v>
      </c>
      <c r="F212" s="151" t="s">
        <v>868</v>
      </c>
      <c r="G212" s="149" t="s">
        <v>364</v>
      </c>
      <c r="H212" s="3">
        <f t="shared" si="11"/>
        <v>794.8125</v>
      </c>
      <c r="I212" s="3">
        <v>127.17</v>
      </c>
    </row>
    <row r="213" spans="1:9">
      <c r="A213" t="s">
        <v>1272</v>
      </c>
      <c r="B213" s="1">
        <v>41698</v>
      </c>
      <c r="C213" t="s">
        <v>1273</v>
      </c>
      <c r="D213">
        <v>1</v>
      </c>
      <c r="E213" t="s">
        <v>364</v>
      </c>
      <c r="F213" s="151" t="s">
        <v>868</v>
      </c>
      <c r="G213" s="149" t="s">
        <v>364</v>
      </c>
      <c r="H213" s="3">
        <f t="shared" si="11"/>
        <v>387.9375</v>
      </c>
      <c r="I213" s="3">
        <v>62.07</v>
      </c>
    </row>
    <row r="214" spans="1:9">
      <c r="A214" t="s">
        <v>1356</v>
      </c>
      <c r="B214" s="1">
        <v>41685</v>
      </c>
      <c r="C214" t="s">
        <v>1357</v>
      </c>
      <c r="D214">
        <v>1</v>
      </c>
      <c r="E214" t="s">
        <v>1358</v>
      </c>
      <c r="F214" s="151" t="s">
        <v>1583</v>
      </c>
      <c r="G214" s="149" t="s">
        <v>1358</v>
      </c>
      <c r="H214" s="3">
        <f t="shared" si="11"/>
        <v>814.6875</v>
      </c>
      <c r="I214" s="3">
        <v>130.35</v>
      </c>
    </row>
    <row r="215" spans="1:9">
      <c r="A215" t="s">
        <v>1512</v>
      </c>
      <c r="B215" s="1">
        <v>41698</v>
      </c>
      <c r="C215" t="s">
        <v>1513</v>
      </c>
      <c r="D215">
        <v>1</v>
      </c>
      <c r="E215" t="s">
        <v>535</v>
      </c>
      <c r="F215" s="149" t="s">
        <v>764</v>
      </c>
      <c r="G215" s="149" t="s">
        <v>535</v>
      </c>
      <c r="H215" s="3">
        <f t="shared" si="11"/>
        <v>2580</v>
      </c>
      <c r="I215" s="3">
        <v>412.8</v>
      </c>
    </row>
    <row r="216" spans="1:9">
      <c r="A216" t="s">
        <v>1252</v>
      </c>
      <c r="B216" s="1">
        <v>41698</v>
      </c>
      <c r="C216">
        <v>9752</v>
      </c>
      <c r="D216">
        <v>1</v>
      </c>
      <c r="E216" t="s">
        <v>1253</v>
      </c>
      <c r="F216" s="151" t="s">
        <v>1584</v>
      </c>
      <c r="G216" s="149" t="s">
        <v>1253</v>
      </c>
      <c r="H216" s="3">
        <f t="shared" ref="H216:H247" si="12">+I216/0.16</f>
        <v>301.75</v>
      </c>
      <c r="I216" s="3">
        <v>48.28</v>
      </c>
    </row>
    <row r="217" spans="1:9">
      <c r="A217" t="s">
        <v>1363</v>
      </c>
      <c r="B217" s="1">
        <v>41685</v>
      </c>
      <c r="C217" t="s">
        <v>1364</v>
      </c>
      <c r="D217">
        <v>1</v>
      </c>
      <c r="E217" t="s">
        <v>643</v>
      </c>
      <c r="F217" s="149" t="s">
        <v>870</v>
      </c>
      <c r="G217" s="149" t="s">
        <v>643</v>
      </c>
      <c r="H217" s="3">
        <f t="shared" si="12"/>
        <v>3320</v>
      </c>
      <c r="I217" s="3">
        <v>531.20000000000005</v>
      </c>
    </row>
    <row r="218" spans="1:9">
      <c r="A218" t="s">
        <v>519</v>
      </c>
      <c r="B218" s="1">
        <v>41685</v>
      </c>
      <c r="C218" t="s">
        <v>1380</v>
      </c>
      <c r="D218">
        <v>1</v>
      </c>
      <c r="E218" t="s">
        <v>643</v>
      </c>
      <c r="F218" s="149" t="s">
        <v>870</v>
      </c>
      <c r="G218" s="149" t="s">
        <v>643</v>
      </c>
      <c r="H218" s="3">
        <f t="shared" si="12"/>
        <v>3073</v>
      </c>
      <c r="I218" s="3">
        <v>491.68</v>
      </c>
    </row>
    <row r="219" spans="1:9">
      <c r="A219" t="s">
        <v>448</v>
      </c>
      <c r="B219" s="1">
        <v>41677</v>
      </c>
      <c r="C219" t="s">
        <v>1320</v>
      </c>
      <c r="D219">
        <v>1</v>
      </c>
      <c r="E219" t="s">
        <v>593</v>
      </c>
      <c r="F219" s="151" t="s">
        <v>872</v>
      </c>
      <c r="G219" s="149" t="s">
        <v>593</v>
      </c>
      <c r="H219" s="3">
        <f t="shared" si="12"/>
        <v>1957.5</v>
      </c>
      <c r="I219" s="3">
        <v>313.2</v>
      </c>
    </row>
    <row r="220" spans="1:9">
      <c r="A220" t="s">
        <v>1086</v>
      </c>
      <c r="B220" s="1">
        <v>41691</v>
      </c>
      <c r="C220">
        <v>9678</v>
      </c>
      <c r="D220">
        <v>1</v>
      </c>
      <c r="E220" t="s">
        <v>1087</v>
      </c>
      <c r="F220" s="149" t="s">
        <v>873</v>
      </c>
      <c r="G220" s="149" t="s">
        <v>1087</v>
      </c>
      <c r="H220" s="3">
        <f t="shared" si="12"/>
        <v>281</v>
      </c>
      <c r="I220" s="3">
        <v>44.96</v>
      </c>
    </row>
    <row r="221" spans="1:9">
      <c r="A221" t="s">
        <v>1374</v>
      </c>
      <c r="B221" s="1">
        <v>41685</v>
      </c>
      <c r="C221" t="s">
        <v>1375</v>
      </c>
      <c r="D221">
        <v>2</v>
      </c>
      <c r="E221" t="s">
        <v>527</v>
      </c>
      <c r="F221" s="149" t="s">
        <v>875</v>
      </c>
      <c r="G221" s="149" t="s">
        <v>527</v>
      </c>
      <c r="H221" s="3">
        <f t="shared" si="12"/>
        <v>1300</v>
      </c>
      <c r="I221" s="3">
        <v>208</v>
      </c>
    </row>
    <row r="222" spans="1:9">
      <c r="A222" t="s">
        <v>1376</v>
      </c>
      <c r="B222" s="1">
        <v>41685</v>
      </c>
      <c r="C222" t="s">
        <v>1377</v>
      </c>
      <c r="D222">
        <v>1</v>
      </c>
      <c r="E222" t="s">
        <v>527</v>
      </c>
      <c r="F222" s="149" t="s">
        <v>875</v>
      </c>
      <c r="G222" s="149" t="s">
        <v>527</v>
      </c>
      <c r="H222" s="3">
        <f t="shared" si="12"/>
        <v>11000</v>
      </c>
      <c r="I222" s="3">
        <v>1760</v>
      </c>
    </row>
    <row r="223" spans="1:9">
      <c r="A223" t="s">
        <v>553</v>
      </c>
      <c r="B223" s="1">
        <v>41687</v>
      </c>
      <c r="C223" t="s">
        <v>1397</v>
      </c>
      <c r="D223">
        <v>1</v>
      </c>
      <c r="E223" t="s">
        <v>527</v>
      </c>
      <c r="F223" s="149" t="s">
        <v>875</v>
      </c>
      <c r="G223" s="149" t="s">
        <v>527</v>
      </c>
      <c r="H223" s="3">
        <f t="shared" si="12"/>
        <v>15600</v>
      </c>
      <c r="I223" s="3">
        <v>2496</v>
      </c>
    </row>
    <row r="224" spans="1:9">
      <c r="A224" t="s">
        <v>1475</v>
      </c>
      <c r="B224" s="1">
        <v>41697</v>
      </c>
      <c r="C224" t="s">
        <v>1476</v>
      </c>
      <c r="D224">
        <v>1</v>
      </c>
      <c r="E224" t="s">
        <v>527</v>
      </c>
      <c r="F224" s="149" t="s">
        <v>875</v>
      </c>
      <c r="G224" s="149" t="s">
        <v>527</v>
      </c>
      <c r="H224" s="3">
        <f t="shared" si="12"/>
        <v>13800</v>
      </c>
      <c r="I224" s="3">
        <v>2208</v>
      </c>
    </row>
    <row r="225" spans="1:9">
      <c r="A225" t="s">
        <v>1477</v>
      </c>
      <c r="B225" s="1">
        <v>41697</v>
      </c>
      <c r="C225" t="s">
        <v>1478</v>
      </c>
      <c r="D225">
        <v>1</v>
      </c>
      <c r="E225" t="s">
        <v>527</v>
      </c>
      <c r="F225" s="149" t="s">
        <v>875</v>
      </c>
      <c r="G225" s="149" t="s">
        <v>527</v>
      </c>
      <c r="H225" s="3">
        <f t="shared" si="12"/>
        <v>8300</v>
      </c>
      <c r="I225" s="3">
        <v>1328</v>
      </c>
    </row>
    <row r="226" spans="1:9">
      <c r="A226" t="s">
        <v>1257</v>
      </c>
      <c r="B226" s="1">
        <v>41698</v>
      </c>
      <c r="C226">
        <v>9775</v>
      </c>
      <c r="D226">
        <v>1</v>
      </c>
      <c r="E226" t="s">
        <v>1258</v>
      </c>
      <c r="F226" s="151" t="s">
        <v>876</v>
      </c>
      <c r="G226" s="149" t="s">
        <v>1258</v>
      </c>
      <c r="H226" s="3">
        <f t="shared" si="12"/>
        <v>82</v>
      </c>
      <c r="I226" s="3">
        <v>13.12</v>
      </c>
    </row>
    <row r="227" spans="1:9">
      <c r="A227" t="s">
        <v>1368</v>
      </c>
      <c r="B227" s="1">
        <v>41685</v>
      </c>
      <c r="C227" t="s">
        <v>1369</v>
      </c>
      <c r="D227">
        <v>1</v>
      </c>
      <c r="E227" t="s">
        <v>496</v>
      </c>
      <c r="F227" s="151" t="s">
        <v>876</v>
      </c>
      <c r="G227" s="149" t="s">
        <v>496</v>
      </c>
      <c r="H227" s="3">
        <f t="shared" si="12"/>
        <v>1225.5625</v>
      </c>
      <c r="I227" s="3">
        <v>196.09</v>
      </c>
    </row>
    <row r="228" spans="1:9">
      <c r="A228" t="s">
        <v>525</v>
      </c>
      <c r="B228" s="1">
        <v>41685</v>
      </c>
      <c r="C228" t="s">
        <v>1382</v>
      </c>
      <c r="D228">
        <v>1</v>
      </c>
      <c r="E228" t="s">
        <v>496</v>
      </c>
      <c r="F228" s="151" t="s">
        <v>876</v>
      </c>
      <c r="G228" s="149" t="s">
        <v>496</v>
      </c>
      <c r="H228" s="3">
        <f t="shared" si="12"/>
        <v>3939.6875</v>
      </c>
      <c r="I228" s="3">
        <v>630.35</v>
      </c>
    </row>
    <row r="229" spans="1:9">
      <c r="A229" t="s">
        <v>1108</v>
      </c>
      <c r="B229" s="1">
        <v>41691</v>
      </c>
      <c r="C229" t="s">
        <v>1109</v>
      </c>
      <c r="D229">
        <v>1</v>
      </c>
      <c r="E229" t="s">
        <v>377</v>
      </c>
      <c r="F229" s="149" t="s">
        <v>876</v>
      </c>
      <c r="G229" s="149" t="s">
        <v>377</v>
      </c>
      <c r="H229" s="3">
        <f t="shared" si="12"/>
        <v>334.5</v>
      </c>
      <c r="I229" s="3">
        <v>53.52</v>
      </c>
    </row>
    <row r="230" spans="1:9">
      <c r="A230" t="s">
        <v>1254</v>
      </c>
      <c r="B230" s="1">
        <v>41698</v>
      </c>
      <c r="C230">
        <v>9753</v>
      </c>
      <c r="D230">
        <v>1</v>
      </c>
      <c r="E230" t="s">
        <v>377</v>
      </c>
      <c r="F230" s="151" t="s">
        <v>876</v>
      </c>
      <c r="G230" s="149" t="s">
        <v>377</v>
      </c>
      <c r="H230" s="3">
        <f t="shared" si="12"/>
        <v>73.6875</v>
      </c>
      <c r="I230" s="3">
        <v>11.79</v>
      </c>
    </row>
    <row r="231" spans="1:9">
      <c r="A231" t="s">
        <v>1158</v>
      </c>
      <c r="B231" s="1">
        <v>41692</v>
      </c>
      <c r="C231" t="s">
        <v>1159</v>
      </c>
      <c r="D231">
        <v>1</v>
      </c>
      <c r="E231" t="s">
        <v>748</v>
      </c>
      <c r="F231" s="152" t="s">
        <v>744</v>
      </c>
      <c r="G231" s="149" t="s">
        <v>745</v>
      </c>
      <c r="H231" s="3">
        <f t="shared" si="12"/>
        <v>187966.5</v>
      </c>
      <c r="I231" s="3">
        <v>30074.639999999999</v>
      </c>
    </row>
    <row r="232" spans="1:9">
      <c r="A232" t="s">
        <v>442</v>
      </c>
      <c r="B232" s="1">
        <v>41677</v>
      </c>
      <c r="C232" t="s">
        <v>1317</v>
      </c>
      <c r="D232">
        <v>2</v>
      </c>
      <c r="E232" t="s">
        <v>444</v>
      </c>
      <c r="F232" s="150" t="s">
        <v>879</v>
      </c>
      <c r="G232" s="149" t="s">
        <v>444</v>
      </c>
      <c r="H232" s="3">
        <f t="shared" si="12"/>
        <v>1750</v>
      </c>
      <c r="I232" s="3">
        <v>280</v>
      </c>
    </row>
    <row r="233" spans="1:9">
      <c r="A233" t="s">
        <v>1261</v>
      </c>
      <c r="B233" s="1">
        <v>41698</v>
      </c>
      <c r="C233">
        <v>9773</v>
      </c>
      <c r="D233">
        <v>1</v>
      </c>
      <c r="E233" t="s">
        <v>1262</v>
      </c>
      <c r="F233" s="151" t="s">
        <v>1585</v>
      </c>
      <c r="G233" s="149" t="s">
        <v>1262</v>
      </c>
      <c r="H233" s="3">
        <f t="shared" si="12"/>
        <v>1035.375</v>
      </c>
      <c r="I233" s="3">
        <v>165.66</v>
      </c>
    </row>
    <row r="234" spans="1:9">
      <c r="A234" t="s">
        <v>653</v>
      </c>
      <c r="B234" s="1">
        <v>41697</v>
      </c>
      <c r="C234" t="s">
        <v>1466</v>
      </c>
      <c r="D234">
        <v>1</v>
      </c>
      <c r="E234" t="s">
        <v>1467</v>
      </c>
      <c r="F234" s="151" t="s">
        <v>1586</v>
      </c>
      <c r="G234" s="149" t="s">
        <v>1467</v>
      </c>
      <c r="H234" s="3">
        <f t="shared" si="12"/>
        <v>180</v>
      </c>
      <c r="I234" s="3">
        <v>28.8</v>
      </c>
    </row>
    <row r="235" spans="1:9">
      <c r="A235" t="s">
        <v>1418</v>
      </c>
      <c r="B235" s="1">
        <v>41688</v>
      </c>
      <c r="C235" t="s">
        <v>1419</v>
      </c>
      <c r="D235">
        <v>2</v>
      </c>
      <c r="E235" t="s">
        <v>1420</v>
      </c>
      <c r="F235" s="149" t="s">
        <v>1587</v>
      </c>
      <c r="G235" s="149" t="s">
        <v>1420</v>
      </c>
      <c r="H235" s="3">
        <f t="shared" si="12"/>
        <v>1950</v>
      </c>
      <c r="I235" s="3">
        <v>312</v>
      </c>
    </row>
    <row r="236" spans="1:9">
      <c r="A236" t="s">
        <v>1116</v>
      </c>
      <c r="B236" s="1">
        <v>41691</v>
      </c>
      <c r="C236" t="s">
        <v>1117</v>
      </c>
      <c r="D236">
        <v>1</v>
      </c>
      <c r="E236" t="s">
        <v>1118</v>
      </c>
      <c r="F236" s="151" t="s">
        <v>1587</v>
      </c>
      <c r="G236" s="149" t="s">
        <v>1118</v>
      </c>
      <c r="H236" s="3">
        <f t="shared" si="12"/>
        <v>1600</v>
      </c>
      <c r="I236" s="3">
        <v>256</v>
      </c>
    </row>
    <row r="237" spans="1:9">
      <c r="A237" t="s">
        <v>1241</v>
      </c>
      <c r="B237" s="1">
        <v>41698</v>
      </c>
      <c r="C237" t="s">
        <v>1242</v>
      </c>
      <c r="D237">
        <v>1</v>
      </c>
      <c r="E237" t="s">
        <v>1243</v>
      </c>
      <c r="F237" s="149" t="s">
        <v>885</v>
      </c>
      <c r="G237" s="149" t="s">
        <v>1243</v>
      </c>
      <c r="H237" s="3">
        <f t="shared" si="12"/>
        <v>143.8125</v>
      </c>
      <c r="I237" s="3">
        <v>23.01</v>
      </c>
    </row>
    <row r="238" spans="1:9">
      <c r="A238" t="s">
        <v>1529</v>
      </c>
      <c r="B238" s="1">
        <v>41698</v>
      </c>
      <c r="C238" t="s">
        <v>1530</v>
      </c>
      <c r="D238">
        <v>1</v>
      </c>
      <c r="E238" t="s">
        <v>1531</v>
      </c>
      <c r="F238" s="72" t="s">
        <v>831</v>
      </c>
      <c r="G238" s="8" t="s">
        <v>467</v>
      </c>
      <c r="H238" s="3">
        <f t="shared" si="12"/>
        <v>664047.8125</v>
      </c>
      <c r="I238" s="3">
        <v>106247.65</v>
      </c>
    </row>
    <row r="239" spans="1:9">
      <c r="A239" t="s">
        <v>513</v>
      </c>
      <c r="B239" s="1">
        <v>41685</v>
      </c>
      <c r="C239" t="s">
        <v>1378</v>
      </c>
      <c r="D239">
        <v>2</v>
      </c>
      <c r="E239" t="s">
        <v>550</v>
      </c>
      <c r="F239" s="149" t="s">
        <v>886</v>
      </c>
      <c r="G239" s="149" t="s">
        <v>550</v>
      </c>
      <c r="H239" s="3">
        <f t="shared" si="12"/>
        <v>4800</v>
      </c>
      <c r="I239" s="3">
        <v>768</v>
      </c>
    </row>
    <row r="240" spans="1:9">
      <c r="A240" t="s">
        <v>528</v>
      </c>
      <c r="B240" s="1">
        <v>41685</v>
      </c>
      <c r="C240" t="s">
        <v>1383</v>
      </c>
      <c r="D240">
        <v>2</v>
      </c>
      <c r="E240" t="s">
        <v>550</v>
      </c>
      <c r="F240" s="149" t="s">
        <v>886</v>
      </c>
      <c r="G240" s="149" t="s">
        <v>550</v>
      </c>
      <c r="H240" s="3">
        <f t="shared" si="12"/>
        <v>36886.1875</v>
      </c>
      <c r="I240" s="3">
        <v>5901.79</v>
      </c>
    </row>
    <row r="241" spans="1:9">
      <c r="A241" t="s">
        <v>666</v>
      </c>
      <c r="B241" s="1">
        <v>41697</v>
      </c>
      <c r="C241" t="s">
        <v>1474</v>
      </c>
      <c r="D241">
        <v>2</v>
      </c>
      <c r="E241" t="s">
        <v>550</v>
      </c>
      <c r="F241" s="149" t="s">
        <v>886</v>
      </c>
      <c r="G241" s="149" t="s">
        <v>550</v>
      </c>
      <c r="H241" s="3">
        <f t="shared" si="12"/>
        <v>19100</v>
      </c>
      <c r="I241" s="3">
        <v>3056</v>
      </c>
    </row>
    <row r="242" spans="1:9">
      <c r="A242" t="s">
        <v>1490</v>
      </c>
      <c r="B242" s="1">
        <v>41697</v>
      </c>
      <c r="C242" t="s">
        <v>1491</v>
      </c>
      <c r="D242">
        <v>2</v>
      </c>
      <c r="E242" t="s">
        <v>550</v>
      </c>
      <c r="F242" s="149" t="s">
        <v>886</v>
      </c>
      <c r="G242" s="149" t="s">
        <v>550</v>
      </c>
      <c r="H242" s="3">
        <f t="shared" si="12"/>
        <v>17000</v>
      </c>
      <c r="I242" s="3">
        <v>2720</v>
      </c>
    </row>
    <row r="243" spans="1:9">
      <c r="A243" t="s">
        <v>1263</v>
      </c>
      <c r="B243" s="1">
        <v>41698</v>
      </c>
      <c r="C243" t="s">
        <v>1264</v>
      </c>
      <c r="D243">
        <v>1</v>
      </c>
      <c r="E243" t="s">
        <v>126</v>
      </c>
      <c r="F243" s="151" t="s">
        <v>887</v>
      </c>
      <c r="G243" s="149" t="s">
        <v>126</v>
      </c>
      <c r="H243" s="3">
        <f t="shared" si="12"/>
        <v>775.875</v>
      </c>
      <c r="I243" s="3">
        <v>124.14</v>
      </c>
    </row>
    <row r="244" spans="1:9">
      <c r="A244" t="s">
        <v>534</v>
      </c>
      <c r="B244" s="1">
        <v>41685</v>
      </c>
      <c r="C244" t="s">
        <v>1385</v>
      </c>
      <c r="D244">
        <v>1</v>
      </c>
      <c r="E244" t="s">
        <v>521</v>
      </c>
      <c r="F244" s="137" t="s">
        <v>890</v>
      </c>
      <c r="G244" s="137" t="s">
        <v>521</v>
      </c>
      <c r="H244" s="3">
        <f t="shared" si="12"/>
        <v>681.5</v>
      </c>
      <c r="I244" s="3">
        <v>109.04</v>
      </c>
    </row>
    <row r="245" spans="1:9">
      <c r="A245" t="s">
        <v>657</v>
      </c>
      <c r="B245" s="1">
        <v>41697</v>
      </c>
      <c r="C245" t="s">
        <v>1469</v>
      </c>
      <c r="D245">
        <v>1</v>
      </c>
      <c r="E245" t="s">
        <v>521</v>
      </c>
      <c r="F245" s="137" t="s">
        <v>890</v>
      </c>
      <c r="G245" s="137" t="s">
        <v>521</v>
      </c>
      <c r="H245" s="3">
        <f t="shared" si="12"/>
        <v>78.6875</v>
      </c>
      <c r="I245" s="3">
        <v>12.59</v>
      </c>
    </row>
    <row r="246" spans="1:9">
      <c r="A246" t="s">
        <v>670</v>
      </c>
      <c r="B246" s="1">
        <v>41697</v>
      </c>
      <c r="C246" t="s">
        <v>1484</v>
      </c>
      <c r="D246">
        <v>1</v>
      </c>
      <c r="E246" t="s">
        <v>521</v>
      </c>
      <c r="F246" s="137" t="s">
        <v>890</v>
      </c>
      <c r="G246" s="137" t="s">
        <v>521</v>
      </c>
      <c r="H246" s="3">
        <f t="shared" si="12"/>
        <v>603.5</v>
      </c>
      <c r="I246" s="3">
        <v>96.56</v>
      </c>
    </row>
    <row r="247" spans="1:9">
      <c r="A247" t="s">
        <v>1482</v>
      </c>
      <c r="B247" s="1">
        <v>41697</v>
      </c>
      <c r="C247" t="s">
        <v>1483</v>
      </c>
      <c r="D247">
        <v>1</v>
      </c>
      <c r="E247" t="s">
        <v>502</v>
      </c>
      <c r="F247" s="137" t="s">
        <v>894</v>
      </c>
      <c r="G247" s="137" t="s">
        <v>502</v>
      </c>
      <c r="H247" s="3">
        <f t="shared" si="12"/>
        <v>27042</v>
      </c>
      <c r="I247" s="3">
        <v>4326.72</v>
      </c>
    </row>
    <row r="248" spans="1:9">
      <c r="A248" t="s">
        <v>503</v>
      </c>
      <c r="B248" s="1">
        <v>41683</v>
      </c>
      <c r="C248" t="s">
        <v>1348</v>
      </c>
      <c r="D248">
        <v>1</v>
      </c>
      <c r="E248" t="s">
        <v>1349</v>
      </c>
      <c r="F248" s="138" t="s">
        <v>1588</v>
      </c>
      <c r="G248" t="s">
        <v>1349</v>
      </c>
      <c r="H248" s="3">
        <f t="shared" ref="H248:H279" si="13">+I248/0.16</f>
        <v>83868</v>
      </c>
      <c r="I248" s="3">
        <v>13418.88</v>
      </c>
    </row>
    <row r="249" spans="1:9">
      <c r="A249" t="s">
        <v>1084</v>
      </c>
      <c r="B249" s="1">
        <v>41691</v>
      </c>
      <c r="C249" t="s">
        <v>1085</v>
      </c>
      <c r="D249">
        <v>1</v>
      </c>
      <c r="E249" t="s">
        <v>266</v>
      </c>
      <c r="F249" s="149" t="s">
        <v>893</v>
      </c>
      <c r="G249" s="149" t="s">
        <v>266</v>
      </c>
      <c r="H249" s="3">
        <f t="shared" si="13"/>
        <v>188.125</v>
      </c>
      <c r="I249" s="3">
        <v>30.1</v>
      </c>
    </row>
    <row r="250" spans="1:9">
      <c r="A250" t="s">
        <v>1128</v>
      </c>
      <c r="B250" s="1">
        <v>41691</v>
      </c>
      <c r="C250" t="s">
        <v>1129</v>
      </c>
      <c r="D250">
        <v>1</v>
      </c>
      <c r="E250" t="s">
        <v>266</v>
      </c>
      <c r="F250" s="149" t="s">
        <v>893</v>
      </c>
      <c r="G250" s="149" t="s">
        <v>266</v>
      </c>
      <c r="H250" s="3">
        <f t="shared" si="13"/>
        <v>104.75000000000001</v>
      </c>
      <c r="I250" s="3">
        <v>16.760000000000002</v>
      </c>
    </row>
    <row r="251" spans="1:9">
      <c r="A251" t="s">
        <v>1251</v>
      </c>
      <c r="B251" s="1">
        <v>41698</v>
      </c>
      <c r="C251">
        <v>9750</v>
      </c>
      <c r="D251">
        <v>1</v>
      </c>
      <c r="E251" t="s">
        <v>266</v>
      </c>
      <c r="F251" s="149" t="s">
        <v>893</v>
      </c>
      <c r="G251" s="149" t="s">
        <v>266</v>
      </c>
      <c r="H251" s="3">
        <f t="shared" si="13"/>
        <v>32.75</v>
      </c>
      <c r="I251" s="3">
        <v>5.24</v>
      </c>
    </row>
    <row r="252" spans="1:9">
      <c r="A252" t="s">
        <v>127</v>
      </c>
      <c r="B252" s="1">
        <v>41691</v>
      </c>
      <c r="C252" t="s">
        <v>1148</v>
      </c>
      <c r="D252">
        <v>1</v>
      </c>
      <c r="E252" t="s">
        <v>1149</v>
      </c>
      <c r="F252" s="149" t="s">
        <v>1589</v>
      </c>
      <c r="G252" s="149" t="s">
        <v>1590</v>
      </c>
      <c r="H252" s="3">
        <f t="shared" si="13"/>
        <v>246173.75</v>
      </c>
      <c r="I252" s="3">
        <v>39387.800000000003</v>
      </c>
    </row>
    <row r="253" spans="1:9">
      <c r="A253" t="s">
        <v>1042</v>
      </c>
      <c r="B253" s="1">
        <v>41684</v>
      </c>
      <c r="C253" t="s">
        <v>1043</v>
      </c>
      <c r="D253">
        <v>1</v>
      </c>
      <c r="E253" t="s">
        <v>1044</v>
      </c>
      <c r="F253" s="149" t="s">
        <v>759</v>
      </c>
      <c r="G253" s="149" t="s">
        <v>1044</v>
      </c>
      <c r="H253" s="3">
        <f t="shared" si="13"/>
        <v>181607.4375</v>
      </c>
      <c r="I253" s="3">
        <v>29057.19</v>
      </c>
    </row>
    <row r="254" spans="1:9">
      <c r="A254" t="s">
        <v>976</v>
      </c>
      <c r="B254" s="1">
        <v>41671</v>
      </c>
      <c r="C254" t="s">
        <v>977</v>
      </c>
      <c r="D254">
        <v>1</v>
      </c>
      <c r="E254" t="s">
        <v>467</v>
      </c>
      <c r="F254" s="162" t="s">
        <v>760</v>
      </c>
      <c r="G254" s="163" t="s">
        <v>761</v>
      </c>
      <c r="H254" s="3">
        <f t="shared" si="13"/>
        <v>381238.6875</v>
      </c>
      <c r="I254" s="3">
        <v>60998.19</v>
      </c>
    </row>
    <row r="255" spans="1:9">
      <c r="A255" t="s">
        <v>981</v>
      </c>
      <c r="B255" s="1">
        <v>41674</v>
      </c>
      <c r="C255" t="s">
        <v>982</v>
      </c>
      <c r="D255">
        <v>1</v>
      </c>
      <c r="E255" t="s">
        <v>467</v>
      </c>
      <c r="F255" s="162" t="s">
        <v>760</v>
      </c>
      <c r="G255" s="163" t="s">
        <v>761</v>
      </c>
      <c r="H255" s="3">
        <f t="shared" si="13"/>
        <v>168129.625</v>
      </c>
      <c r="I255" s="3">
        <v>26900.74</v>
      </c>
    </row>
    <row r="256" spans="1:9">
      <c r="A256" t="s">
        <v>983</v>
      </c>
      <c r="B256" s="1">
        <v>41677</v>
      </c>
      <c r="C256" t="s">
        <v>984</v>
      </c>
      <c r="D256">
        <v>1</v>
      </c>
      <c r="E256" t="s">
        <v>467</v>
      </c>
      <c r="F256" s="162" t="s">
        <v>760</v>
      </c>
      <c r="G256" s="163" t="s">
        <v>761</v>
      </c>
      <c r="H256" s="3">
        <f t="shared" si="13"/>
        <v>258607.68750000003</v>
      </c>
      <c r="I256" s="3">
        <v>41377.230000000003</v>
      </c>
    </row>
    <row r="257" spans="1:9">
      <c r="A257" t="s">
        <v>988</v>
      </c>
      <c r="B257" s="1">
        <v>41677</v>
      </c>
      <c r="C257" t="s">
        <v>989</v>
      </c>
      <c r="D257">
        <v>1</v>
      </c>
      <c r="E257" t="s">
        <v>467</v>
      </c>
      <c r="F257" s="162" t="s">
        <v>760</v>
      </c>
      <c r="G257" s="163" t="s">
        <v>761</v>
      </c>
      <c r="H257" s="3">
        <f t="shared" si="13"/>
        <v>381238.6875</v>
      </c>
      <c r="I257" s="3">
        <v>60998.19</v>
      </c>
    </row>
    <row r="258" spans="1:9">
      <c r="A258" t="s">
        <v>993</v>
      </c>
      <c r="B258" s="1">
        <v>41678</v>
      </c>
      <c r="C258" t="s">
        <v>994</v>
      </c>
      <c r="D258">
        <v>1</v>
      </c>
      <c r="E258" t="s">
        <v>467</v>
      </c>
      <c r="F258" s="162" t="s">
        <v>760</v>
      </c>
      <c r="G258" s="163" t="s">
        <v>761</v>
      </c>
      <c r="H258" s="3">
        <f t="shared" si="13"/>
        <v>295037.5625</v>
      </c>
      <c r="I258" s="3">
        <v>47206.01</v>
      </c>
    </row>
    <row r="259" spans="1:9">
      <c r="A259" t="s">
        <v>995</v>
      </c>
      <c r="B259" s="1">
        <v>41680</v>
      </c>
      <c r="C259" t="s">
        <v>996</v>
      </c>
      <c r="D259">
        <v>1</v>
      </c>
      <c r="E259" t="s">
        <v>467</v>
      </c>
      <c r="F259" s="162" t="s">
        <v>760</v>
      </c>
      <c r="G259" s="163" t="s">
        <v>761</v>
      </c>
      <c r="H259" s="3">
        <f t="shared" si="13"/>
        <v>176668.5625</v>
      </c>
      <c r="I259" s="3">
        <v>28266.97</v>
      </c>
    </row>
    <row r="260" spans="1:9">
      <c r="A260" t="s">
        <v>997</v>
      </c>
      <c r="B260" s="1">
        <v>41680</v>
      </c>
      <c r="C260" t="s">
        <v>998</v>
      </c>
      <c r="D260">
        <v>1</v>
      </c>
      <c r="E260" t="s">
        <v>467</v>
      </c>
      <c r="F260" s="162" t="s">
        <v>760</v>
      </c>
      <c r="G260" s="163" t="s">
        <v>761</v>
      </c>
      <c r="H260" s="3">
        <f t="shared" si="13"/>
        <v>175582.31249999997</v>
      </c>
      <c r="I260" s="3">
        <v>28093.17</v>
      </c>
    </row>
    <row r="261" spans="1:9">
      <c r="A261" t="s">
        <v>999</v>
      </c>
      <c r="B261" s="1">
        <v>41680</v>
      </c>
      <c r="C261" t="s">
        <v>1000</v>
      </c>
      <c r="D261">
        <v>1</v>
      </c>
      <c r="E261" t="s">
        <v>467</v>
      </c>
      <c r="F261" s="162" t="s">
        <v>760</v>
      </c>
      <c r="G261" s="163" t="s">
        <v>761</v>
      </c>
      <c r="H261" s="3">
        <f t="shared" si="13"/>
        <v>176668.5625</v>
      </c>
      <c r="I261" s="3">
        <v>28266.97</v>
      </c>
    </row>
    <row r="262" spans="1:9">
      <c r="A262" t="s">
        <v>1001</v>
      </c>
      <c r="B262" s="1">
        <v>41680</v>
      </c>
      <c r="C262" t="s">
        <v>1002</v>
      </c>
      <c r="D262">
        <v>1</v>
      </c>
      <c r="E262" t="s">
        <v>467</v>
      </c>
      <c r="F262" s="162" t="s">
        <v>760</v>
      </c>
      <c r="G262" s="163" t="s">
        <v>761</v>
      </c>
      <c r="H262" s="3">
        <f t="shared" si="13"/>
        <v>162935.75</v>
      </c>
      <c r="I262" s="3">
        <v>26069.72</v>
      </c>
    </row>
    <row r="263" spans="1:9">
      <c r="A263" t="s">
        <v>1003</v>
      </c>
      <c r="B263" s="1">
        <v>41681</v>
      </c>
      <c r="C263" t="s">
        <v>1004</v>
      </c>
      <c r="D263">
        <v>1</v>
      </c>
      <c r="E263" t="s">
        <v>467</v>
      </c>
      <c r="F263" s="162" t="s">
        <v>760</v>
      </c>
      <c r="G263" s="163" t="s">
        <v>761</v>
      </c>
      <c r="H263" s="3">
        <f t="shared" si="13"/>
        <v>153703</v>
      </c>
      <c r="I263" s="3">
        <v>24592.48</v>
      </c>
    </row>
    <row r="264" spans="1:9">
      <c r="A264" t="s">
        <v>1005</v>
      </c>
      <c r="B264" s="1">
        <v>41681</v>
      </c>
      <c r="C264" t="s">
        <v>1006</v>
      </c>
      <c r="D264">
        <v>1</v>
      </c>
      <c r="E264" t="s">
        <v>467</v>
      </c>
      <c r="F264" s="162" t="s">
        <v>760</v>
      </c>
      <c r="G264" s="163" t="s">
        <v>761</v>
      </c>
      <c r="H264" s="3">
        <f t="shared" si="13"/>
        <v>170461.625</v>
      </c>
      <c r="I264" s="3">
        <v>27273.86</v>
      </c>
    </row>
    <row r="265" spans="1:9">
      <c r="A265" t="s">
        <v>1007</v>
      </c>
      <c r="B265" s="1">
        <v>41681</v>
      </c>
      <c r="C265" t="s">
        <v>1008</v>
      </c>
      <c r="D265">
        <v>1</v>
      </c>
      <c r="E265" t="s">
        <v>467</v>
      </c>
      <c r="F265" s="162" t="s">
        <v>760</v>
      </c>
      <c r="G265" s="163" t="s">
        <v>761</v>
      </c>
      <c r="H265" s="3">
        <f t="shared" si="13"/>
        <v>217444.0625</v>
      </c>
      <c r="I265" s="3">
        <v>34791.050000000003</v>
      </c>
    </row>
    <row r="266" spans="1:9">
      <c r="A266" t="s">
        <v>1009</v>
      </c>
      <c r="B266" s="1">
        <v>41681</v>
      </c>
      <c r="C266" t="s">
        <v>1010</v>
      </c>
      <c r="D266">
        <v>1</v>
      </c>
      <c r="E266" t="s">
        <v>467</v>
      </c>
      <c r="F266" s="162" t="s">
        <v>760</v>
      </c>
      <c r="G266" s="163" t="s">
        <v>761</v>
      </c>
      <c r="H266" s="3">
        <f t="shared" si="13"/>
        <v>314533.1875</v>
      </c>
      <c r="I266" s="3">
        <v>50325.31</v>
      </c>
    </row>
    <row r="267" spans="1:9">
      <c r="A267" t="s">
        <v>1011</v>
      </c>
      <c r="B267" s="1">
        <v>41681</v>
      </c>
      <c r="C267" t="s">
        <v>1012</v>
      </c>
      <c r="D267">
        <v>1</v>
      </c>
      <c r="E267" t="s">
        <v>467</v>
      </c>
      <c r="F267" s="162" t="s">
        <v>760</v>
      </c>
      <c r="G267" s="163" t="s">
        <v>761</v>
      </c>
      <c r="H267" s="3">
        <f t="shared" si="13"/>
        <v>314533.1875</v>
      </c>
      <c r="I267" s="3">
        <v>50325.31</v>
      </c>
    </row>
    <row r="268" spans="1:9">
      <c r="A268" t="s">
        <v>1013</v>
      </c>
      <c r="B268" s="1">
        <v>41681</v>
      </c>
      <c r="C268" t="s">
        <v>1014</v>
      </c>
      <c r="D268">
        <v>1</v>
      </c>
      <c r="E268" t="s">
        <v>467</v>
      </c>
      <c r="F268" s="162" t="s">
        <v>760</v>
      </c>
      <c r="G268" s="163" t="s">
        <v>761</v>
      </c>
      <c r="H268" s="3">
        <f t="shared" si="13"/>
        <v>202725.8125</v>
      </c>
      <c r="I268" s="3">
        <v>32436.13</v>
      </c>
    </row>
    <row r="269" spans="1:9">
      <c r="A269" t="s">
        <v>1015</v>
      </c>
      <c r="B269" s="1">
        <v>41681</v>
      </c>
      <c r="C269" t="s">
        <v>1016</v>
      </c>
      <c r="D269">
        <v>1</v>
      </c>
      <c r="E269" t="s">
        <v>467</v>
      </c>
      <c r="F269" s="162" t="s">
        <v>760</v>
      </c>
      <c r="G269" s="163" t="s">
        <v>761</v>
      </c>
      <c r="H269" s="3">
        <f t="shared" si="13"/>
        <v>202725.8125</v>
      </c>
      <c r="I269" s="3">
        <v>32436.13</v>
      </c>
    </row>
    <row r="270" spans="1:9">
      <c r="A270" t="s">
        <v>1017</v>
      </c>
      <c r="B270" s="1">
        <v>41681</v>
      </c>
      <c r="C270" t="s">
        <v>1018</v>
      </c>
      <c r="D270">
        <v>1</v>
      </c>
      <c r="E270" t="s">
        <v>467</v>
      </c>
      <c r="F270" s="162" t="s">
        <v>760</v>
      </c>
      <c r="G270" s="163" t="s">
        <v>761</v>
      </c>
      <c r="H270" s="3">
        <f t="shared" si="13"/>
        <v>233454.4375</v>
      </c>
      <c r="I270" s="3">
        <v>37352.71</v>
      </c>
    </row>
    <row r="271" spans="1:9">
      <c r="A271" t="s">
        <v>1019</v>
      </c>
      <c r="B271" s="1">
        <v>41681</v>
      </c>
      <c r="C271" t="s">
        <v>1020</v>
      </c>
      <c r="D271">
        <v>1</v>
      </c>
      <c r="E271" t="s">
        <v>467</v>
      </c>
      <c r="F271" s="162" t="s">
        <v>760</v>
      </c>
      <c r="G271" s="163" t="s">
        <v>761</v>
      </c>
      <c r="H271" s="3">
        <f t="shared" si="13"/>
        <v>202725.8125</v>
      </c>
      <c r="I271" s="3">
        <v>32436.13</v>
      </c>
    </row>
    <row r="272" spans="1:9">
      <c r="A272" t="s">
        <v>1021</v>
      </c>
      <c r="B272" s="1">
        <v>41681</v>
      </c>
      <c r="C272" t="s">
        <v>1022</v>
      </c>
      <c r="D272">
        <v>1</v>
      </c>
      <c r="E272" t="s">
        <v>467</v>
      </c>
      <c r="F272" s="162" t="s">
        <v>760</v>
      </c>
      <c r="G272" s="163" t="s">
        <v>761</v>
      </c>
      <c r="H272" s="3">
        <f t="shared" si="13"/>
        <v>202725.8125</v>
      </c>
      <c r="I272" s="3">
        <v>32436.13</v>
      </c>
    </row>
    <row r="273" spans="1:9">
      <c r="A273" t="s">
        <v>1023</v>
      </c>
      <c r="B273" s="1">
        <v>41681</v>
      </c>
      <c r="C273" t="s">
        <v>1024</v>
      </c>
      <c r="D273">
        <v>1</v>
      </c>
      <c r="E273" t="s">
        <v>467</v>
      </c>
      <c r="F273" s="162" t="s">
        <v>760</v>
      </c>
      <c r="G273" s="163" t="s">
        <v>761</v>
      </c>
      <c r="H273" s="3">
        <f t="shared" si="13"/>
        <v>246173.75</v>
      </c>
      <c r="I273" s="3">
        <v>39387.800000000003</v>
      </c>
    </row>
    <row r="274" spans="1:9">
      <c r="A274" t="s">
        <v>1025</v>
      </c>
      <c r="B274" s="1">
        <v>41681</v>
      </c>
      <c r="C274" t="s">
        <v>1026</v>
      </c>
      <c r="D274">
        <v>1</v>
      </c>
      <c r="E274" t="s">
        <v>467</v>
      </c>
      <c r="F274" s="162" t="s">
        <v>760</v>
      </c>
      <c r="G274" s="163" t="s">
        <v>761</v>
      </c>
      <c r="H274" s="3">
        <f t="shared" si="13"/>
        <v>319559.3125</v>
      </c>
      <c r="I274" s="3">
        <v>51129.49</v>
      </c>
    </row>
    <row r="275" spans="1:9">
      <c r="A275" t="s">
        <v>42</v>
      </c>
      <c r="B275" s="1">
        <v>41683</v>
      </c>
      <c r="C275" t="s">
        <v>1036</v>
      </c>
      <c r="D275">
        <v>1</v>
      </c>
      <c r="E275" t="s">
        <v>467</v>
      </c>
      <c r="F275" s="162" t="s">
        <v>760</v>
      </c>
      <c r="G275" s="163" t="s">
        <v>761</v>
      </c>
      <c r="H275" s="3">
        <f t="shared" si="13"/>
        <v>210177.81249999997</v>
      </c>
      <c r="I275" s="3">
        <v>33628.449999999997</v>
      </c>
    </row>
    <row r="276" spans="1:9">
      <c r="A276" t="s">
        <v>67</v>
      </c>
      <c r="B276" s="1">
        <v>41685</v>
      </c>
      <c r="C276" t="s">
        <v>1048</v>
      </c>
      <c r="D276">
        <v>1</v>
      </c>
      <c r="E276" t="s">
        <v>467</v>
      </c>
      <c r="F276" s="162" t="s">
        <v>760</v>
      </c>
      <c r="G276" s="163" t="s">
        <v>761</v>
      </c>
      <c r="H276" s="3">
        <f t="shared" si="13"/>
        <v>233454.4375</v>
      </c>
      <c r="I276" s="3">
        <v>37352.71</v>
      </c>
    </row>
    <row r="277" spans="1:9">
      <c r="A277" t="s">
        <v>1160</v>
      </c>
      <c r="B277" s="1">
        <v>41692</v>
      </c>
      <c r="C277" t="s">
        <v>1161</v>
      </c>
      <c r="D277">
        <v>1</v>
      </c>
      <c r="E277" t="s">
        <v>467</v>
      </c>
      <c r="F277" s="162" t="s">
        <v>760</v>
      </c>
      <c r="G277" s="163" t="s">
        <v>761</v>
      </c>
      <c r="H277" s="3">
        <f t="shared" si="13"/>
        <v>170461.625</v>
      </c>
      <c r="I277" s="3">
        <v>27273.86</v>
      </c>
    </row>
    <row r="278" spans="1:9">
      <c r="A278" t="s">
        <v>1165</v>
      </c>
      <c r="B278" s="1">
        <v>41694</v>
      </c>
      <c r="C278" t="s">
        <v>1166</v>
      </c>
      <c r="D278">
        <v>1</v>
      </c>
      <c r="E278" t="s">
        <v>467</v>
      </c>
      <c r="F278" s="162" t="s">
        <v>760</v>
      </c>
      <c r="G278" s="163" t="s">
        <v>761</v>
      </c>
      <c r="H278" s="3">
        <f t="shared" si="13"/>
        <v>170461.625</v>
      </c>
      <c r="I278" s="3">
        <v>27273.86</v>
      </c>
    </row>
    <row r="279" spans="1:9">
      <c r="A279" t="s">
        <v>1167</v>
      </c>
      <c r="B279" s="1">
        <v>41694</v>
      </c>
      <c r="C279" t="s">
        <v>1168</v>
      </c>
      <c r="D279">
        <v>1</v>
      </c>
      <c r="E279" t="s">
        <v>467</v>
      </c>
      <c r="F279" s="162" t="s">
        <v>760</v>
      </c>
      <c r="G279" s="163" t="s">
        <v>761</v>
      </c>
      <c r="H279" s="3">
        <f t="shared" si="13"/>
        <v>320437.1875</v>
      </c>
      <c r="I279" s="3">
        <v>51269.95</v>
      </c>
    </row>
    <row r="280" spans="1:9">
      <c r="A280" t="s">
        <v>1169</v>
      </c>
      <c r="B280" s="1">
        <v>41694</v>
      </c>
      <c r="C280" t="s">
        <v>1170</v>
      </c>
      <c r="D280">
        <v>1</v>
      </c>
      <c r="E280" t="s">
        <v>467</v>
      </c>
      <c r="F280" s="162" t="s">
        <v>760</v>
      </c>
      <c r="G280" s="163" t="s">
        <v>761</v>
      </c>
      <c r="H280" s="3">
        <f t="shared" ref="H280:H290" si="14">+I280/0.16</f>
        <v>202818.6875</v>
      </c>
      <c r="I280" s="3">
        <v>32450.99</v>
      </c>
    </row>
    <row r="281" spans="1:9">
      <c r="A281" t="s">
        <v>1172</v>
      </c>
      <c r="B281" s="1">
        <v>41694</v>
      </c>
      <c r="C281" t="s">
        <v>1171</v>
      </c>
      <c r="D281">
        <v>1</v>
      </c>
      <c r="E281" t="s">
        <v>467</v>
      </c>
      <c r="F281" s="162" t="s">
        <v>760</v>
      </c>
      <c r="G281" s="163" t="s">
        <v>761</v>
      </c>
      <c r="H281" s="3">
        <f t="shared" si="14"/>
        <v>175582.31249999997</v>
      </c>
      <c r="I281" s="3">
        <v>28093.17</v>
      </c>
    </row>
    <row r="282" spans="1:9">
      <c r="A282" t="s">
        <v>1175</v>
      </c>
      <c r="B282" s="1">
        <v>41695</v>
      </c>
      <c r="C282" t="s">
        <v>1176</v>
      </c>
      <c r="D282">
        <v>1</v>
      </c>
      <c r="E282" t="s">
        <v>467</v>
      </c>
      <c r="F282" s="162" t="s">
        <v>760</v>
      </c>
      <c r="G282" s="163" t="s">
        <v>761</v>
      </c>
      <c r="H282" s="3">
        <f t="shared" si="14"/>
        <v>425101.875</v>
      </c>
      <c r="I282" s="3">
        <v>68016.3</v>
      </c>
    </row>
    <row r="283" spans="1:9">
      <c r="A283" t="s">
        <v>1177</v>
      </c>
      <c r="B283" s="1">
        <v>41695</v>
      </c>
      <c r="C283" t="s">
        <v>1178</v>
      </c>
      <c r="D283">
        <v>1</v>
      </c>
      <c r="E283" t="s">
        <v>467</v>
      </c>
      <c r="F283" s="162" t="s">
        <v>760</v>
      </c>
      <c r="G283" s="163" t="s">
        <v>761</v>
      </c>
      <c r="H283" s="3">
        <f t="shared" si="14"/>
        <v>297961.625</v>
      </c>
      <c r="I283" s="3">
        <v>47673.86</v>
      </c>
    </row>
    <row r="284" spans="1:9">
      <c r="A284" t="s">
        <v>1179</v>
      </c>
      <c r="B284" s="1">
        <v>41695</v>
      </c>
      <c r="C284" t="s">
        <v>1180</v>
      </c>
      <c r="D284">
        <v>1</v>
      </c>
      <c r="E284" t="s">
        <v>467</v>
      </c>
      <c r="F284" s="162" t="s">
        <v>760</v>
      </c>
      <c r="G284" s="163" t="s">
        <v>761</v>
      </c>
      <c r="H284" s="3">
        <f t="shared" si="14"/>
        <v>168289.25</v>
      </c>
      <c r="I284" s="3">
        <v>26926.28</v>
      </c>
    </row>
    <row r="285" spans="1:9">
      <c r="A285" t="s">
        <v>1184</v>
      </c>
      <c r="B285" s="1">
        <v>41697</v>
      </c>
      <c r="C285" t="s">
        <v>1185</v>
      </c>
      <c r="D285">
        <v>1</v>
      </c>
      <c r="E285" t="s">
        <v>467</v>
      </c>
      <c r="F285" s="162" t="s">
        <v>760</v>
      </c>
      <c r="G285" s="163" t="s">
        <v>761</v>
      </c>
      <c r="H285" s="3">
        <f t="shared" si="14"/>
        <v>437745.5</v>
      </c>
      <c r="I285" s="3">
        <v>70039.28</v>
      </c>
    </row>
    <row r="286" spans="1:9">
      <c r="A286" t="s">
        <v>1186</v>
      </c>
      <c r="B286" s="1">
        <v>41697</v>
      </c>
      <c r="C286" t="s">
        <v>1187</v>
      </c>
      <c r="D286">
        <v>1</v>
      </c>
      <c r="E286" t="s">
        <v>467</v>
      </c>
      <c r="F286" s="162" t="s">
        <v>760</v>
      </c>
      <c r="G286" s="163" t="s">
        <v>761</v>
      </c>
      <c r="H286" s="3">
        <f t="shared" si="14"/>
        <v>217536.93750000003</v>
      </c>
      <c r="I286" s="3">
        <v>34805.910000000003</v>
      </c>
    </row>
    <row r="287" spans="1:9">
      <c r="A287" t="s">
        <v>1188</v>
      </c>
      <c r="B287" s="1">
        <v>41697</v>
      </c>
      <c r="C287" t="s">
        <v>1189</v>
      </c>
      <c r="D287">
        <v>1</v>
      </c>
      <c r="E287" t="s">
        <v>467</v>
      </c>
      <c r="F287" s="162" t="s">
        <v>760</v>
      </c>
      <c r="G287" s="163" t="s">
        <v>761</v>
      </c>
      <c r="H287" s="3">
        <f t="shared" si="14"/>
        <v>202818.6875</v>
      </c>
      <c r="I287" s="3">
        <v>32450.99</v>
      </c>
    </row>
    <row r="288" spans="1:9">
      <c r="A288" t="s">
        <v>1190</v>
      </c>
      <c r="B288" s="1">
        <v>41697</v>
      </c>
      <c r="C288" t="s">
        <v>1191</v>
      </c>
      <c r="D288">
        <v>1</v>
      </c>
      <c r="E288" t="s">
        <v>467</v>
      </c>
      <c r="F288" s="162" t="s">
        <v>760</v>
      </c>
      <c r="G288" s="163" t="s">
        <v>761</v>
      </c>
      <c r="H288" s="3">
        <f t="shared" si="14"/>
        <v>286584.3125</v>
      </c>
      <c r="I288" s="3">
        <v>45853.49</v>
      </c>
    </row>
    <row r="289" spans="1:12">
      <c r="A289" t="s">
        <v>1207</v>
      </c>
      <c r="B289" s="1">
        <v>41698</v>
      </c>
      <c r="C289" t="s">
        <v>1208</v>
      </c>
      <c r="D289">
        <v>1</v>
      </c>
      <c r="E289" t="s">
        <v>467</v>
      </c>
      <c r="F289" s="162" t="s">
        <v>760</v>
      </c>
      <c r="G289" s="163" t="s">
        <v>761</v>
      </c>
      <c r="H289" s="3">
        <f t="shared" si="14"/>
        <v>183525.5625</v>
      </c>
      <c r="I289" s="3">
        <v>29364.09</v>
      </c>
    </row>
    <row r="290" spans="1:12">
      <c r="A290" t="s">
        <v>451</v>
      </c>
      <c r="B290" s="1">
        <v>41677</v>
      </c>
      <c r="C290" t="s">
        <v>1321</v>
      </c>
      <c r="D290">
        <v>1</v>
      </c>
      <c r="E290" t="s">
        <v>467</v>
      </c>
      <c r="F290" s="162" t="s">
        <v>760</v>
      </c>
      <c r="G290" s="163" t="s">
        <v>761</v>
      </c>
      <c r="H290" s="3">
        <f t="shared" si="14"/>
        <v>252801.93749999997</v>
      </c>
      <c r="I290" s="3">
        <v>40448.31</v>
      </c>
    </row>
    <row r="291" spans="1:12">
      <c r="A291" t="s">
        <v>1229</v>
      </c>
      <c r="B291" s="1">
        <v>41698</v>
      </c>
      <c r="C291" t="s">
        <v>1230</v>
      </c>
      <c r="D291">
        <v>1</v>
      </c>
      <c r="E291" t="s">
        <v>1231</v>
      </c>
      <c r="F291" s="151" t="s">
        <v>923</v>
      </c>
      <c r="G291" s="149" t="s">
        <v>927</v>
      </c>
      <c r="H291" s="157">
        <f>I291/0.16</f>
        <v>298.25</v>
      </c>
      <c r="I291" s="149">
        <v>47.72</v>
      </c>
    </row>
    <row r="292" spans="1:12" ht="15.75" customHeight="1">
      <c r="A292" t="s">
        <v>1229</v>
      </c>
      <c r="B292" s="1">
        <v>41698</v>
      </c>
      <c r="C292" t="s">
        <v>1230</v>
      </c>
      <c r="D292">
        <v>1</v>
      </c>
      <c r="E292" t="s">
        <v>1231</v>
      </c>
      <c r="F292" s="164" t="s">
        <v>1591</v>
      </c>
      <c r="G292" s="164" t="s">
        <v>1592</v>
      </c>
      <c r="H292" s="160">
        <f>I292/0.16</f>
        <v>293.0625</v>
      </c>
      <c r="I292" s="137">
        <v>46.89</v>
      </c>
    </row>
    <row r="293" spans="1:12">
      <c r="A293" t="s">
        <v>1229</v>
      </c>
      <c r="B293" s="1">
        <v>41698</v>
      </c>
      <c r="C293" t="s">
        <v>1230</v>
      </c>
      <c r="D293">
        <v>1</v>
      </c>
      <c r="E293" t="s">
        <v>1231</v>
      </c>
      <c r="F293" s="158" t="s">
        <v>763</v>
      </c>
      <c r="G293" t="s">
        <v>843</v>
      </c>
      <c r="H293" s="159">
        <f t="shared" ref="H293" si="15">I293/0.16</f>
        <v>274.25</v>
      </c>
      <c r="I293" s="9">
        <v>43.88</v>
      </c>
    </row>
    <row r="294" spans="1:12">
      <c r="A294" t="s">
        <v>1229</v>
      </c>
      <c r="B294" s="1">
        <v>41698</v>
      </c>
      <c r="C294" t="s">
        <v>1230</v>
      </c>
      <c r="D294">
        <v>1</v>
      </c>
      <c r="E294" t="s">
        <v>1231</v>
      </c>
      <c r="F294" s="151" t="s">
        <v>903</v>
      </c>
      <c r="G294" s="149" t="s">
        <v>1593</v>
      </c>
      <c r="H294" s="157">
        <f>I294/0.16</f>
        <v>81.875</v>
      </c>
      <c r="I294" s="149">
        <v>13.1</v>
      </c>
      <c r="J294" s="3">
        <f>947.38-H291-H292-H293-H294</f>
        <v>-5.7500000000004547E-2</v>
      </c>
      <c r="K294" s="3">
        <f>151.58-I291-I292-I293-I294</f>
        <v>-9.9999999999891287E-3</v>
      </c>
      <c r="L294" t="s">
        <v>850</v>
      </c>
    </row>
    <row r="295" spans="1:12">
      <c r="A295" t="s">
        <v>1226</v>
      </c>
      <c r="B295" s="1">
        <v>41698</v>
      </c>
      <c r="C295" t="s">
        <v>1227</v>
      </c>
      <c r="D295">
        <v>1</v>
      </c>
      <c r="E295" t="s">
        <v>1228</v>
      </c>
      <c r="F295" s="164" t="s">
        <v>914</v>
      </c>
      <c r="G295" s="137" t="s">
        <v>915</v>
      </c>
      <c r="H295" s="160">
        <f t="shared" ref="H295:H303" si="16">I295/0.16</f>
        <v>460.37499999999994</v>
      </c>
      <c r="I295" s="137">
        <v>73.66</v>
      </c>
    </row>
    <row r="296" spans="1:12">
      <c r="A296" t="s">
        <v>1226</v>
      </c>
      <c r="B296" s="1">
        <v>41698</v>
      </c>
      <c r="C296" t="s">
        <v>1227</v>
      </c>
      <c r="D296">
        <v>1</v>
      </c>
      <c r="E296" t="s">
        <v>1228</v>
      </c>
      <c r="F296" s="149" t="s">
        <v>923</v>
      </c>
      <c r="G296" s="149" t="s">
        <v>927</v>
      </c>
      <c r="H296" s="157">
        <f t="shared" si="16"/>
        <v>359.5</v>
      </c>
      <c r="I296" s="149">
        <v>57.52</v>
      </c>
    </row>
    <row r="297" spans="1:12">
      <c r="A297" t="s">
        <v>1226</v>
      </c>
      <c r="B297" s="1">
        <v>41698</v>
      </c>
      <c r="C297" t="s">
        <v>1227</v>
      </c>
      <c r="D297">
        <v>1</v>
      </c>
      <c r="E297" t="s">
        <v>1228</v>
      </c>
      <c r="F297" s="151" t="s">
        <v>1594</v>
      </c>
      <c r="G297" s="149" t="s">
        <v>1595</v>
      </c>
      <c r="H297" s="157">
        <f t="shared" si="16"/>
        <v>100.875</v>
      </c>
      <c r="I297" s="149">
        <v>16.14</v>
      </c>
    </row>
    <row r="298" spans="1:12">
      <c r="A298" t="s">
        <v>1226</v>
      </c>
      <c r="B298" s="1">
        <v>41698</v>
      </c>
      <c r="C298" t="s">
        <v>1227</v>
      </c>
      <c r="D298">
        <v>1</v>
      </c>
      <c r="E298" t="s">
        <v>1228</v>
      </c>
      <c r="F298" t="s">
        <v>763</v>
      </c>
      <c r="G298" t="s">
        <v>900</v>
      </c>
      <c r="H298" s="159">
        <f t="shared" si="16"/>
        <v>430.1875</v>
      </c>
      <c r="I298" s="9">
        <v>68.83</v>
      </c>
      <c r="J298" s="3">
        <f>1350.94-H295-H296-H297-H298</f>
        <v>2.5000000000545697E-3</v>
      </c>
      <c r="K298" s="3">
        <f>216.15-I295-I296-I297-I298</f>
        <v>0</v>
      </c>
    </row>
    <row r="299" spans="1:12">
      <c r="A299" t="s">
        <v>1276</v>
      </c>
      <c r="B299" s="1">
        <v>41698</v>
      </c>
      <c r="C299" t="s">
        <v>1277</v>
      </c>
      <c r="D299">
        <v>1</v>
      </c>
      <c r="E299" t="s">
        <v>1278</v>
      </c>
      <c r="F299" s="158" t="s">
        <v>763</v>
      </c>
      <c r="G299" t="s">
        <v>900</v>
      </c>
      <c r="H299" s="2">
        <f t="shared" si="16"/>
        <v>430.12499999999994</v>
      </c>
      <c r="I299" s="25">
        <v>68.819999999999993</v>
      </c>
    </row>
    <row r="300" spans="1:12">
      <c r="A300" t="s">
        <v>1276</v>
      </c>
      <c r="B300" s="1">
        <v>41698</v>
      </c>
      <c r="C300" t="s">
        <v>1277</v>
      </c>
      <c r="D300">
        <v>1</v>
      </c>
      <c r="E300" t="s">
        <v>1278</v>
      </c>
      <c r="F300" s="164" t="s">
        <v>914</v>
      </c>
      <c r="G300" s="137" t="s">
        <v>915</v>
      </c>
      <c r="H300" s="160">
        <f t="shared" si="16"/>
        <v>334.8125</v>
      </c>
      <c r="I300" s="137">
        <v>53.57</v>
      </c>
      <c r="J300" s="3">
        <f>765-H299-H300</f>
        <v>6.2500000000056843E-2</v>
      </c>
      <c r="K300" s="3">
        <f>122.4-I299-I300</f>
        <v>1.0000000000012221E-2</v>
      </c>
      <c r="L300" t="s">
        <v>850</v>
      </c>
    </row>
    <row r="301" spans="1:12">
      <c r="A301" t="s">
        <v>1285</v>
      </c>
      <c r="B301" s="1">
        <v>41698</v>
      </c>
      <c r="C301" t="s">
        <v>1286</v>
      </c>
      <c r="D301">
        <v>1</v>
      </c>
      <c r="E301" t="s">
        <v>1287</v>
      </c>
      <c r="F301" s="149" t="s">
        <v>901</v>
      </c>
      <c r="G301" s="149" t="s">
        <v>1598</v>
      </c>
      <c r="H301" s="157">
        <f t="shared" si="16"/>
        <v>80.1875</v>
      </c>
      <c r="I301" s="149">
        <v>12.83</v>
      </c>
    </row>
    <row r="302" spans="1:12">
      <c r="A302" t="s">
        <v>1285</v>
      </c>
      <c r="B302" s="1">
        <v>41698</v>
      </c>
      <c r="C302" t="s">
        <v>1286</v>
      </c>
      <c r="D302">
        <v>1</v>
      </c>
      <c r="E302" t="s">
        <v>1287</v>
      </c>
      <c r="F302" s="137" t="s">
        <v>905</v>
      </c>
      <c r="G302" s="137" t="s">
        <v>1599</v>
      </c>
      <c r="H302" s="160">
        <f t="shared" si="16"/>
        <v>376.75</v>
      </c>
      <c r="I302" s="137">
        <v>60.28</v>
      </c>
    </row>
    <row r="303" spans="1:12">
      <c r="A303" t="s">
        <v>1285</v>
      </c>
      <c r="B303" s="1">
        <v>41698</v>
      </c>
      <c r="C303" t="s">
        <v>1286</v>
      </c>
      <c r="D303">
        <v>1</v>
      </c>
      <c r="E303" t="s">
        <v>1287</v>
      </c>
      <c r="F303" t="s">
        <v>763</v>
      </c>
      <c r="G303" t="s">
        <v>900</v>
      </c>
      <c r="H303" s="159">
        <f t="shared" si="16"/>
        <v>445.74999999999994</v>
      </c>
      <c r="I303" s="9">
        <v>71.319999999999993</v>
      </c>
      <c r="J303" s="3">
        <f>902.69-H301-H302-H303</f>
        <v>2.5000000001114131E-3</v>
      </c>
      <c r="K303" s="3">
        <f>144.43-I301-I302-I303</f>
        <v>0</v>
      </c>
    </row>
    <row r="304" spans="1:12">
      <c r="A304" t="s">
        <v>1220</v>
      </c>
      <c r="B304" s="1">
        <v>41698</v>
      </c>
      <c r="C304" t="s">
        <v>1221</v>
      </c>
      <c r="D304">
        <v>1</v>
      </c>
      <c r="E304" t="s">
        <v>1222</v>
      </c>
      <c r="F304" s="158" t="s">
        <v>964</v>
      </c>
      <c r="G304" t="s">
        <v>965</v>
      </c>
      <c r="H304" s="2">
        <f>I304/0.16</f>
        <v>83.6875</v>
      </c>
      <c r="I304" s="9">
        <v>13.39</v>
      </c>
    </row>
    <row r="305" spans="1:12">
      <c r="A305" t="s">
        <v>1220</v>
      </c>
      <c r="B305" s="1">
        <v>41698</v>
      </c>
      <c r="C305" t="s">
        <v>1221</v>
      </c>
      <c r="D305">
        <v>1</v>
      </c>
      <c r="E305" t="s">
        <v>1222</v>
      </c>
      <c r="F305" t="s">
        <v>763</v>
      </c>
      <c r="G305" t="s">
        <v>900</v>
      </c>
      <c r="H305" s="159">
        <f>I305/0.16</f>
        <v>125.93749999999999</v>
      </c>
      <c r="I305" s="9">
        <v>20.149999999999999</v>
      </c>
      <c r="J305" s="3">
        <f>209.63-H304-H305</f>
        <v>5.0000000000096634E-3</v>
      </c>
      <c r="K305" s="3">
        <f>33.54-I304-I305</f>
        <v>0</v>
      </c>
    </row>
    <row r="306" spans="1:12">
      <c r="A306" t="s">
        <v>1238</v>
      </c>
      <c r="B306" s="1">
        <v>41698</v>
      </c>
      <c r="C306" t="s">
        <v>1239</v>
      </c>
      <c r="D306">
        <v>1</v>
      </c>
      <c r="E306" t="s">
        <v>1240</v>
      </c>
      <c r="F306" s="149" t="s">
        <v>923</v>
      </c>
      <c r="G306" s="149" t="s">
        <v>924</v>
      </c>
      <c r="H306" s="157">
        <f t="shared" ref="H306:H369" si="17">I306/0.16</f>
        <v>200</v>
      </c>
      <c r="I306" s="149">
        <v>32</v>
      </c>
    </row>
    <row r="307" spans="1:12">
      <c r="A307" t="s">
        <v>1238</v>
      </c>
      <c r="B307" s="1">
        <v>41698</v>
      </c>
      <c r="C307" t="s">
        <v>1239</v>
      </c>
      <c r="D307">
        <v>1</v>
      </c>
      <c r="E307" t="s">
        <v>1240</v>
      </c>
      <c r="F307" s="137" t="s">
        <v>897</v>
      </c>
      <c r="G307" s="137" t="s">
        <v>898</v>
      </c>
      <c r="H307" s="160">
        <f t="shared" si="17"/>
        <v>66.375</v>
      </c>
      <c r="I307" s="137">
        <v>10.62</v>
      </c>
    </row>
    <row r="308" spans="1:12">
      <c r="A308" t="s">
        <v>1238</v>
      </c>
      <c r="B308" s="1">
        <v>41698</v>
      </c>
      <c r="C308" t="s">
        <v>1239</v>
      </c>
      <c r="D308">
        <v>1</v>
      </c>
      <c r="E308" t="s">
        <v>1240</v>
      </c>
      <c r="F308" s="137" t="s">
        <v>905</v>
      </c>
      <c r="G308" s="137" t="s">
        <v>1599</v>
      </c>
      <c r="H308" s="160">
        <f t="shared" si="17"/>
        <v>376.75</v>
      </c>
      <c r="I308" s="137">
        <v>60.28</v>
      </c>
    </row>
    <row r="309" spans="1:12">
      <c r="A309" t="s">
        <v>1238</v>
      </c>
      <c r="B309" s="1">
        <v>41698</v>
      </c>
      <c r="C309" t="s">
        <v>1239</v>
      </c>
      <c r="D309">
        <v>1</v>
      </c>
      <c r="E309" t="s">
        <v>1240</v>
      </c>
      <c r="F309" t="s">
        <v>763</v>
      </c>
      <c r="G309" t="s">
        <v>900</v>
      </c>
      <c r="H309" s="2">
        <f t="shared" si="17"/>
        <v>176.8125</v>
      </c>
      <c r="I309" s="9">
        <v>28.29</v>
      </c>
      <c r="J309" s="3">
        <f>819.94-H306-H307-H308-H309</f>
        <v>2.5000000000545697E-3</v>
      </c>
      <c r="K309" s="3">
        <f>131.19-I306-I307-I308-I309</f>
        <v>0</v>
      </c>
    </row>
    <row r="310" spans="1:12">
      <c r="A310" t="s">
        <v>1232</v>
      </c>
      <c r="B310" s="1">
        <v>41698</v>
      </c>
      <c r="C310" t="s">
        <v>1233</v>
      </c>
      <c r="D310">
        <v>1</v>
      </c>
      <c r="E310" t="s">
        <v>1234</v>
      </c>
      <c r="F310" s="158" t="s">
        <v>763</v>
      </c>
      <c r="G310" t="s">
        <v>900</v>
      </c>
      <c r="H310" s="159">
        <f t="shared" si="17"/>
        <v>176.8125</v>
      </c>
      <c r="I310" s="9">
        <v>28.29</v>
      </c>
    </row>
    <row r="311" spans="1:12">
      <c r="A311" t="s">
        <v>1232</v>
      </c>
      <c r="B311" s="1">
        <v>41698</v>
      </c>
      <c r="C311" t="s">
        <v>1233</v>
      </c>
      <c r="D311">
        <v>1</v>
      </c>
      <c r="E311" t="s">
        <v>1234</v>
      </c>
      <c r="F311" s="151" t="s">
        <v>903</v>
      </c>
      <c r="G311" s="149" t="s">
        <v>1593</v>
      </c>
      <c r="H311" s="157">
        <f t="shared" si="17"/>
        <v>99.125</v>
      </c>
      <c r="I311" s="149">
        <v>15.86</v>
      </c>
    </row>
    <row r="312" spans="1:12">
      <c r="A312" t="s">
        <v>1232</v>
      </c>
      <c r="B312" s="1">
        <v>41698</v>
      </c>
      <c r="C312" t="s">
        <v>1233</v>
      </c>
      <c r="D312">
        <v>1</v>
      </c>
      <c r="E312" t="s">
        <v>1234</v>
      </c>
      <c r="F312" s="151" t="s">
        <v>923</v>
      </c>
      <c r="G312" s="149" t="s">
        <v>927</v>
      </c>
      <c r="H312" s="157">
        <f t="shared" si="17"/>
        <v>200</v>
      </c>
      <c r="I312" s="149">
        <v>32</v>
      </c>
    </row>
    <row r="313" spans="1:12">
      <c r="A313" t="s">
        <v>1232</v>
      </c>
      <c r="B313" s="1">
        <v>41698</v>
      </c>
      <c r="C313" t="s">
        <v>1233</v>
      </c>
      <c r="D313">
        <v>1</v>
      </c>
      <c r="E313" t="s">
        <v>1234</v>
      </c>
      <c r="F313" s="164" t="s">
        <v>905</v>
      </c>
      <c r="G313" s="137" t="s">
        <v>1599</v>
      </c>
      <c r="H313" s="160">
        <f t="shared" si="17"/>
        <v>376.75</v>
      </c>
      <c r="I313" s="137">
        <v>60.28</v>
      </c>
      <c r="J313" s="3">
        <f>852.69-H310-H311-H312-H313</f>
        <v>2.5000000000545697E-3</v>
      </c>
      <c r="K313" s="3">
        <f>136.43-I310-I311-I312-I313</f>
        <v>0</v>
      </c>
    </row>
    <row r="314" spans="1:12">
      <c r="A314" t="s">
        <v>1299</v>
      </c>
      <c r="B314" s="1">
        <v>41698</v>
      </c>
      <c r="C314" t="s">
        <v>1300</v>
      </c>
      <c r="D314">
        <v>1</v>
      </c>
      <c r="E314" t="s">
        <v>1301</v>
      </c>
      <c r="F314" s="149" t="s">
        <v>923</v>
      </c>
      <c r="G314" s="149" t="s">
        <v>927</v>
      </c>
      <c r="H314" s="157">
        <f t="shared" si="17"/>
        <v>359.5</v>
      </c>
      <c r="I314" s="149">
        <v>57.52</v>
      </c>
    </row>
    <row r="315" spans="1:12">
      <c r="A315" t="s">
        <v>1299</v>
      </c>
      <c r="B315" s="1">
        <v>41698</v>
      </c>
      <c r="C315" t="s">
        <v>1300</v>
      </c>
      <c r="D315">
        <v>1</v>
      </c>
      <c r="E315" t="s">
        <v>1301</v>
      </c>
      <c r="F315" s="149" t="s">
        <v>1594</v>
      </c>
      <c r="G315" s="149" t="s">
        <v>1595</v>
      </c>
      <c r="H315" s="157">
        <f t="shared" si="17"/>
        <v>99.125</v>
      </c>
      <c r="I315" s="149">
        <v>15.86</v>
      </c>
    </row>
    <row r="316" spans="1:12">
      <c r="A316" t="s">
        <v>1299</v>
      </c>
      <c r="B316" s="1">
        <v>41698</v>
      </c>
      <c r="C316" t="s">
        <v>1300</v>
      </c>
      <c r="D316">
        <v>1</v>
      </c>
      <c r="E316" t="s">
        <v>1301</v>
      </c>
      <c r="F316" s="137" t="s">
        <v>962</v>
      </c>
      <c r="G316" s="137" t="s">
        <v>1602</v>
      </c>
      <c r="H316" s="160">
        <f t="shared" si="17"/>
        <v>745.25</v>
      </c>
      <c r="I316" s="137">
        <v>119.24</v>
      </c>
    </row>
    <row r="317" spans="1:12">
      <c r="A317" t="s">
        <v>1299</v>
      </c>
      <c r="B317" s="1">
        <v>41698</v>
      </c>
      <c r="C317" t="s">
        <v>1300</v>
      </c>
      <c r="D317">
        <v>1</v>
      </c>
      <c r="E317" t="s">
        <v>1301</v>
      </c>
      <c r="F317" s="137" t="s">
        <v>1603</v>
      </c>
      <c r="G317" s="137" t="s">
        <v>1604</v>
      </c>
      <c r="H317" s="160">
        <f t="shared" si="17"/>
        <v>167.4375</v>
      </c>
      <c r="I317" s="137">
        <v>26.79</v>
      </c>
    </row>
    <row r="318" spans="1:12">
      <c r="A318" t="s">
        <v>1299</v>
      </c>
      <c r="B318" s="1">
        <v>41698</v>
      </c>
      <c r="C318" t="s">
        <v>1300</v>
      </c>
      <c r="D318">
        <v>1</v>
      </c>
      <c r="E318" t="s">
        <v>1301</v>
      </c>
      <c r="F318" s="149" t="s">
        <v>1605</v>
      </c>
      <c r="G318" s="149" t="s">
        <v>1606</v>
      </c>
      <c r="H318" s="157">
        <f t="shared" si="17"/>
        <v>206.875</v>
      </c>
      <c r="I318" s="149">
        <v>33.1</v>
      </c>
    </row>
    <row r="319" spans="1:12">
      <c r="A319" t="s">
        <v>1299</v>
      </c>
      <c r="B319" s="1">
        <v>41698</v>
      </c>
      <c r="C319" t="s">
        <v>1300</v>
      </c>
      <c r="D319">
        <v>1</v>
      </c>
      <c r="E319" t="s">
        <v>1301</v>
      </c>
      <c r="F319" s="9" t="s">
        <v>763</v>
      </c>
      <c r="G319" s="9" t="s">
        <v>900</v>
      </c>
      <c r="H319" s="159">
        <f t="shared" si="17"/>
        <v>729.25</v>
      </c>
      <c r="I319" s="9">
        <v>116.68</v>
      </c>
      <c r="J319" s="3">
        <f>2276.25-H314-H315-H316-H317-H318-H319</f>
        <v>-31.1875</v>
      </c>
      <c r="K319" s="3">
        <f>364.2-I314-I315-I316-I317-I318-I319</f>
        <v>-4.9900000000000091</v>
      </c>
      <c r="L319" t="s">
        <v>850</v>
      </c>
    </row>
    <row r="320" spans="1:12">
      <c r="A320" t="s">
        <v>251</v>
      </c>
      <c r="B320" s="1">
        <v>41698</v>
      </c>
      <c r="C320" t="s">
        <v>1218</v>
      </c>
      <c r="D320">
        <v>1</v>
      </c>
      <c r="E320" t="s">
        <v>1219</v>
      </c>
      <c r="F320" s="137" t="s">
        <v>1611</v>
      </c>
      <c r="G320" s="137" t="s">
        <v>1612</v>
      </c>
      <c r="H320" s="160">
        <f t="shared" si="17"/>
        <v>778.4375</v>
      </c>
      <c r="I320" s="137">
        <v>124.55</v>
      </c>
    </row>
    <row r="321" spans="1:12">
      <c r="A321" t="s">
        <v>251</v>
      </c>
      <c r="B321" s="1">
        <v>41698</v>
      </c>
      <c r="C321" t="s">
        <v>1218</v>
      </c>
      <c r="D321">
        <v>1</v>
      </c>
      <c r="E321" t="s">
        <v>1219</v>
      </c>
      <c r="F321" s="137" t="s">
        <v>1613</v>
      </c>
      <c r="G321" s="137" t="s">
        <v>1614</v>
      </c>
      <c r="H321" s="160">
        <f t="shared" si="17"/>
        <v>861.99999999999989</v>
      </c>
      <c r="I321" s="137">
        <v>137.91999999999999</v>
      </c>
    </row>
    <row r="322" spans="1:12">
      <c r="A322" t="s">
        <v>251</v>
      </c>
      <c r="B322" s="1">
        <v>41698</v>
      </c>
      <c r="C322" t="s">
        <v>1218</v>
      </c>
      <c r="D322">
        <v>1</v>
      </c>
      <c r="E322" t="s">
        <v>1219</v>
      </c>
      <c r="F322" s="151" t="s">
        <v>1615</v>
      </c>
      <c r="G322" s="149" t="s">
        <v>1616</v>
      </c>
      <c r="H322" s="157">
        <f t="shared" si="17"/>
        <v>103.4375</v>
      </c>
      <c r="I322" s="149">
        <v>16.55</v>
      </c>
    </row>
    <row r="323" spans="1:12">
      <c r="A323" t="s">
        <v>251</v>
      </c>
      <c r="B323" s="1">
        <v>41698</v>
      </c>
      <c r="C323" t="s">
        <v>1218</v>
      </c>
      <c r="D323">
        <v>1</v>
      </c>
      <c r="E323" t="s">
        <v>1219</v>
      </c>
      <c r="F323" t="s">
        <v>763</v>
      </c>
      <c r="G323" t="s">
        <v>900</v>
      </c>
      <c r="H323" s="2">
        <f t="shared" si="17"/>
        <v>163.875</v>
      </c>
      <c r="I323" s="9">
        <v>26.22</v>
      </c>
    </row>
    <row r="324" spans="1:12">
      <c r="A324" t="s">
        <v>251</v>
      </c>
      <c r="B324" s="1">
        <v>41698</v>
      </c>
      <c r="C324" t="s">
        <v>1218</v>
      </c>
      <c r="D324">
        <v>1</v>
      </c>
      <c r="E324" t="s">
        <v>1219</v>
      </c>
      <c r="F324" t="s">
        <v>763</v>
      </c>
      <c r="G324" t="s">
        <v>900</v>
      </c>
      <c r="H324" s="159">
        <f t="shared" si="17"/>
        <v>388</v>
      </c>
      <c r="I324" s="9">
        <v>62.08</v>
      </c>
    </row>
    <row r="325" spans="1:12">
      <c r="A325" t="s">
        <v>251</v>
      </c>
      <c r="B325" s="1">
        <v>41698</v>
      </c>
      <c r="C325" t="s">
        <v>1218</v>
      </c>
      <c r="D325">
        <v>1</v>
      </c>
      <c r="E325" t="s">
        <v>1219</v>
      </c>
      <c r="F325" t="s">
        <v>763</v>
      </c>
      <c r="G325" t="s">
        <v>1548</v>
      </c>
      <c r="H325" s="159">
        <f t="shared" si="17"/>
        <v>1231.625</v>
      </c>
      <c r="I325" s="9">
        <v>197.06</v>
      </c>
      <c r="J325" s="3">
        <f>3528.5-H320-H321-H322-H323-H324-H325</f>
        <v>1.125</v>
      </c>
      <c r="K325" s="3">
        <f>564.56-I320-I321-I322-I323-I325-I324</f>
        <v>0.17999999999993577</v>
      </c>
      <c r="L325" t="s">
        <v>850</v>
      </c>
    </row>
    <row r="326" spans="1:12">
      <c r="A326" t="s">
        <v>1212</v>
      </c>
      <c r="B326" s="1">
        <v>41698</v>
      </c>
      <c r="C326" t="s">
        <v>1213</v>
      </c>
      <c r="D326">
        <v>1</v>
      </c>
      <c r="E326" t="s">
        <v>1214</v>
      </c>
      <c r="F326" t="s">
        <v>763</v>
      </c>
      <c r="G326" t="s">
        <v>900</v>
      </c>
      <c r="H326" s="159">
        <f t="shared" si="17"/>
        <v>611.375</v>
      </c>
      <c r="I326" s="165">
        <v>97.82</v>
      </c>
    </row>
    <row r="327" spans="1:12">
      <c r="A327" t="s">
        <v>1212</v>
      </c>
      <c r="B327" s="1">
        <v>41698</v>
      </c>
      <c r="C327" t="s">
        <v>1213</v>
      </c>
      <c r="D327">
        <v>1</v>
      </c>
      <c r="E327" t="s">
        <v>1214</v>
      </c>
      <c r="F327" s="149" t="s">
        <v>903</v>
      </c>
      <c r="G327" s="149" t="s">
        <v>1593</v>
      </c>
      <c r="H327" s="157">
        <f t="shared" si="17"/>
        <v>73.25</v>
      </c>
      <c r="I327" s="166">
        <v>11.72</v>
      </c>
    </row>
    <row r="328" spans="1:12">
      <c r="A328" t="s">
        <v>1212</v>
      </c>
      <c r="B328" s="1">
        <v>41698</v>
      </c>
      <c r="C328" t="s">
        <v>1213</v>
      </c>
      <c r="D328">
        <v>1</v>
      </c>
      <c r="E328" t="s">
        <v>1214</v>
      </c>
      <c r="F328" s="137" t="s">
        <v>1613</v>
      </c>
      <c r="G328" s="137" t="s">
        <v>1614</v>
      </c>
      <c r="H328" s="160">
        <f t="shared" si="17"/>
        <v>753.375</v>
      </c>
      <c r="I328" s="167">
        <v>120.54</v>
      </c>
    </row>
    <row r="329" spans="1:12">
      <c r="A329" t="s">
        <v>1212</v>
      </c>
      <c r="B329" s="1">
        <v>41698</v>
      </c>
      <c r="C329" t="s">
        <v>1213</v>
      </c>
      <c r="D329">
        <v>1</v>
      </c>
      <c r="E329" t="s">
        <v>1214</v>
      </c>
      <c r="F329" s="137" t="s">
        <v>839</v>
      </c>
      <c r="G329" s="137" t="s">
        <v>1567</v>
      </c>
      <c r="H329" s="160">
        <f t="shared" si="17"/>
        <v>83.6875</v>
      </c>
      <c r="I329" s="143">
        <v>13.39</v>
      </c>
    </row>
    <row r="330" spans="1:12">
      <c r="A330" t="s">
        <v>1212</v>
      </c>
      <c r="B330" s="1">
        <v>41698</v>
      </c>
      <c r="C330" t="s">
        <v>1213</v>
      </c>
      <c r="D330">
        <v>1</v>
      </c>
      <c r="E330" t="s">
        <v>1214</v>
      </c>
      <c r="F330" s="137" t="s">
        <v>1617</v>
      </c>
      <c r="G330" s="137" t="s">
        <v>1618</v>
      </c>
      <c r="H330" s="160">
        <f t="shared" si="17"/>
        <v>727.5</v>
      </c>
      <c r="I330" s="143">
        <v>116.4</v>
      </c>
      <c r="J330" s="3">
        <f>2249.19-H326-H327-H328-H329-H330</f>
        <v>2.5000000000545697E-3</v>
      </c>
      <c r="K330" s="3">
        <f>359.87-I326-I327-I328-I329-I330</f>
        <v>0</v>
      </c>
    </row>
    <row r="331" spans="1:12">
      <c r="A331" t="s">
        <v>1279</v>
      </c>
      <c r="B331" s="1">
        <v>41698</v>
      </c>
      <c r="C331" t="s">
        <v>1280</v>
      </c>
      <c r="D331">
        <v>1</v>
      </c>
      <c r="E331" t="s">
        <v>1281</v>
      </c>
      <c r="F331" s="137" t="s">
        <v>1619</v>
      </c>
      <c r="G331" s="137" t="s">
        <v>1620</v>
      </c>
      <c r="H331" s="160">
        <f t="shared" si="17"/>
        <v>99.125</v>
      </c>
      <c r="I331" s="137">
        <v>15.86</v>
      </c>
    </row>
    <row r="332" spans="1:12">
      <c r="A332" t="s">
        <v>1279</v>
      </c>
      <c r="B332" s="1">
        <v>41698</v>
      </c>
      <c r="C332" t="s">
        <v>1280</v>
      </c>
      <c r="D332">
        <v>1</v>
      </c>
      <c r="E332" t="s">
        <v>1281</v>
      </c>
      <c r="F332" s="149" t="s">
        <v>1621</v>
      </c>
      <c r="G332" s="149" t="s">
        <v>1622</v>
      </c>
      <c r="H332" s="157">
        <f t="shared" si="17"/>
        <v>267.8125</v>
      </c>
      <c r="I332" s="149">
        <v>42.85</v>
      </c>
    </row>
    <row r="333" spans="1:12">
      <c r="A333" t="s">
        <v>1279</v>
      </c>
      <c r="B333" s="1">
        <v>41698</v>
      </c>
      <c r="C333" t="s">
        <v>1280</v>
      </c>
      <c r="D333">
        <v>1</v>
      </c>
      <c r="E333" t="s">
        <v>1281</v>
      </c>
      <c r="F333" s="164" t="s">
        <v>1623</v>
      </c>
      <c r="G333" s="137" t="s">
        <v>1624</v>
      </c>
      <c r="H333" s="160">
        <f t="shared" si="17"/>
        <v>477.87499999999994</v>
      </c>
      <c r="I333" s="137">
        <v>76.459999999999994</v>
      </c>
    </row>
    <row r="334" spans="1:12">
      <c r="A334" t="s">
        <v>1279</v>
      </c>
      <c r="B334" s="1">
        <v>41698</v>
      </c>
      <c r="C334" t="s">
        <v>1280</v>
      </c>
      <c r="D334">
        <v>1</v>
      </c>
      <c r="E334" t="s">
        <v>1281</v>
      </c>
      <c r="F334" s="158" t="s">
        <v>763</v>
      </c>
      <c r="G334" t="s">
        <v>900</v>
      </c>
      <c r="H334" s="2">
        <f t="shared" si="17"/>
        <v>560.4375</v>
      </c>
      <c r="I334" s="9">
        <v>89.67</v>
      </c>
      <c r="J334" s="3">
        <f>1405.25-H331-H332-H333-H334</f>
        <v>0</v>
      </c>
      <c r="K334" s="3">
        <f>224.84-I331-I332-I333-I334</f>
        <v>0</v>
      </c>
    </row>
    <row r="335" spans="1:12">
      <c r="A335" t="s">
        <v>1215</v>
      </c>
      <c r="B335" s="1">
        <v>41698</v>
      </c>
      <c r="C335" t="s">
        <v>1216</v>
      </c>
      <c r="D335">
        <v>1</v>
      </c>
      <c r="E335" t="s">
        <v>1217</v>
      </c>
      <c r="F335" s="9" t="s">
        <v>763</v>
      </c>
      <c r="G335" s="9" t="s">
        <v>1627</v>
      </c>
      <c r="H335" s="159">
        <f t="shared" si="17"/>
        <v>480.1875</v>
      </c>
      <c r="I335" s="9">
        <v>76.83</v>
      </c>
    </row>
    <row r="336" spans="1:12">
      <c r="A336" t="s">
        <v>1215</v>
      </c>
      <c r="B336" s="1">
        <v>41698</v>
      </c>
      <c r="C336" t="s">
        <v>1216</v>
      </c>
      <c r="D336">
        <v>1</v>
      </c>
      <c r="E336" t="s">
        <v>1217</v>
      </c>
      <c r="F336" s="9" t="s">
        <v>763</v>
      </c>
      <c r="G336" s="9" t="s">
        <v>900</v>
      </c>
      <c r="H336" s="159">
        <f t="shared" si="17"/>
        <v>826.81249999999989</v>
      </c>
      <c r="I336" s="9">
        <v>132.29</v>
      </c>
    </row>
    <row r="337" spans="1:11">
      <c r="A337" t="s">
        <v>1215</v>
      </c>
      <c r="B337" s="1">
        <v>41698</v>
      </c>
      <c r="C337" t="s">
        <v>1216</v>
      </c>
      <c r="D337">
        <v>1</v>
      </c>
      <c r="E337" t="s">
        <v>1217</v>
      </c>
      <c r="F337" s="137" t="s">
        <v>921</v>
      </c>
      <c r="G337" s="137" t="s">
        <v>1628</v>
      </c>
      <c r="H337" s="160">
        <f t="shared" si="17"/>
        <v>517.25</v>
      </c>
      <c r="I337" s="137">
        <v>82.76</v>
      </c>
      <c r="J337" s="3">
        <f>1824.25-H335-H336-H337</f>
        <v>0</v>
      </c>
      <c r="K337" s="3">
        <f>291.88-I335-I336-I337</f>
        <v>0</v>
      </c>
    </row>
    <row r="338" spans="1:11">
      <c r="A338" t="s">
        <v>1288</v>
      </c>
      <c r="B338" s="1">
        <v>41698</v>
      </c>
      <c r="C338" t="s">
        <v>1289</v>
      </c>
      <c r="D338">
        <v>1</v>
      </c>
      <c r="E338" t="s">
        <v>1290</v>
      </c>
      <c r="F338" s="149" t="s">
        <v>923</v>
      </c>
      <c r="G338" s="149" t="s">
        <v>924</v>
      </c>
      <c r="H338" s="157">
        <f t="shared" si="17"/>
        <v>298.25</v>
      </c>
      <c r="I338" s="149">
        <v>47.72</v>
      </c>
    </row>
    <row r="339" spans="1:11">
      <c r="A339" t="s">
        <v>1288</v>
      </c>
      <c r="B339" s="1">
        <v>41698</v>
      </c>
      <c r="C339" t="s">
        <v>1289</v>
      </c>
      <c r="D339">
        <v>1</v>
      </c>
      <c r="E339" t="s">
        <v>1290</v>
      </c>
      <c r="F339" s="151" t="s">
        <v>1629</v>
      </c>
      <c r="G339" s="149" t="s">
        <v>1630</v>
      </c>
      <c r="H339" s="157">
        <f t="shared" si="17"/>
        <v>901.75</v>
      </c>
      <c r="I339" s="149">
        <v>144.28</v>
      </c>
    </row>
    <row r="340" spans="1:11">
      <c r="A340" t="s">
        <v>1288</v>
      </c>
      <c r="B340" s="1">
        <v>41698</v>
      </c>
      <c r="C340" t="s">
        <v>1289</v>
      </c>
      <c r="D340">
        <v>1</v>
      </c>
      <c r="E340" t="s">
        <v>1290</v>
      </c>
      <c r="F340" s="151" t="s">
        <v>1629</v>
      </c>
      <c r="G340" s="149" t="s">
        <v>1630</v>
      </c>
      <c r="H340" s="157">
        <f t="shared" si="17"/>
        <v>522.4375</v>
      </c>
      <c r="I340" s="149">
        <v>83.59</v>
      </c>
    </row>
    <row r="341" spans="1:11">
      <c r="A341" t="s">
        <v>1288</v>
      </c>
      <c r="B341" s="1">
        <v>41698</v>
      </c>
      <c r="C341" t="s">
        <v>1289</v>
      </c>
      <c r="D341">
        <v>1</v>
      </c>
      <c r="E341" t="s">
        <v>1290</v>
      </c>
      <c r="F341" s="164" t="s">
        <v>1631</v>
      </c>
      <c r="G341" s="137" t="s">
        <v>1632</v>
      </c>
      <c r="H341" s="160">
        <f t="shared" si="17"/>
        <v>550.5625</v>
      </c>
      <c r="I341" s="137">
        <v>88.09</v>
      </c>
    </row>
    <row r="342" spans="1:11">
      <c r="A342" t="s">
        <v>1288</v>
      </c>
      <c r="B342" s="1">
        <v>41698</v>
      </c>
      <c r="C342" t="s">
        <v>1289</v>
      </c>
      <c r="D342">
        <v>1</v>
      </c>
      <c r="E342" t="s">
        <v>1290</v>
      </c>
      <c r="F342" s="151" t="s">
        <v>1633</v>
      </c>
      <c r="G342" s="149" t="s">
        <v>1634</v>
      </c>
      <c r="H342" s="157">
        <f t="shared" si="17"/>
        <v>115.5</v>
      </c>
      <c r="I342" s="149">
        <v>18.48</v>
      </c>
    </row>
    <row r="343" spans="1:11">
      <c r="A343" t="s">
        <v>1288</v>
      </c>
      <c r="B343" s="1">
        <v>41698</v>
      </c>
      <c r="C343" t="s">
        <v>1289</v>
      </c>
      <c r="D343">
        <v>1</v>
      </c>
      <c r="E343" t="s">
        <v>1290</v>
      </c>
      <c r="F343" s="151" t="s">
        <v>1635</v>
      </c>
      <c r="G343" s="149" t="s">
        <v>1636</v>
      </c>
      <c r="H343" s="157">
        <f t="shared" si="17"/>
        <v>86.187499999999986</v>
      </c>
      <c r="I343" s="149">
        <v>13.79</v>
      </c>
    </row>
    <row r="344" spans="1:11">
      <c r="A344" t="s">
        <v>1288</v>
      </c>
      <c r="B344" s="1">
        <v>41698</v>
      </c>
      <c r="C344" t="s">
        <v>1289</v>
      </c>
      <c r="D344">
        <v>1</v>
      </c>
      <c r="E344" t="s">
        <v>1290</v>
      </c>
      <c r="F344" s="151" t="s">
        <v>948</v>
      </c>
      <c r="G344" s="149" t="s">
        <v>1637</v>
      </c>
      <c r="H344" s="157">
        <f t="shared" si="17"/>
        <v>86.187499999999986</v>
      </c>
      <c r="I344" s="149">
        <v>13.79</v>
      </c>
    </row>
    <row r="345" spans="1:11">
      <c r="A345" t="s">
        <v>1288</v>
      </c>
      <c r="B345" s="1">
        <v>41698</v>
      </c>
      <c r="C345" t="s">
        <v>1289</v>
      </c>
      <c r="D345">
        <v>1</v>
      </c>
      <c r="E345" t="s">
        <v>1290</v>
      </c>
      <c r="F345" s="164" t="s">
        <v>925</v>
      </c>
      <c r="G345" s="137" t="s">
        <v>926</v>
      </c>
      <c r="H345" s="160">
        <f t="shared" si="17"/>
        <v>311.625</v>
      </c>
      <c r="I345" s="137">
        <v>49.86</v>
      </c>
    </row>
    <row r="346" spans="1:11">
      <c r="A346" t="s">
        <v>1288</v>
      </c>
      <c r="B346" s="1">
        <v>41698</v>
      </c>
      <c r="C346" t="s">
        <v>1289</v>
      </c>
      <c r="D346">
        <v>1</v>
      </c>
      <c r="E346" t="s">
        <v>1290</v>
      </c>
      <c r="F346" s="151" t="s">
        <v>1638</v>
      </c>
      <c r="G346" s="149" t="s">
        <v>1639</v>
      </c>
      <c r="H346" s="157">
        <f t="shared" si="17"/>
        <v>296.625</v>
      </c>
      <c r="I346" s="149">
        <v>47.46</v>
      </c>
    </row>
    <row r="347" spans="1:11">
      <c r="A347" t="s">
        <v>1288</v>
      </c>
      <c r="B347" s="1">
        <v>41698</v>
      </c>
      <c r="C347" t="s">
        <v>1289</v>
      </c>
      <c r="D347">
        <v>1</v>
      </c>
      <c r="E347" t="s">
        <v>1290</v>
      </c>
      <c r="F347" s="164" t="s">
        <v>1640</v>
      </c>
      <c r="G347" s="137" t="s">
        <v>1641</v>
      </c>
      <c r="H347" s="160">
        <f t="shared" si="17"/>
        <v>586.0625</v>
      </c>
      <c r="I347" s="137">
        <v>93.77</v>
      </c>
    </row>
    <row r="348" spans="1:11">
      <c r="A348" t="s">
        <v>1288</v>
      </c>
      <c r="B348" s="1">
        <v>41698</v>
      </c>
      <c r="C348" t="s">
        <v>1289</v>
      </c>
      <c r="D348">
        <v>1</v>
      </c>
      <c r="E348" t="s">
        <v>1290</v>
      </c>
      <c r="F348" s="164" t="s">
        <v>1642</v>
      </c>
      <c r="G348" s="137" t="s">
        <v>1643</v>
      </c>
      <c r="H348" s="160">
        <f t="shared" si="17"/>
        <v>560.9375</v>
      </c>
      <c r="I348" s="137">
        <v>89.75</v>
      </c>
    </row>
    <row r="349" spans="1:11">
      <c r="A349" t="s">
        <v>1288</v>
      </c>
      <c r="B349" s="1">
        <v>41698</v>
      </c>
      <c r="C349" t="s">
        <v>1289</v>
      </c>
      <c r="D349">
        <v>1</v>
      </c>
      <c r="E349" t="s">
        <v>1290</v>
      </c>
      <c r="F349" s="151" t="s">
        <v>1644</v>
      </c>
      <c r="G349" s="149" t="s">
        <v>1645</v>
      </c>
      <c r="H349" s="157">
        <f t="shared" si="17"/>
        <v>519.4375</v>
      </c>
      <c r="I349" s="149">
        <v>83.11</v>
      </c>
    </row>
    <row r="350" spans="1:11">
      <c r="A350" t="s">
        <v>1288</v>
      </c>
      <c r="B350" s="1">
        <v>41698</v>
      </c>
      <c r="C350" t="s">
        <v>1289</v>
      </c>
      <c r="D350">
        <v>1</v>
      </c>
      <c r="E350" t="s">
        <v>1290</v>
      </c>
      <c r="F350" s="158" t="s">
        <v>763</v>
      </c>
      <c r="G350" t="s">
        <v>900</v>
      </c>
      <c r="H350" s="159">
        <f t="shared" si="17"/>
        <v>1091.5</v>
      </c>
      <c r="I350" s="9">
        <v>174.64</v>
      </c>
      <c r="J350" s="3">
        <f>5927.06-H338-H339-H340-H341-H342-H343-H344-H345-H346-H347-H348-H349-H350</f>
        <v>-2.4999999995998223E-3</v>
      </c>
      <c r="K350" s="3">
        <f>948.33-I338-I339-I340-I341-I342-I343-I344-I345-I346-I347-I348-I349-I350</f>
        <v>0</v>
      </c>
    </row>
    <row r="351" spans="1:11">
      <c r="A351" t="s">
        <v>1293</v>
      </c>
      <c r="B351" s="1">
        <v>41698</v>
      </c>
      <c r="C351" t="s">
        <v>1294</v>
      </c>
      <c r="D351">
        <v>1</v>
      </c>
      <c r="E351" t="s">
        <v>1295</v>
      </c>
      <c r="F351" t="s">
        <v>763</v>
      </c>
      <c r="G351" t="s">
        <v>900</v>
      </c>
      <c r="H351" s="159">
        <f t="shared" si="17"/>
        <v>607.9375</v>
      </c>
      <c r="I351" s="9">
        <v>97.27</v>
      </c>
    </row>
    <row r="352" spans="1:11">
      <c r="A352" t="s">
        <v>1293</v>
      </c>
      <c r="B352" s="1">
        <v>41698</v>
      </c>
      <c r="C352" t="s">
        <v>1294</v>
      </c>
      <c r="D352">
        <v>1</v>
      </c>
      <c r="E352" t="s">
        <v>1295</v>
      </c>
      <c r="F352" s="151" t="s">
        <v>1649</v>
      </c>
      <c r="G352" s="149" t="s">
        <v>1650</v>
      </c>
      <c r="H352" s="157">
        <f t="shared" si="17"/>
        <v>426.75</v>
      </c>
      <c r="I352" s="149">
        <v>68.28</v>
      </c>
    </row>
    <row r="353" spans="1:12">
      <c r="A353" t="s">
        <v>1293</v>
      </c>
      <c r="B353" s="1">
        <v>41698</v>
      </c>
      <c r="C353" t="s">
        <v>1294</v>
      </c>
      <c r="D353">
        <v>1</v>
      </c>
      <c r="E353" t="s">
        <v>1295</v>
      </c>
      <c r="F353" s="149" t="s">
        <v>1629</v>
      </c>
      <c r="G353" s="149" t="s">
        <v>1630</v>
      </c>
      <c r="H353" s="157">
        <f t="shared" si="17"/>
        <v>667.25</v>
      </c>
      <c r="I353" s="149">
        <v>106.76</v>
      </c>
    </row>
    <row r="354" spans="1:12">
      <c r="A354" t="s">
        <v>1293</v>
      </c>
      <c r="B354" s="1">
        <v>41698</v>
      </c>
      <c r="C354" t="s">
        <v>1294</v>
      </c>
      <c r="D354">
        <v>1</v>
      </c>
      <c r="E354" t="s">
        <v>1295</v>
      </c>
      <c r="F354" s="137" t="s">
        <v>1619</v>
      </c>
      <c r="G354" s="137" t="s">
        <v>1620</v>
      </c>
      <c r="H354" s="160">
        <f t="shared" si="17"/>
        <v>116.375</v>
      </c>
      <c r="I354" s="137">
        <v>18.62</v>
      </c>
    </row>
    <row r="355" spans="1:12">
      <c r="A355" t="s">
        <v>1293</v>
      </c>
      <c r="B355" s="1">
        <v>41698</v>
      </c>
      <c r="C355" t="s">
        <v>1294</v>
      </c>
      <c r="D355">
        <v>1</v>
      </c>
      <c r="E355" t="s">
        <v>1295</v>
      </c>
      <c r="F355" s="137" t="s">
        <v>1613</v>
      </c>
      <c r="G355" s="137" t="s">
        <v>1614</v>
      </c>
      <c r="H355" s="160">
        <f t="shared" si="17"/>
        <v>706.875</v>
      </c>
      <c r="I355" s="137">
        <v>113.1</v>
      </c>
    </row>
    <row r="356" spans="1:12">
      <c r="A356" t="s">
        <v>1293</v>
      </c>
      <c r="B356" s="1">
        <v>41698</v>
      </c>
      <c r="C356" t="s">
        <v>1294</v>
      </c>
      <c r="D356">
        <v>1</v>
      </c>
      <c r="E356" t="s">
        <v>1295</v>
      </c>
      <c r="F356" s="137" t="s">
        <v>1617</v>
      </c>
      <c r="G356" s="137" t="s">
        <v>1618</v>
      </c>
      <c r="H356" s="160">
        <f t="shared" si="17"/>
        <v>684.6875</v>
      </c>
      <c r="I356" s="137">
        <v>109.55</v>
      </c>
    </row>
    <row r="357" spans="1:12">
      <c r="A357" t="s">
        <v>1293</v>
      </c>
      <c r="B357" s="1">
        <v>41698</v>
      </c>
      <c r="C357" t="s">
        <v>1294</v>
      </c>
      <c r="D357">
        <v>1</v>
      </c>
      <c r="E357" t="s">
        <v>1295</v>
      </c>
      <c r="F357" s="137" t="s">
        <v>919</v>
      </c>
      <c r="G357" s="137" t="s">
        <v>1651</v>
      </c>
      <c r="H357" s="160">
        <f t="shared" si="17"/>
        <v>83.6875</v>
      </c>
      <c r="I357" s="137">
        <v>13.39</v>
      </c>
      <c r="J357" s="3">
        <f>3338.38-H351-H352-H353-H354-H355-H356-H357</f>
        <v>44.817500000000109</v>
      </c>
      <c r="K357" s="3">
        <f>534.14-I351-I352-I353-I354-I355-I356-I357</f>
        <v>7.1700000000000443</v>
      </c>
      <c r="L357" t="s">
        <v>850</v>
      </c>
    </row>
    <row r="358" spans="1:12">
      <c r="A358" t="s">
        <v>1291</v>
      </c>
      <c r="B358" s="1">
        <v>41698</v>
      </c>
      <c r="C358">
        <v>9755</v>
      </c>
      <c r="D358">
        <v>1</v>
      </c>
      <c r="E358" t="s">
        <v>1292</v>
      </c>
      <c r="F358" s="149" t="s">
        <v>923</v>
      </c>
      <c r="G358" s="149" t="s">
        <v>924</v>
      </c>
      <c r="H358" s="157">
        <f t="shared" si="17"/>
        <v>286.1875</v>
      </c>
      <c r="I358" s="149">
        <v>45.79</v>
      </c>
    </row>
    <row r="359" spans="1:12">
      <c r="A359" t="s">
        <v>1291</v>
      </c>
      <c r="B359" s="1">
        <v>41698</v>
      </c>
      <c r="C359">
        <v>9755</v>
      </c>
      <c r="D359">
        <v>1</v>
      </c>
      <c r="E359" t="s">
        <v>1292</v>
      </c>
      <c r="F359" s="137" t="s">
        <v>1652</v>
      </c>
      <c r="G359" s="137" t="s">
        <v>1653</v>
      </c>
      <c r="H359" s="160">
        <f t="shared" si="17"/>
        <v>251.125</v>
      </c>
      <c r="I359" s="137">
        <v>40.18</v>
      </c>
    </row>
    <row r="360" spans="1:12">
      <c r="A360" t="s">
        <v>1291</v>
      </c>
      <c r="B360" s="1">
        <v>41698</v>
      </c>
      <c r="C360">
        <v>9755</v>
      </c>
      <c r="D360">
        <v>1</v>
      </c>
      <c r="E360" t="s">
        <v>1292</v>
      </c>
      <c r="F360" s="149" t="s">
        <v>907</v>
      </c>
      <c r="G360" s="149" t="s">
        <v>908</v>
      </c>
      <c r="H360" s="157">
        <f t="shared" si="17"/>
        <v>84.5</v>
      </c>
      <c r="I360" s="149">
        <v>13.52</v>
      </c>
    </row>
    <row r="361" spans="1:12">
      <c r="A361" t="s">
        <v>1291</v>
      </c>
      <c r="B361" s="1">
        <v>41698</v>
      </c>
      <c r="C361">
        <v>9755</v>
      </c>
      <c r="D361">
        <v>1</v>
      </c>
      <c r="E361" t="s">
        <v>1292</v>
      </c>
      <c r="F361" t="s">
        <v>763</v>
      </c>
      <c r="G361" t="s">
        <v>1554</v>
      </c>
      <c r="H361" s="2">
        <f t="shared" si="17"/>
        <v>44.8125</v>
      </c>
      <c r="I361" s="9">
        <v>7.17</v>
      </c>
      <c r="J361" s="3">
        <f>666.63-H358-H359-H360-H361</f>
        <v>4.9999999999954525E-3</v>
      </c>
      <c r="K361" s="3">
        <f>106.66-I358-I359-I360-I361</f>
        <v>0</v>
      </c>
    </row>
    <row r="362" spans="1:12">
      <c r="A362" t="s">
        <v>1282</v>
      </c>
      <c r="B362" s="1">
        <v>41698</v>
      </c>
      <c r="C362" t="s">
        <v>1283</v>
      </c>
      <c r="D362">
        <v>1</v>
      </c>
      <c r="E362" t="s">
        <v>1284</v>
      </c>
      <c r="F362" t="s">
        <v>763</v>
      </c>
      <c r="G362" t="s">
        <v>900</v>
      </c>
      <c r="H362" s="159">
        <f t="shared" si="17"/>
        <v>379.3125</v>
      </c>
      <c r="I362" s="9">
        <v>60.69</v>
      </c>
    </row>
    <row r="363" spans="1:12">
      <c r="A363" t="s">
        <v>1282</v>
      </c>
      <c r="B363" s="1">
        <v>41698</v>
      </c>
      <c r="C363" t="s">
        <v>1283</v>
      </c>
      <c r="D363">
        <v>1</v>
      </c>
      <c r="E363" t="s">
        <v>1284</v>
      </c>
      <c r="F363" s="149" t="s">
        <v>903</v>
      </c>
      <c r="G363" s="149" t="s">
        <v>1593</v>
      </c>
      <c r="H363" s="157">
        <f t="shared" si="17"/>
        <v>66.375</v>
      </c>
      <c r="I363" s="149">
        <v>10.62</v>
      </c>
    </row>
    <row r="364" spans="1:12">
      <c r="A364" t="s">
        <v>1282</v>
      </c>
      <c r="B364" s="1">
        <v>41698</v>
      </c>
      <c r="C364" t="s">
        <v>1283</v>
      </c>
      <c r="D364">
        <v>1</v>
      </c>
      <c r="E364" t="s">
        <v>1284</v>
      </c>
      <c r="F364" s="151" t="s">
        <v>923</v>
      </c>
      <c r="G364" s="149" t="s">
        <v>927</v>
      </c>
      <c r="H364" s="157">
        <f t="shared" si="17"/>
        <v>53.4375</v>
      </c>
      <c r="I364" s="149">
        <v>8.5500000000000007</v>
      </c>
    </row>
    <row r="365" spans="1:12">
      <c r="A365" t="s">
        <v>1282</v>
      </c>
      <c r="B365" s="1">
        <v>41698</v>
      </c>
      <c r="C365" t="s">
        <v>1283</v>
      </c>
      <c r="D365">
        <v>1</v>
      </c>
      <c r="E365" t="s">
        <v>1284</v>
      </c>
      <c r="F365" s="151" t="s">
        <v>1654</v>
      </c>
      <c r="G365" s="149" t="s">
        <v>1655</v>
      </c>
      <c r="H365" s="157">
        <f t="shared" si="17"/>
        <v>211.1875</v>
      </c>
      <c r="I365" s="149">
        <v>33.79</v>
      </c>
    </row>
    <row r="366" spans="1:12">
      <c r="A366" t="s">
        <v>1282</v>
      </c>
      <c r="B366" s="1">
        <v>41698</v>
      </c>
      <c r="C366" t="s">
        <v>1283</v>
      </c>
      <c r="D366">
        <v>1</v>
      </c>
      <c r="E366" t="s">
        <v>1284</v>
      </c>
      <c r="F366" s="164" t="s">
        <v>932</v>
      </c>
      <c r="G366" s="137" t="s">
        <v>933</v>
      </c>
      <c r="H366" s="160">
        <f t="shared" si="17"/>
        <v>334.8125</v>
      </c>
      <c r="I366" s="137">
        <v>53.57</v>
      </c>
      <c r="J366" s="3">
        <f>780.5-H362-H363-H364-H365-H366</f>
        <v>-264.625</v>
      </c>
      <c r="K366" s="3">
        <f>124.88-I362-I363-I364-I365-I366</f>
        <v>-42.34</v>
      </c>
      <c r="L366" t="s">
        <v>850</v>
      </c>
    </row>
    <row r="367" spans="1:12">
      <c r="A367" t="s">
        <v>1296</v>
      </c>
      <c r="B367" s="1">
        <v>41698</v>
      </c>
      <c r="C367" t="s">
        <v>1297</v>
      </c>
      <c r="D367">
        <v>1</v>
      </c>
      <c r="E367" t="s">
        <v>1298</v>
      </c>
      <c r="F367" s="149" t="s">
        <v>903</v>
      </c>
      <c r="G367" s="149" t="s">
        <v>1593</v>
      </c>
      <c r="H367" s="157">
        <f t="shared" si="17"/>
        <v>66.375</v>
      </c>
      <c r="I367" s="149">
        <v>10.62</v>
      </c>
    </row>
    <row r="368" spans="1:12">
      <c r="A368" t="s">
        <v>1296</v>
      </c>
      <c r="B368" s="1">
        <v>41698</v>
      </c>
      <c r="C368" t="s">
        <v>1297</v>
      </c>
      <c r="D368">
        <v>1</v>
      </c>
      <c r="E368" t="s">
        <v>1298</v>
      </c>
      <c r="F368" s="149" t="s">
        <v>923</v>
      </c>
      <c r="G368" s="149" t="s">
        <v>927</v>
      </c>
      <c r="H368" s="157">
        <f t="shared" si="17"/>
        <v>53.4375</v>
      </c>
      <c r="I368" s="149">
        <v>8.5500000000000007</v>
      </c>
    </row>
    <row r="369" spans="1:12">
      <c r="A369" t="s">
        <v>1296</v>
      </c>
      <c r="B369" s="1">
        <v>41698</v>
      </c>
      <c r="C369" t="s">
        <v>1297</v>
      </c>
      <c r="D369">
        <v>1</v>
      </c>
      <c r="E369" t="s">
        <v>1298</v>
      </c>
      <c r="F369" s="149" t="s">
        <v>1654</v>
      </c>
      <c r="G369" s="149" t="s">
        <v>1655</v>
      </c>
      <c r="H369" s="157">
        <f t="shared" si="17"/>
        <v>211.1875</v>
      </c>
      <c r="I369" s="149">
        <v>33.79</v>
      </c>
    </row>
    <row r="370" spans="1:12">
      <c r="A370" t="s">
        <v>1296</v>
      </c>
      <c r="B370" s="1">
        <v>41698</v>
      </c>
      <c r="C370" t="s">
        <v>1297</v>
      </c>
      <c r="D370">
        <v>1</v>
      </c>
      <c r="E370" t="s">
        <v>1298</v>
      </c>
      <c r="F370" s="137" t="s">
        <v>932</v>
      </c>
      <c r="G370" s="137" t="s">
        <v>1656</v>
      </c>
      <c r="H370" s="160">
        <f t="shared" ref="H370:H375" si="18">I370/0.16</f>
        <v>293</v>
      </c>
      <c r="I370" s="137">
        <v>46.88</v>
      </c>
    </row>
    <row r="371" spans="1:12">
      <c r="A371" t="s">
        <v>1296</v>
      </c>
      <c r="B371" s="1">
        <v>41698</v>
      </c>
      <c r="C371" t="s">
        <v>1297</v>
      </c>
      <c r="D371">
        <v>1</v>
      </c>
      <c r="E371" t="s">
        <v>1298</v>
      </c>
      <c r="F371" s="9" t="s">
        <v>1553</v>
      </c>
      <c r="G371" s="9" t="s">
        <v>900</v>
      </c>
      <c r="H371" s="159">
        <f t="shared" si="18"/>
        <v>114.6875</v>
      </c>
      <c r="I371" s="9">
        <v>18.350000000000001</v>
      </c>
      <c r="J371" s="3">
        <f>738.69-H367-H368-H369-H370-H371</f>
        <v>2.5000000000545697E-3</v>
      </c>
      <c r="K371" s="3">
        <f>118.19-I367-I368-I369-I370-I371</f>
        <v>0</v>
      </c>
    </row>
    <row r="372" spans="1:12">
      <c r="A372" t="s">
        <v>1235</v>
      </c>
      <c r="B372" s="1">
        <v>41698</v>
      </c>
      <c r="C372" t="s">
        <v>1236</v>
      </c>
      <c r="D372">
        <v>1</v>
      </c>
      <c r="E372" t="s">
        <v>1237</v>
      </c>
      <c r="F372" s="158" t="s">
        <v>763</v>
      </c>
      <c r="G372" t="s">
        <v>900</v>
      </c>
      <c r="H372" s="159">
        <f t="shared" si="18"/>
        <v>706.875</v>
      </c>
      <c r="I372" s="9">
        <v>113.1</v>
      </c>
    </row>
    <row r="373" spans="1:12">
      <c r="A373" t="s">
        <v>1235</v>
      </c>
      <c r="B373" s="1">
        <v>41698</v>
      </c>
      <c r="C373" t="s">
        <v>1236</v>
      </c>
      <c r="D373">
        <v>1</v>
      </c>
      <c r="E373" t="s">
        <v>1237</v>
      </c>
      <c r="F373" s="137" t="s">
        <v>914</v>
      </c>
      <c r="G373" s="137" t="s">
        <v>915</v>
      </c>
      <c r="H373" s="160">
        <f t="shared" si="18"/>
        <v>334.8125</v>
      </c>
      <c r="I373" s="137">
        <v>53.57</v>
      </c>
    </row>
    <row r="374" spans="1:12">
      <c r="A374" t="s">
        <v>1235</v>
      </c>
      <c r="B374" s="1">
        <v>41698</v>
      </c>
      <c r="C374" t="s">
        <v>1236</v>
      </c>
      <c r="D374">
        <v>1</v>
      </c>
      <c r="E374" t="s">
        <v>1237</v>
      </c>
      <c r="F374" s="151" t="s">
        <v>1594</v>
      </c>
      <c r="G374" s="149" t="s">
        <v>1595</v>
      </c>
      <c r="H374" s="157">
        <f t="shared" si="18"/>
        <v>100.875</v>
      </c>
      <c r="I374" s="149">
        <v>16.14</v>
      </c>
    </row>
    <row r="375" spans="1:12">
      <c r="A375" t="s">
        <v>1235</v>
      </c>
      <c r="B375" s="1">
        <v>41698</v>
      </c>
      <c r="C375" t="s">
        <v>1236</v>
      </c>
      <c r="D375">
        <v>1</v>
      </c>
      <c r="E375" t="s">
        <v>1237</v>
      </c>
      <c r="F375" s="164" t="s">
        <v>938</v>
      </c>
      <c r="G375" s="137" t="s">
        <v>1657</v>
      </c>
      <c r="H375" s="160">
        <f t="shared" si="18"/>
        <v>799.875</v>
      </c>
      <c r="I375" s="137">
        <v>127.98</v>
      </c>
      <c r="J375" s="3">
        <f>1942.5-H372-H373-H374-H375</f>
        <v>6.25E-2</v>
      </c>
      <c r="K375" s="3">
        <f>310.8-I372-I373-I374-I375</f>
        <v>1.0000000000019327E-2</v>
      </c>
      <c r="L375" t="s">
        <v>850</v>
      </c>
    </row>
    <row r="376" spans="1:12">
      <c r="A376" t="s">
        <v>1181</v>
      </c>
      <c r="B376" s="1">
        <v>41696</v>
      </c>
      <c r="C376" t="s">
        <v>1182</v>
      </c>
      <c r="D376">
        <v>1</v>
      </c>
      <c r="E376" t="s">
        <v>1183</v>
      </c>
      <c r="F376" s="152" t="s">
        <v>1658</v>
      </c>
      <c r="G376" s="149" t="s">
        <v>1659</v>
      </c>
      <c r="H376" s="3">
        <f t="shared" ref="H376:H380" si="19">+I376/0.16</f>
        <v>210177.81249999997</v>
      </c>
      <c r="I376" s="3">
        <v>33628.449999999997</v>
      </c>
    </row>
    <row r="377" spans="1:12">
      <c r="A377" t="s">
        <v>1152</v>
      </c>
      <c r="B377" s="1">
        <v>41692</v>
      </c>
      <c r="C377" t="s">
        <v>1153</v>
      </c>
      <c r="D377">
        <v>1</v>
      </c>
      <c r="E377" t="s">
        <v>1154</v>
      </c>
      <c r="F377" s="152" t="s">
        <v>1660</v>
      </c>
      <c r="G377" s="149" t="s">
        <v>1661</v>
      </c>
      <c r="H377" s="3">
        <f t="shared" si="19"/>
        <v>224993.125</v>
      </c>
      <c r="I377" s="3">
        <v>35998.9</v>
      </c>
    </row>
    <row r="378" spans="1:12">
      <c r="A378" t="s">
        <v>445</v>
      </c>
      <c r="B378" s="1">
        <v>41677</v>
      </c>
      <c r="C378" t="s">
        <v>1318</v>
      </c>
      <c r="D378">
        <v>1</v>
      </c>
      <c r="E378" t="s">
        <v>1319</v>
      </c>
      <c r="F378" s="150" t="s">
        <v>1662</v>
      </c>
      <c r="G378" s="149" t="s">
        <v>1319</v>
      </c>
      <c r="H378" s="3">
        <f t="shared" si="19"/>
        <v>740</v>
      </c>
      <c r="I378" s="3">
        <v>118.4</v>
      </c>
    </row>
    <row r="379" spans="1:12">
      <c r="A379" t="s">
        <v>676</v>
      </c>
      <c r="B379" s="1">
        <v>41697</v>
      </c>
      <c r="C379" t="s">
        <v>1492</v>
      </c>
      <c r="D379">
        <v>1</v>
      </c>
      <c r="E379" t="s">
        <v>1493</v>
      </c>
      <c r="F379" t="s">
        <v>1663</v>
      </c>
      <c r="G379" t="s">
        <v>1493</v>
      </c>
      <c r="H379" s="3">
        <f t="shared" si="19"/>
        <v>3478.75</v>
      </c>
      <c r="I379" s="3">
        <v>556.6</v>
      </c>
    </row>
    <row r="380" spans="1:12">
      <c r="A380" t="s">
        <v>1096</v>
      </c>
      <c r="B380" s="1">
        <v>41691</v>
      </c>
      <c r="C380" t="s">
        <v>1097</v>
      </c>
      <c r="D380">
        <v>1</v>
      </c>
      <c r="E380" t="s">
        <v>1098</v>
      </c>
      <c r="F380" s="149" t="s">
        <v>1662</v>
      </c>
      <c r="G380" s="149" t="s">
        <v>1098</v>
      </c>
      <c r="H380" s="3">
        <f t="shared" si="19"/>
        <v>562.5</v>
      </c>
      <c r="I380" s="3">
        <v>90</v>
      </c>
    </row>
    <row r="382" spans="1:12">
      <c r="H382" s="3">
        <f>SUM(H7:H380)</f>
        <v>18546599.125</v>
      </c>
      <c r="I382" s="3">
        <f>SUM(I7:I381)</f>
        <v>2967455.859999998</v>
      </c>
    </row>
    <row r="383" spans="1:12">
      <c r="H383" s="3">
        <f>3175481.7-207791.19</f>
        <v>2967690.5100000002</v>
      </c>
      <c r="I383" s="3">
        <f>+H383-I382</f>
        <v>234.65000000223517</v>
      </c>
    </row>
  </sheetData>
  <sortState ref="A7:K290">
    <sortCondition ref="E7:E29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83"/>
  <sheetViews>
    <sheetView workbookViewId="0">
      <pane ySplit="6" topLeftCell="A7" activePane="bottomLeft" state="frozen"/>
      <selection pane="bottomLeft" activeCell="A7" sqref="A7:XFD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" bestFit="1" customWidth="1"/>
    <col min="4" max="4" width="2" bestFit="1" customWidth="1"/>
    <col min="5" max="5" width="39.7109375" bestFit="1" customWidth="1"/>
    <col min="6" max="6" width="24" customWidth="1"/>
    <col min="7" max="7" width="17.28515625" customWidth="1"/>
    <col min="8" max="8" width="19.28515625" style="3" customWidth="1"/>
    <col min="9" max="9" width="13.140625" style="3" bestFit="1" customWidth="1"/>
    <col min="10" max="10" width="10" customWidth="1"/>
  </cols>
  <sheetData>
    <row r="1" spans="1:9">
      <c r="A1" t="s">
        <v>707</v>
      </c>
    </row>
    <row r="2" spans="1:9">
      <c r="A2" t="s">
        <v>2278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1807</v>
      </c>
      <c r="B7" s="1">
        <v>41716</v>
      </c>
      <c r="C7" t="s">
        <v>1808</v>
      </c>
      <c r="D7">
        <v>1</v>
      </c>
      <c r="E7" t="s">
        <v>1809</v>
      </c>
      <c r="F7" s="150" t="s">
        <v>787</v>
      </c>
      <c r="G7" s="149" t="s">
        <v>788</v>
      </c>
      <c r="H7" s="3">
        <f>+I7/0.16</f>
        <v>411420.75000000006</v>
      </c>
      <c r="I7" s="3">
        <v>65827.320000000007</v>
      </c>
    </row>
    <row r="8" spans="1:9">
      <c r="A8" t="s">
        <v>1867</v>
      </c>
      <c r="B8" s="1">
        <v>41718</v>
      </c>
      <c r="C8" t="s">
        <v>1868</v>
      </c>
      <c r="D8">
        <v>1</v>
      </c>
      <c r="E8" t="s">
        <v>1869</v>
      </c>
      <c r="F8" s="150" t="s">
        <v>1533</v>
      </c>
      <c r="G8" s="149" t="s">
        <v>1534</v>
      </c>
      <c r="H8" s="3">
        <f t="shared" ref="H8:H71" si="0">+I8/0.16</f>
        <v>216185.75</v>
      </c>
      <c r="I8" s="3">
        <v>34589.72</v>
      </c>
    </row>
    <row r="9" spans="1:9">
      <c r="A9" t="s">
        <v>1804</v>
      </c>
      <c r="B9" s="1">
        <v>41716</v>
      </c>
      <c r="C9" t="s">
        <v>1805</v>
      </c>
      <c r="D9">
        <v>1</v>
      </c>
      <c r="E9" t="s">
        <v>1806</v>
      </c>
      <c r="F9" s="150" t="s">
        <v>787</v>
      </c>
      <c r="G9" s="149" t="s">
        <v>788</v>
      </c>
      <c r="H9" s="3">
        <f t="shared" si="0"/>
        <v>202818.6875</v>
      </c>
      <c r="I9" s="3">
        <v>32450.99</v>
      </c>
    </row>
    <row r="10" spans="1:9">
      <c r="A10" t="s">
        <v>1691</v>
      </c>
      <c r="B10" s="1">
        <v>41705</v>
      </c>
      <c r="C10" t="s">
        <v>1692</v>
      </c>
      <c r="D10">
        <v>1</v>
      </c>
      <c r="E10" t="s">
        <v>1693</v>
      </c>
      <c r="F10" s="150" t="s">
        <v>787</v>
      </c>
      <c r="G10" s="149" t="s">
        <v>788</v>
      </c>
      <c r="H10" s="3">
        <f t="shared" si="0"/>
        <v>286584.3125</v>
      </c>
      <c r="I10" s="3">
        <v>45853.49</v>
      </c>
    </row>
    <row r="11" spans="1:9">
      <c r="A11" t="s">
        <v>1132</v>
      </c>
      <c r="B11" s="1">
        <v>41718</v>
      </c>
      <c r="C11" t="s">
        <v>1870</v>
      </c>
      <c r="D11">
        <v>1</v>
      </c>
      <c r="E11" t="s">
        <v>1871</v>
      </c>
      <c r="F11" s="150" t="s">
        <v>1533</v>
      </c>
      <c r="G11" s="149" t="s">
        <v>1534</v>
      </c>
      <c r="H11" s="3">
        <f t="shared" si="0"/>
        <v>216185.75</v>
      </c>
      <c r="I11" s="3">
        <v>34589.72</v>
      </c>
    </row>
    <row r="12" spans="1:9">
      <c r="A12" t="s">
        <v>1244</v>
      </c>
      <c r="B12" s="1">
        <v>41729</v>
      </c>
      <c r="C12" t="s">
        <v>1986</v>
      </c>
      <c r="D12">
        <v>1</v>
      </c>
      <c r="E12" t="s">
        <v>1987</v>
      </c>
      <c r="F12" s="149" t="s">
        <v>783</v>
      </c>
      <c r="G12" s="149" t="s">
        <v>1987</v>
      </c>
      <c r="H12" s="3">
        <f t="shared" si="0"/>
        <v>169134.0625</v>
      </c>
      <c r="I12" s="3">
        <v>27061.45</v>
      </c>
    </row>
    <row r="13" spans="1:9">
      <c r="A13" t="s">
        <v>1845</v>
      </c>
      <c r="B13" s="1">
        <v>41717</v>
      </c>
      <c r="C13">
        <v>9842</v>
      </c>
      <c r="D13">
        <v>1</v>
      </c>
      <c r="E13" t="s">
        <v>272</v>
      </c>
      <c r="F13" s="149" t="s">
        <v>719</v>
      </c>
      <c r="G13" s="149" t="s">
        <v>272</v>
      </c>
      <c r="H13" s="3">
        <f t="shared" si="0"/>
        <v>181.125</v>
      </c>
      <c r="I13" s="3">
        <v>28.98</v>
      </c>
    </row>
    <row r="14" spans="1:9">
      <c r="A14" t="s">
        <v>362</v>
      </c>
      <c r="B14" s="1">
        <v>41729</v>
      </c>
      <c r="C14">
        <v>9905</v>
      </c>
      <c r="D14">
        <v>1</v>
      </c>
      <c r="E14" t="s">
        <v>272</v>
      </c>
      <c r="F14" s="152" t="s">
        <v>719</v>
      </c>
      <c r="G14" s="149" t="s">
        <v>272</v>
      </c>
      <c r="H14" s="3">
        <f t="shared" si="0"/>
        <v>168.5</v>
      </c>
      <c r="I14" s="3">
        <v>26.96</v>
      </c>
    </row>
    <row r="15" spans="1:9">
      <c r="A15" t="s">
        <v>2126</v>
      </c>
      <c r="B15" s="1">
        <v>41708</v>
      </c>
      <c r="C15" t="s">
        <v>2127</v>
      </c>
      <c r="D15">
        <v>1</v>
      </c>
      <c r="E15" t="s">
        <v>2128</v>
      </c>
      <c r="F15" s="151" t="s">
        <v>2280</v>
      </c>
      <c r="G15" s="149" t="s">
        <v>2128</v>
      </c>
      <c r="H15" s="3">
        <f t="shared" si="0"/>
        <v>3103.4375</v>
      </c>
      <c r="I15" s="3">
        <v>496.55</v>
      </c>
    </row>
    <row r="16" spans="1:9">
      <c r="A16" t="s">
        <v>2031</v>
      </c>
      <c r="B16" s="1">
        <v>41729</v>
      </c>
      <c r="C16">
        <v>9916</v>
      </c>
      <c r="D16">
        <v>1</v>
      </c>
      <c r="E16" t="s">
        <v>2032</v>
      </c>
      <c r="F16" s="151" t="s">
        <v>2281</v>
      </c>
      <c r="G16" s="149" t="s">
        <v>2032</v>
      </c>
      <c r="H16" s="3">
        <f t="shared" si="0"/>
        <v>474.125</v>
      </c>
      <c r="I16" s="3">
        <v>75.86</v>
      </c>
    </row>
    <row r="17" spans="1:10">
      <c r="A17" t="s">
        <v>1777</v>
      </c>
      <c r="B17" s="1">
        <v>41711</v>
      </c>
      <c r="C17" t="s">
        <v>1778</v>
      </c>
      <c r="D17">
        <v>1</v>
      </c>
      <c r="E17" t="s">
        <v>123</v>
      </c>
      <c r="F17" s="168" t="s">
        <v>721</v>
      </c>
      <c r="G17" t="s">
        <v>123</v>
      </c>
      <c r="H17" s="3">
        <f t="shared" si="0"/>
        <v>431.0625</v>
      </c>
      <c r="I17" s="3">
        <v>68.97</v>
      </c>
    </row>
    <row r="18" spans="1:10">
      <c r="A18" t="s">
        <v>1883</v>
      </c>
      <c r="B18" s="1">
        <v>41719</v>
      </c>
      <c r="C18">
        <v>9856</v>
      </c>
      <c r="D18">
        <v>1</v>
      </c>
      <c r="E18" t="s">
        <v>123</v>
      </c>
      <c r="F18" s="168" t="s">
        <v>721</v>
      </c>
      <c r="G18" t="s">
        <v>123</v>
      </c>
      <c r="H18" s="3">
        <f t="shared" si="0"/>
        <v>431.0625</v>
      </c>
      <c r="I18" s="3">
        <v>68.97</v>
      </c>
    </row>
    <row r="19" spans="1:10">
      <c r="A19" t="s">
        <v>2047</v>
      </c>
      <c r="B19" s="1">
        <v>41729</v>
      </c>
      <c r="C19" t="s">
        <v>2048</v>
      </c>
      <c r="D19">
        <v>1</v>
      </c>
      <c r="E19" t="s">
        <v>123</v>
      </c>
      <c r="F19" s="168" t="s">
        <v>721</v>
      </c>
      <c r="G19" t="s">
        <v>123</v>
      </c>
      <c r="H19" s="3">
        <f t="shared" si="0"/>
        <v>215.49999999999997</v>
      </c>
      <c r="I19" s="3">
        <v>34.479999999999997</v>
      </c>
    </row>
    <row r="20" spans="1:10">
      <c r="A20" t="s">
        <v>1226</v>
      </c>
      <c r="B20" s="1">
        <v>41727</v>
      </c>
      <c r="C20" t="s">
        <v>1984</v>
      </c>
      <c r="D20">
        <v>1</v>
      </c>
      <c r="E20" t="s">
        <v>1985</v>
      </c>
      <c r="F20" s="152" t="s">
        <v>785</v>
      </c>
      <c r="G20" s="153" t="s">
        <v>786</v>
      </c>
      <c r="H20" s="3">
        <f t="shared" si="0"/>
        <v>182289.6875</v>
      </c>
      <c r="I20" s="3">
        <v>29166.35</v>
      </c>
    </row>
    <row r="21" spans="1:10">
      <c r="A21" t="s">
        <v>1864</v>
      </c>
      <c r="B21" s="1">
        <v>41718</v>
      </c>
      <c r="C21" t="s">
        <v>1865</v>
      </c>
      <c r="D21">
        <v>1</v>
      </c>
      <c r="E21" t="s">
        <v>1866</v>
      </c>
      <c r="F21" s="149" t="s">
        <v>2282</v>
      </c>
      <c r="G21" s="149" t="s">
        <v>2283</v>
      </c>
      <c r="H21" s="3">
        <f t="shared" si="0"/>
        <v>246689.9375</v>
      </c>
      <c r="I21" s="3">
        <v>39470.39</v>
      </c>
    </row>
    <row r="22" spans="1:10">
      <c r="A22" t="s">
        <v>1684</v>
      </c>
      <c r="B22" s="1">
        <v>41705</v>
      </c>
      <c r="C22" t="s">
        <v>1685</v>
      </c>
      <c r="D22">
        <v>1</v>
      </c>
      <c r="E22" t="s">
        <v>1686</v>
      </c>
      <c r="F22" s="149" t="s">
        <v>2284</v>
      </c>
      <c r="G22" s="149" t="s">
        <v>2285</v>
      </c>
      <c r="H22" s="3">
        <f t="shared" si="0"/>
        <v>246689.9375</v>
      </c>
      <c r="I22" s="3">
        <v>39470.39</v>
      </c>
    </row>
    <row r="23" spans="1:10">
      <c r="A23" t="s">
        <v>1793</v>
      </c>
      <c r="B23" s="1">
        <v>41713</v>
      </c>
      <c r="C23" t="s">
        <v>1685</v>
      </c>
      <c r="D23">
        <v>1</v>
      </c>
      <c r="E23" t="s">
        <v>1686</v>
      </c>
      <c r="F23" s="152" t="s">
        <v>2284</v>
      </c>
      <c r="G23" s="149" t="s">
        <v>2286</v>
      </c>
      <c r="H23" s="3">
        <f t="shared" si="0"/>
        <v>-246689.9375</v>
      </c>
      <c r="I23" s="3">
        <v>-39470.39</v>
      </c>
      <c r="J23" s="2"/>
    </row>
    <row r="24" spans="1:10">
      <c r="A24" t="s">
        <v>1708</v>
      </c>
      <c r="B24" s="1">
        <v>41711</v>
      </c>
      <c r="C24" t="s">
        <v>1709</v>
      </c>
      <c r="D24">
        <v>1</v>
      </c>
      <c r="E24" t="s">
        <v>1710</v>
      </c>
      <c r="F24" s="149" t="s">
        <v>2282</v>
      </c>
      <c r="G24" s="149" t="s">
        <v>2283</v>
      </c>
      <c r="H24" s="3">
        <f t="shared" si="0"/>
        <v>295915.4375</v>
      </c>
      <c r="I24" s="3">
        <v>47346.47</v>
      </c>
    </row>
    <row r="25" spans="1:10">
      <c r="A25" t="s">
        <v>1790</v>
      </c>
      <c r="B25" s="1">
        <v>41713</v>
      </c>
      <c r="C25" t="s">
        <v>1791</v>
      </c>
      <c r="D25">
        <v>1</v>
      </c>
      <c r="E25" t="s">
        <v>1792</v>
      </c>
      <c r="F25" s="152" t="s">
        <v>2284</v>
      </c>
      <c r="G25" s="149" t="s">
        <v>2286</v>
      </c>
      <c r="H25" s="3">
        <f t="shared" si="0"/>
        <v>246689.9375</v>
      </c>
      <c r="I25" s="3">
        <v>39470.39</v>
      </c>
    </row>
    <row r="26" spans="1:10">
      <c r="A26" t="s">
        <v>1760</v>
      </c>
      <c r="B26" s="1">
        <v>41711</v>
      </c>
      <c r="C26">
        <v>9822</v>
      </c>
      <c r="D26">
        <v>1</v>
      </c>
      <c r="E26" t="s">
        <v>1137</v>
      </c>
      <c r="F26" s="149" t="s">
        <v>724</v>
      </c>
      <c r="G26" s="149" t="s">
        <v>1137</v>
      </c>
      <c r="H26" s="3">
        <f t="shared" si="0"/>
        <v>51.5625</v>
      </c>
      <c r="I26" s="3">
        <v>8.25</v>
      </c>
    </row>
    <row r="27" spans="1:10">
      <c r="A27" t="s">
        <v>1766</v>
      </c>
      <c r="B27" s="1">
        <v>41711</v>
      </c>
      <c r="C27">
        <v>9825</v>
      </c>
      <c r="D27">
        <v>1</v>
      </c>
      <c r="E27" t="s">
        <v>1767</v>
      </c>
      <c r="F27" s="149" t="s">
        <v>724</v>
      </c>
      <c r="G27" s="149" t="s">
        <v>1767</v>
      </c>
      <c r="H27" s="3">
        <f t="shared" si="0"/>
        <v>279.875</v>
      </c>
      <c r="I27" s="3">
        <v>44.78</v>
      </c>
    </row>
    <row r="28" spans="1:10">
      <c r="A28" t="s">
        <v>368</v>
      </c>
      <c r="B28" s="1">
        <v>41729</v>
      </c>
      <c r="C28">
        <v>9912</v>
      </c>
      <c r="D28">
        <v>1</v>
      </c>
      <c r="E28" t="s">
        <v>2028</v>
      </c>
      <c r="F28" s="151" t="s">
        <v>724</v>
      </c>
      <c r="G28" s="149" t="s">
        <v>2028</v>
      </c>
      <c r="H28" s="3">
        <f t="shared" si="0"/>
        <v>129.25</v>
      </c>
      <c r="I28" s="3">
        <v>20.68</v>
      </c>
    </row>
    <row r="29" spans="1:10">
      <c r="A29" t="s">
        <v>2057</v>
      </c>
      <c r="B29" s="1">
        <v>41729</v>
      </c>
      <c r="C29" t="s">
        <v>2058</v>
      </c>
      <c r="D29">
        <v>1</v>
      </c>
      <c r="E29" t="s">
        <v>1271</v>
      </c>
      <c r="F29" s="151" t="s">
        <v>1537</v>
      </c>
      <c r="G29" s="149" t="s">
        <v>1271</v>
      </c>
      <c r="H29" s="3">
        <f t="shared" si="0"/>
        <v>267.25</v>
      </c>
      <c r="I29" s="3">
        <v>42.76</v>
      </c>
    </row>
    <row r="30" spans="1:10">
      <c r="A30" t="s">
        <v>1340</v>
      </c>
      <c r="B30" s="1">
        <v>41712</v>
      </c>
      <c r="C30" t="s">
        <v>2158</v>
      </c>
      <c r="D30">
        <v>1</v>
      </c>
      <c r="E30" t="s">
        <v>2159</v>
      </c>
      <c r="F30" s="161" t="s">
        <v>2287</v>
      </c>
      <c r="G30" s="149" t="s">
        <v>2159</v>
      </c>
      <c r="H30" s="3">
        <f t="shared" si="0"/>
        <v>10000</v>
      </c>
      <c r="I30" s="3">
        <v>1600</v>
      </c>
    </row>
    <row r="31" spans="1:10">
      <c r="A31" t="s">
        <v>580</v>
      </c>
      <c r="B31" s="1">
        <v>41719</v>
      </c>
      <c r="C31" t="s">
        <v>2206</v>
      </c>
      <c r="D31">
        <v>1</v>
      </c>
      <c r="E31" t="s">
        <v>585</v>
      </c>
      <c r="F31" s="149" t="s">
        <v>725</v>
      </c>
      <c r="G31" s="149" t="s">
        <v>585</v>
      </c>
      <c r="H31" s="3">
        <f t="shared" si="0"/>
        <v>3448.25</v>
      </c>
      <c r="I31" s="3">
        <v>551.72</v>
      </c>
    </row>
    <row r="32" spans="1:10">
      <c r="A32" t="s">
        <v>2044</v>
      </c>
      <c r="B32" s="1">
        <v>41729</v>
      </c>
      <c r="C32">
        <v>9941</v>
      </c>
      <c r="D32">
        <v>1</v>
      </c>
      <c r="E32" t="s">
        <v>843</v>
      </c>
      <c r="F32" s="158" t="s">
        <v>1553</v>
      </c>
      <c r="G32" t="s">
        <v>843</v>
      </c>
      <c r="H32" s="3">
        <f t="shared" si="0"/>
        <v>20.75</v>
      </c>
      <c r="I32" s="3">
        <v>3.32</v>
      </c>
    </row>
    <row r="33" spans="1:9">
      <c r="A33" t="s">
        <v>133</v>
      </c>
      <c r="B33" s="1">
        <v>41719</v>
      </c>
      <c r="C33">
        <v>9854</v>
      </c>
      <c r="D33">
        <v>1</v>
      </c>
      <c r="E33" t="s">
        <v>1882</v>
      </c>
      <c r="F33" t="s">
        <v>763</v>
      </c>
      <c r="G33" t="s">
        <v>1882</v>
      </c>
      <c r="H33" s="3">
        <f t="shared" si="0"/>
        <v>504.5625</v>
      </c>
      <c r="I33" s="3">
        <v>80.73</v>
      </c>
    </row>
    <row r="34" spans="1:9">
      <c r="A34" t="s">
        <v>411</v>
      </c>
      <c r="B34" s="1">
        <v>41729</v>
      </c>
      <c r="C34">
        <v>9940</v>
      </c>
      <c r="D34">
        <v>1</v>
      </c>
      <c r="E34" t="s">
        <v>2043</v>
      </c>
      <c r="F34" s="158" t="s">
        <v>1553</v>
      </c>
      <c r="G34" t="s">
        <v>2043</v>
      </c>
      <c r="H34" s="3">
        <f t="shared" si="0"/>
        <v>493.31250000000006</v>
      </c>
      <c r="I34" s="3">
        <v>78.930000000000007</v>
      </c>
    </row>
    <row r="35" spans="1:9">
      <c r="A35" t="s">
        <v>1878</v>
      </c>
      <c r="B35" s="1">
        <v>41719</v>
      </c>
      <c r="C35" t="s">
        <v>1879</v>
      </c>
      <c r="D35">
        <v>1</v>
      </c>
      <c r="E35" t="s">
        <v>772</v>
      </c>
      <c r="F35" s="152" t="s">
        <v>726</v>
      </c>
      <c r="G35" s="149" t="s">
        <v>1538</v>
      </c>
      <c r="H35" s="3">
        <f t="shared" si="0"/>
        <v>323465.75</v>
      </c>
      <c r="I35" s="3">
        <v>51754.52</v>
      </c>
    </row>
    <row r="36" spans="1:9">
      <c r="A36" t="s">
        <v>1960</v>
      </c>
      <c r="B36" s="1">
        <v>41725</v>
      </c>
      <c r="C36" t="s">
        <v>1961</v>
      </c>
      <c r="D36">
        <v>1</v>
      </c>
      <c r="E36" t="s">
        <v>773</v>
      </c>
      <c r="F36" s="152" t="s">
        <v>726</v>
      </c>
      <c r="G36" s="149" t="s">
        <v>1538</v>
      </c>
      <c r="H36" s="3">
        <f t="shared" si="0"/>
        <v>356752.875</v>
      </c>
      <c r="I36" s="3">
        <v>57080.46</v>
      </c>
    </row>
    <row r="37" spans="1:9">
      <c r="A37" t="s">
        <v>1700</v>
      </c>
      <c r="B37" s="1">
        <v>41709</v>
      </c>
      <c r="C37" t="s">
        <v>1701</v>
      </c>
      <c r="D37">
        <v>1</v>
      </c>
      <c r="E37" t="s">
        <v>1702</v>
      </c>
      <c r="F37" s="152" t="s">
        <v>726</v>
      </c>
      <c r="G37" s="149" t="s">
        <v>1538</v>
      </c>
      <c r="H37" s="3">
        <f t="shared" si="0"/>
        <v>182367.3125</v>
      </c>
      <c r="I37" s="3">
        <v>29178.77</v>
      </c>
    </row>
    <row r="38" spans="1:9">
      <c r="A38" t="s">
        <v>2022</v>
      </c>
      <c r="B38" s="1">
        <v>41729</v>
      </c>
      <c r="C38">
        <v>9906</v>
      </c>
      <c r="D38">
        <v>1</v>
      </c>
      <c r="E38" t="s">
        <v>1248</v>
      </c>
      <c r="F38" s="151" t="s">
        <v>1539</v>
      </c>
      <c r="G38" s="149" t="s">
        <v>1248</v>
      </c>
      <c r="H38" s="3">
        <f t="shared" si="0"/>
        <v>225.8125</v>
      </c>
      <c r="I38" s="3">
        <v>36.130000000000003</v>
      </c>
    </row>
    <row r="39" spans="1:9">
      <c r="A39" t="s">
        <v>1957</v>
      </c>
      <c r="B39" s="1">
        <v>41725</v>
      </c>
      <c r="C39" t="s">
        <v>1958</v>
      </c>
      <c r="D39">
        <v>1</v>
      </c>
      <c r="E39" t="s">
        <v>1959</v>
      </c>
      <c r="F39" s="149" t="s">
        <v>731</v>
      </c>
      <c r="G39" s="149" t="s">
        <v>2288</v>
      </c>
      <c r="H39" s="3">
        <f t="shared" si="0"/>
        <v>271235.4375</v>
      </c>
      <c r="I39" s="3">
        <v>43397.67</v>
      </c>
    </row>
    <row r="40" spans="1:9">
      <c r="A40" t="s">
        <v>1669</v>
      </c>
      <c r="B40" s="1">
        <v>41699</v>
      </c>
      <c r="C40" t="s">
        <v>1670</v>
      </c>
      <c r="D40">
        <v>1</v>
      </c>
      <c r="E40" t="s">
        <v>1671</v>
      </c>
      <c r="F40" s="150" t="s">
        <v>733</v>
      </c>
      <c r="G40" s="149" t="s">
        <v>734</v>
      </c>
      <c r="H40" s="3">
        <f t="shared" si="0"/>
        <v>202819.6875</v>
      </c>
      <c r="I40" s="3">
        <v>32451.15</v>
      </c>
    </row>
    <row r="41" spans="1:9">
      <c r="A41" t="s">
        <v>460</v>
      </c>
      <c r="B41" s="1">
        <v>41709</v>
      </c>
      <c r="C41" t="s">
        <v>2143</v>
      </c>
      <c r="D41">
        <v>1</v>
      </c>
      <c r="E41" t="s">
        <v>1360</v>
      </c>
      <c r="F41" s="151" t="s">
        <v>1540</v>
      </c>
      <c r="G41" s="149" t="s">
        <v>1360</v>
      </c>
      <c r="H41" s="3">
        <f t="shared" si="0"/>
        <v>1118.5</v>
      </c>
      <c r="I41" s="3">
        <v>178.96</v>
      </c>
    </row>
    <row r="42" spans="1:9">
      <c r="A42" t="s">
        <v>2144</v>
      </c>
      <c r="B42" s="1">
        <v>41709</v>
      </c>
      <c r="C42" t="s">
        <v>2145</v>
      </c>
      <c r="D42">
        <v>2</v>
      </c>
      <c r="E42" t="s">
        <v>619</v>
      </c>
      <c r="F42" s="149" t="s">
        <v>791</v>
      </c>
      <c r="G42" s="149" t="s">
        <v>619</v>
      </c>
      <c r="H42" s="3">
        <f t="shared" si="0"/>
        <v>6103.4375</v>
      </c>
      <c r="I42" s="3">
        <v>976.55</v>
      </c>
    </row>
    <row r="43" spans="1:9">
      <c r="A43" t="s">
        <v>1352</v>
      </c>
      <c r="B43" s="1">
        <v>41713</v>
      </c>
      <c r="C43" t="s">
        <v>2164</v>
      </c>
      <c r="D43">
        <v>2</v>
      </c>
      <c r="E43" t="s">
        <v>619</v>
      </c>
      <c r="F43" s="149" t="s">
        <v>791</v>
      </c>
      <c r="G43" s="149" t="s">
        <v>619</v>
      </c>
      <c r="H43" s="3">
        <f t="shared" si="0"/>
        <v>3034.5</v>
      </c>
      <c r="I43" s="3">
        <v>485.52</v>
      </c>
    </row>
    <row r="44" spans="1:9">
      <c r="A44" t="s">
        <v>2023</v>
      </c>
      <c r="B44" s="1">
        <v>41729</v>
      </c>
      <c r="C44">
        <v>9908</v>
      </c>
      <c r="D44">
        <v>1</v>
      </c>
      <c r="E44" t="s">
        <v>1093</v>
      </c>
      <c r="F44" s="151" t="s">
        <v>1541</v>
      </c>
      <c r="G44" s="149" t="s">
        <v>1093</v>
      </c>
      <c r="H44" s="3">
        <f t="shared" si="0"/>
        <v>233.12499999999997</v>
      </c>
      <c r="I44" s="3">
        <v>37.299999999999997</v>
      </c>
    </row>
    <row r="45" spans="1:9">
      <c r="A45" t="s">
        <v>609</v>
      </c>
      <c r="B45" s="1">
        <v>41724</v>
      </c>
      <c r="C45" t="s">
        <v>1520</v>
      </c>
      <c r="D45">
        <v>1</v>
      </c>
      <c r="E45" t="s">
        <v>2227</v>
      </c>
      <c r="F45" s="152" t="s">
        <v>800</v>
      </c>
      <c r="G45" s="154" t="s">
        <v>801</v>
      </c>
      <c r="H45" s="3">
        <f t="shared" si="0"/>
        <v>100</v>
      </c>
      <c r="I45" s="3">
        <v>16</v>
      </c>
    </row>
    <row r="46" spans="1:9">
      <c r="A46" t="s">
        <v>2224</v>
      </c>
      <c r="B46" s="1">
        <v>41724</v>
      </c>
      <c r="C46" t="s">
        <v>1523</v>
      </c>
      <c r="D46">
        <v>1</v>
      </c>
      <c r="E46" t="s">
        <v>2225</v>
      </c>
      <c r="F46" s="150" t="s">
        <v>802</v>
      </c>
      <c r="G46" s="149" t="s">
        <v>1542</v>
      </c>
      <c r="H46" s="3">
        <f t="shared" si="0"/>
        <v>85</v>
      </c>
      <c r="I46" s="3">
        <v>13.6</v>
      </c>
    </row>
    <row r="47" spans="1:9">
      <c r="A47" t="s">
        <v>688</v>
      </c>
      <c r="B47" s="1">
        <v>41729</v>
      </c>
      <c r="C47" t="s">
        <v>2266</v>
      </c>
      <c r="D47">
        <v>1</v>
      </c>
      <c r="E47" t="s">
        <v>2267</v>
      </c>
      <c r="F47" s="152" t="s">
        <v>796</v>
      </c>
      <c r="G47" s="149" t="s">
        <v>797</v>
      </c>
      <c r="H47" s="3">
        <f t="shared" si="0"/>
        <v>2002</v>
      </c>
      <c r="I47" s="3">
        <v>320.32</v>
      </c>
    </row>
    <row r="48" spans="1:9">
      <c r="A48" t="s">
        <v>471</v>
      </c>
      <c r="B48" s="1">
        <v>41710</v>
      </c>
      <c r="C48" t="s">
        <v>2149</v>
      </c>
      <c r="D48">
        <v>1</v>
      </c>
      <c r="E48" t="s">
        <v>563</v>
      </c>
      <c r="F48" s="149" t="s">
        <v>795</v>
      </c>
      <c r="G48" s="149" t="s">
        <v>563</v>
      </c>
      <c r="H48" s="3">
        <f t="shared" si="0"/>
        <v>22786.1875</v>
      </c>
      <c r="I48" s="3">
        <v>3645.79</v>
      </c>
    </row>
    <row r="49" spans="1:9">
      <c r="A49" t="s">
        <v>1399</v>
      </c>
      <c r="B49" s="1">
        <v>41717</v>
      </c>
      <c r="C49" t="s">
        <v>2193</v>
      </c>
      <c r="D49">
        <v>1</v>
      </c>
      <c r="E49" t="s">
        <v>2194</v>
      </c>
      <c r="F49" s="150" t="s">
        <v>802</v>
      </c>
      <c r="G49" s="149" t="s">
        <v>1542</v>
      </c>
      <c r="H49" s="3">
        <f t="shared" si="0"/>
        <v>180</v>
      </c>
      <c r="I49" s="3">
        <v>28.8</v>
      </c>
    </row>
    <row r="50" spans="1:9">
      <c r="A50" t="s">
        <v>1402</v>
      </c>
      <c r="B50" s="1">
        <v>41717</v>
      </c>
      <c r="C50" t="s">
        <v>1528</v>
      </c>
      <c r="D50">
        <v>1</v>
      </c>
      <c r="E50" t="s">
        <v>2195</v>
      </c>
      <c r="F50" s="152" t="s">
        <v>798</v>
      </c>
      <c r="G50" s="154" t="s">
        <v>799</v>
      </c>
      <c r="H50" s="3">
        <f t="shared" si="0"/>
        <v>4543.125</v>
      </c>
      <c r="I50" s="3">
        <v>726.9</v>
      </c>
    </row>
    <row r="51" spans="1:9">
      <c r="A51" t="s">
        <v>557</v>
      </c>
      <c r="B51" s="1">
        <v>41717</v>
      </c>
      <c r="C51" t="s">
        <v>1525</v>
      </c>
      <c r="D51">
        <v>1</v>
      </c>
      <c r="E51" t="s">
        <v>2192</v>
      </c>
      <c r="F51" s="152" t="s">
        <v>804</v>
      </c>
      <c r="G51" s="154" t="s">
        <v>805</v>
      </c>
      <c r="H51" s="3">
        <f t="shared" si="0"/>
        <v>150</v>
      </c>
      <c r="I51" s="3">
        <v>24</v>
      </c>
    </row>
    <row r="52" spans="1:9">
      <c r="A52" t="s">
        <v>555</v>
      </c>
      <c r="B52" s="1">
        <v>41717</v>
      </c>
      <c r="C52" t="s">
        <v>1520</v>
      </c>
      <c r="D52">
        <v>1</v>
      </c>
      <c r="E52" t="s">
        <v>2191</v>
      </c>
      <c r="F52" s="152" t="s">
        <v>800</v>
      </c>
      <c r="G52" s="154" t="s">
        <v>801</v>
      </c>
      <c r="H52" s="3">
        <f t="shared" si="0"/>
        <v>1050</v>
      </c>
      <c r="I52" s="3">
        <v>168</v>
      </c>
    </row>
    <row r="53" spans="1:9">
      <c r="A53" t="s">
        <v>2258</v>
      </c>
      <c r="B53" s="1">
        <v>41729</v>
      </c>
      <c r="C53" t="s">
        <v>693</v>
      </c>
      <c r="D53">
        <v>1</v>
      </c>
      <c r="E53" t="s">
        <v>2259</v>
      </c>
      <c r="F53" s="153" t="s">
        <v>792</v>
      </c>
      <c r="G53" s="169" t="s">
        <v>793</v>
      </c>
      <c r="H53" s="3">
        <f t="shared" si="0"/>
        <v>453.74999999999994</v>
      </c>
      <c r="I53" s="3">
        <v>72.599999999999994</v>
      </c>
    </row>
    <row r="54" spans="1:9">
      <c r="A54" t="s">
        <v>606</v>
      </c>
      <c r="B54" s="1">
        <v>41724</v>
      </c>
      <c r="C54" t="s">
        <v>1525</v>
      </c>
      <c r="D54">
        <v>1</v>
      </c>
      <c r="E54" t="s">
        <v>2226</v>
      </c>
      <c r="F54" s="152" t="s">
        <v>804</v>
      </c>
      <c r="G54" s="154" t="s">
        <v>805</v>
      </c>
      <c r="H54" s="3">
        <f t="shared" si="0"/>
        <v>150</v>
      </c>
      <c r="I54" s="3">
        <v>24</v>
      </c>
    </row>
    <row r="55" spans="1:9">
      <c r="A55" t="s">
        <v>655</v>
      </c>
      <c r="B55" s="1">
        <v>41726</v>
      </c>
      <c r="C55" t="s">
        <v>2218</v>
      </c>
      <c r="D55">
        <v>1</v>
      </c>
      <c r="E55" t="s">
        <v>2250</v>
      </c>
      <c r="F55" s="152" t="s">
        <v>796</v>
      </c>
      <c r="G55" s="149" t="s">
        <v>797</v>
      </c>
      <c r="H55" s="3">
        <f t="shared" si="0"/>
        <v>1080.3125</v>
      </c>
      <c r="I55" s="3">
        <v>172.85</v>
      </c>
    </row>
    <row r="56" spans="1:9">
      <c r="A56" t="s">
        <v>1486</v>
      </c>
      <c r="B56" s="1">
        <v>41729</v>
      </c>
      <c r="C56" t="s">
        <v>2218</v>
      </c>
      <c r="D56">
        <v>1</v>
      </c>
      <c r="E56" t="s">
        <v>2254</v>
      </c>
      <c r="F56" s="152" t="s">
        <v>796</v>
      </c>
      <c r="G56" s="149" t="s">
        <v>797</v>
      </c>
      <c r="H56" s="3">
        <f t="shared" si="0"/>
        <v>464.49999999999994</v>
      </c>
      <c r="I56" s="3">
        <v>74.319999999999993</v>
      </c>
    </row>
    <row r="57" spans="1:9">
      <c r="A57" t="s">
        <v>1444</v>
      </c>
      <c r="B57" s="1">
        <v>41724</v>
      </c>
      <c r="C57" t="s">
        <v>2218</v>
      </c>
      <c r="D57">
        <v>1</v>
      </c>
      <c r="E57" t="s">
        <v>2219</v>
      </c>
      <c r="F57" s="152" t="s">
        <v>796</v>
      </c>
      <c r="G57" s="149" t="s">
        <v>797</v>
      </c>
      <c r="H57" s="3">
        <f t="shared" si="0"/>
        <v>3495.125</v>
      </c>
      <c r="I57" s="3">
        <v>559.22</v>
      </c>
    </row>
    <row r="58" spans="1:9">
      <c r="A58" t="s">
        <v>2263</v>
      </c>
      <c r="B58" s="1">
        <v>41729</v>
      </c>
      <c r="C58" t="s">
        <v>1523</v>
      </c>
      <c r="D58">
        <v>1</v>
      </c>
      <c r="E58" t="s">
        <v>2264</v>
      </c>
      <c r="F58" s="150" t="s">
        <v>802</v>
      </c>
      <c r="G58" s="149" t="s">
        <v>1542</v>
      </c>
      <c r="H58" s="3">
        <f t="shared" si="0"/>
        <v>85</v>
      </c>
      <c r="I58" s="3">
        <v>13.6</v>
      </c>
    </row>
    <row r="59" spans="1:9">
      <c r="A59" t="s">
        <v>2222</v>
      </c>
      <c r="B59" s="1">
        <v>41724</v>
      </c>
      <c r="C59" t="s">
        <v>1528</v>
      </c>
      <c r="D59">
        <v>1</v>
      </c>
      <c r="E59" t="s">
        <v>2223</v>
      </c>
      <c r="F59" s="152" t="s">
        <v>798</v>
      </c>
      <c r="G59" s="154" t="s">
        <v>799</v>
      </c>
      <c r="H59" s="3">
        <f t="shared" si="0"/>
        <v>1720.75</v>
      </c>
      <c r="I59" s="3">
        <v>275.32</v>
      </c>
    </row>
    <row r="60" spans="1:9">
      <c r="A60" t="s">
        <v>1488</v>
      </c>
      <c r="B60" s="1">
        <v>41729</v>
      </c>
      <c r="C60" t="s">
        <v>1528</v>
      </c>
      <c r="D60">
        <v>1</v>
      </c>
      <c r="E60" t="s">
        <v>2255</v>
      </c>
      <c r="F60" s="152" t="s">
        <v>798</v>
      </c>
      <c r="G60" s="154" t="s">
        <v>799</v>
      </c>
      <c r="H60" s="3">
        <f t="shared" si="0"/>
        <v>467.0625</v>
      </c>
      <c r="I60" s="3">
        <v>74.73</v>
      </c>
    </row>
    <row r="61" spans="1:9">
      <c r="A61" t="s">
        <v>684</v>
      </c>
      <c r="B61" s="1">
        <v>41729</v>
      </c>
      <c r="C61" t="s">
        <v>1528</v>
      </c>
      <c r="D61">
        <v>1</v>
      </c>
      <c r="E61" t="s">
        <v>2260</v>
      </c>
      <c r="F61" s="152" t="s">
        <v>798</v>
      </c>
      <c r="G61" s="154" t="s">
        <v>799</v>
      </c>
      <c r="H61" s="3">
        <f t="shared" si="0"/>
        <v>216.0625</v>
      </c>
      <c r="I61" s="3">
        <v>34.57</v>
      </c>
    </row>
    <row r="62" spans="1:9">
      <c r="A62" t="s">
        <v>1490</v>
      </c>
      <c r="B62" s="1">
        <v>41729</v>
      </c>
      <c r="C62" t="s">
        <v>1525</v>
      </c>
      <c r="D62">
        <v>1</v>
      </c>
      <c r="E62" t="s">
        <v>2256</v>
      </c>
      <c r="F62" s="152" t="s">
        <v>804</v>
      </c>
      <c r="G62" s="154" t="s">
        <v>805</v>
      </c>
      <c r="H62" s="3">
        <f t="shared" si="0"/>
        <v>150</v>
      </c>
      <c r="I62" s="3">
        <v>24</v>
      </c>
    </row>
    <row r="63" spans="1:9">
      <c r="A63" t="s">
        <v>1507</v>
      </c>
      <c r="B63" s="1">
        <v>41729</v>
      </c>
      <c r="C63" t="s">
        <v>2261</v>
      </c>
      <c r="D63">
        <v>1</v>
      </c>
      <c r="E63" t="s">
        <v>2262</v>
      </c>
      <c r="F63" s="152" t="s">
        <v>806</v>
      </c>
      <c r="G63" s="154" t="s">
        <v>807</v>
      </c>
      <c r="H63" s="3">
        <f t="shared" si="0"/>
        <v>95</v>
      </c>
      <c r="I63" s="3">
        <v>15.2</v>
      </c>
    </row>
    <row r="64" spans="1:9">
      <c r="A64" t="s">
        <v>676</v>
      </c>
      <c r="B64" s="1">
        <v>41729</v>
      </c>
      <c r="C64" t="s">
        <v>1520</v>
      </c>
      <c r="D64">
        <v>1</v>
      </c>
      <c r="E64" t="s">
        <v>2257</v>
      </c>
      <c r="F64" s="152" t="s">
        <v>800</v>
      </c>
      <c r="G64" s="154" t="s">
        <v>801</v>
      </c>
      <c r="H64" s="3">
        <f t="shared" si="0"/>
        <v>100</v>
      </c>
      <c r="I64" s="3">
        <v>16</v>
      </c>
    </row>
    <row r="65" spans="1:9">
      <c r="A65" t="s">
        <v>1514</v>
      </c>
      <c r="B65" s="1">
        <v>41729</v>
      </c>
      <c r="C65" t="s">
        <v>1520</v>
      </c>
      <c r="D65">
        <v>1</v>
      </c>
      <c r="E65" t="s">
        <v>2257</v>
      </c>
      <c r="F65" s="152" t="s">
        <v>800</v>
      </c>
      <c r="G65" s="154" t="s">
        <v>801</v>
      </c>
      <c r="H65" s="3">
        <f t="shared" si="0"/>
        <v>26</v>
      </c>
      <c r="I65" s="3">
        <v>4.16</v>
      </c>
    </row>
    <row r="66" spans="1:9">
      <c r="A66" t="s">
        <v>129</v>
      </c>
      <c r="B66" s="1">
        <v>41719</v>
      </c>
      <c r="C66">
        <v>9857</v>
      </c>
      <c r="D66">
        <v>1</v>
      </c>
      <c r="E66" t="s">
        <v>355</v>
      </c>
      <c r="F66" s="152" t="s">
        <v>815</v>
      </c>
      <c r="G66" s="149" t="s">
        <v>355</v>
      </c>
      <c r="H66" s="3">
        <f t="shared" si="0"/>
        <v>1079.25</v>
      </c>
      <c r="I66" s="3">
        <v>172.68</v>
      </c>
    </row>
    <row r="67" spans="1:9">
      <c r="A67" t="s">
        <v>2109</v>
      </c>
      <c r="B67" s="1">
        <v>41702</v>
      </c>
      <c r="C67" t="s">
        <v>2110</v>
      </c>
      <c r="D67">
        <v>1</v>
      </c>
      <c r="E67" t="s">
        <v>429</v>
      </c>
      <c r="F67" s="150" t="s">
        <v>818</v>
      </c>
      <c r="G67" s="149" t="s">
        <v>429</v>
      </c>
      <c r="H67" s="3">
        <f t="shared" si="0"/>
        <v>10399.25</v>
      </c>
      <c r="I67" s="3">
        <v>1663.88</v>
      </c>
    </row>
    <row r="68" spans="1:9">
      <c r="A68" t="s">
        <v>1310</v>
      </c>
      <c r="B68" s="1">
        <v>41702</v>
      </c>
      <c r="C68" t="s">
        <v>2113</v>
      </c>
      <c r="D68">
        <v>1</v>
      </c>
      <c r="E68" t="s">
        <v>429</v>
      </c>
      <c r="F68" s="150" t="s">
        <v>818</v>
      </c>
      <c r="G68" s="149" t="s">
        <v>429</v>
      </c>
      <c r="H68" s="3">
        <f t="shared" si="0"/>
        <v>175960</v>
      </c>
      <c r="I68" s="3">
        <v>28153.599999999999</v>
      </c>
    </row>
    <row r="69" spans="1:9">
      <c r="A69" t="s">
        <v>440</v>
      </c>
      <c r="B69" s="1">
        <v>41704</v>
      </c>
      <c r="C69" t="s">
        <v>2114</v>
      </c>
      <c r="D69">
        <v>1</v>
      </c>
      <c r="E69" t="s">
        <v>429</v>
      </c>
      <c r="F69" s="150" t="s">
        <v>818</v>
      </c>
      <c r="G69" s="149" t="s">
        <v>429</v>
      </c>
      <c r="H69" s="3">
        <f t="shared" si="0"/>
        <v>10002.875</v>
      </c>
      <c r="I69" s="3">
        <v>1600.46</v>
      </c>
    </row>
    <row r="70" spans="1:9">
      <c r="A70" t="s">
        <v>2115</v>
      </c>
      <c r="B70" s="1">
        <v>41704</v>
      </c>
      <c r="C70" t="s">
        <v>2116</v>
      </c>
      <c r="D70">
        <v>1</v>
      </c>
      <c r="E70" t="s">
        <v>429</v>
      </c>
      <c r="F70" s="150" t="s">
        <v>818</v>
      </c>
      <c r="G70" s="149" t="s">
        <v>429</v>
      </c>
      <c r="H70" s="3">
        <f t="shared" si="0"/>
        <v>13572.3125</v>
      </c>
      <c r="I70" s="3">
        <v>2171.5700000000002</v>
      </c>
    </row>
    <row r="71" spans="1:9">
      <c r="A71" t="s">
        <v>2117</v>
      </c>
      <c r="B71" s="1">
        <v>41704</v>
      </c>
      <c r="C71" t="s">
        <v>2118</v>
      </c>
      <c r="D71">
        <v>1</v>
      </c>
      <c r="E71" t="s">
        <v>429</v>
      </c>
      <c r="F71" s="150" t="s">
        <v>818</v>
      </c>
      <c r="G71" s="149" t="s">
        <v>429</v>
      </c>
      <c r="H71" s="3">
        <f t="shared" si="0"/>
        <v>51500</v>
      </c>
      <c r="I71" s="3">
        <v>8240</v>
      </c>
    </row>
    <row r="72" spans="1:9">
      <c r="A72" t="s">
        <v>2123</v>
      </c>
      <c r="B72" s="1">
        <v>41705</v>
      </c>
      <c r="C72" t="s">
        <v>2124</v>
      </c>
      <c r="D72">
        <v>1</v>
      </c>
      <c r="E72" t="s">
        <v>429</v>
      </c>
      <c r="F72" s="150" t="s">
        <v>818</v>
      </c>
      <c r="G72" s="149" t="s">
        <v>429</v>
      </c>
      <c r="H72" s="3">
        <f t="shared" ref="H72:H136" si="1">+I72/0.16</f>
        <v>107560.99999999999</v>
      </c>
      <c r="I72" s="3">
        <v>17209.759999999998</v>
      </c>
    </row>
    <row r="73" spans="1:9">
      <c r="A73" t="s">
        <v>1315</v>
      </c>
      <c r="B73" s="1">
        <v>41708</v>
      </c>
      <c r="C73" t="s">
        <v>2125</v>
      </c>
      <c r="D73">
        <v>1</v>
      </c>
      <c r="E73" t="s">
        <v>429</v>
      </c>
      <c r="F73" s="150" t="s">
        <v>818</v>
      </c>
      <c r="G73" s="149" t="s">
        <v>429</v>
      </c>
      <c r="H73" s="3">
        <f t="shared" si="1"/>
        <v>13269.25</v>
      </c>
      <c r="I73" s="3">
        <v>2123.08</v>
      </c>
    </row>
    <row r="74" spans="1:9">
      <c r="A74" t="s">
        <v>477</v>
      </c>
      <c r="B74" s="1">
        <v>41710</v>
      </c>
      <c r="C74" t="s">
        <v>2151</v>
      </c>
      <c r="D74">
        <v>1</v>
      </c>
      <c r="E74" t="s">
        <v>429</v>
      </c>
      <c r="F74" s="150" t="s">
        <v>818</v>
      </c>
      <c r="G74" s="149" t="s">
        <v>429</v>
      </c>
      <c r="H74" s="3">
        <f t="shared" si="1"/>
        <v>99684</v>
      </c>
      <c r="I74" s="3">
        <v>15949.44</v>
      </c>
    </row>
    <row r="75" spans="1:9">
      <c r="A75" t="s">
        <v>2152</v>
      </c>
      <c r="B75" s="1">
        <v>41711</v>
      </c>
      <c r="C75" t="s">
        <v>2153</v>
      </c>
      <c r="D75">
        <v>1</v>
      </c>
      <c r="E75" t="s">
        <v>429</v>
      </c>
      <c r="F75" s="150" t="s">
        <v>818</v>
      </c>
      <c r="G75" s="149" t="s">
        <v>429</v>
      </c>
      <c r="H75" s="3">
        <f t="shared" si="1"/>
        <v>1265.875</v>
      </c>
      <c r="I75" s="3">
        <v>202.54</v>
      </c>
    </row>
    <row r="76" spans="1:9">
      <c r="A76" t="s">
        <v>483</v>
      </c>
      <c r="B76" s="1">
        <v>41711</v>
      </c>
      <c r="C76" t="s">
        <v>2154</v>
      </c>
      <c r="D76">
        <v>1</v>
      </c>
      <c r="E76" t="s">
        <v>429</v>
      </c>
      <c r="F76" s="150" t="s">
        <v>818</v>
      </c>
      <c r="G76" s="149" t="s">
        <v>429</v>
      </c>
      <c r="H76" s="3">
        <f t="shared" si="1"/>
        <v>51500</v>
      </c>
      <c r="I76" s="3">
        <v>8240</v>
      </c>
    </row>
    <row r="77" spans="1:9">
      <c r="A77" t="s">
        <v>485</v>
      </c>
      <c r="B77" s="1">
        <v>41711</v>
      </c>
      <c r="C77" t="s">
        <v>2155</v>
      </c>
      <c r="D77">
        <v>1</v>
      </c>
      <c r="E77" t="s">
        <v>429</v>
      </c>
      <c r="F77" s="150" t="s">
        <v>818</v>
      </c>
      <c r="G77" s="149" t="s">
        <v>429</v>
      </c>
      <c r="H77" s="3">
        <f t="shared" si="1"/>
        <v>8363.625</v>
      </c>
      <c r="I77" s="3">
        <v>1338.18</v>
      </c>
    </row>
    <row r="78" spans="1:9">
      <c r="A78" t="s">
        <v>492</v>
      </c>
      <c r="B78" s="1">
        <v>41712</v>
      </c>
      <c r="C78" t="s">
        <v>2160</v>
      </c>
      <c r="D78">
        <v>1</v>
      </c>
      <c r="E78" t="s">
        <v>429</v>
      </c>
      <c r="F78" s="150" t="s">
        <v>818</v>
      </c>
      <c r="G78" s="149" t="s">
        <v>429</v>
      </c>
      <c r="H78" s="3">
        <f t="shared" si="1"/>
        <v>58061.9375</v>
      </c>
      <c r="I78" s="3">
        <v>9289.91</v>
      </c>
    </row>
    <row r="79" spans="1:9">
      <c r="A79" t="s">
        <v>494</v>
      </c>
      <c r="B79" s="1">
        <v>41712</v>
      </c>
      <c r="C79" t="s">
        <v>2161</v>
      </c>
      <c r="D79">
        <v>1</v>
      </c>
      <c r="E79" t="s">
        <v>429</v>
      </c>
      <c r="F79" s="150" t="s">
        <v>818</v>
      </c>
      <c r="G79" s="149" t="s">
        <v>429</v>
      </c>
      <c r="H79" s="3">
        <f t="shared" si="1"/>
        <v>390360.25</v>
      </c>
      <c r="I79" s="3">
        <v>62457.64</v>
      </c>
    </row>
    <row r="80" spans="1:9">
      <c r="A80" t="s">
        <v>497</v>
      </c>
      <c r="B80" s="1">
        <v>41712</v>
      </c>
      <c r="C80" t="s">
        <v>2162</v>
      </c>
      <c r="D80">
        <v>1</v>
      </c>
      <c r="E80" t="s">
        <v>429</v>
      </c>
      <c r="F80" s="150" t="s">
        <v>818</v>
      </c>
      <c r="G80" s="149" t="s">
        <v>429</v>
      </c>
      <c r="H80" s="3">
        <f t="shared" si="1"/>
        <v>2778.75</v>
      </c>
      <c r="I80" s="3">
        <v>444.6</v>
      </c>
    </row>
    <row r="81" spans="1:9">
      <c r="A81" t="s">
        <v>503</v>
      </c>
      <c r="B81" s="1">
        <v>41712</v>
      </c>
      <c r="C81" t="s">
        <v>2163</v>
      </c>
      <c r="D81">
        <v>1</v>
      </c>
      <c r="E81" t="s">
        <v>429</v>
      </c>
      <c r="F81" s="150" t="s">
        <v>818</v>
      </c>
      <c r="G81" s="149" t="s">
        <v>429</v>
      </c>
      <c r="H81" s="3">
        <f t="shared" si="1"/>
        <v>1100</v>
      </c>
      <c r="I81" s="3">
        <v>176</v>
      </c>
    </row>
    <row r="82" spans="1:9">
      <c r="A82" t="s">
        <v>508</v>
      </c>
      <c r="B82" s="1">
        <v>41713</v>
      </c>
      <c r="C82" t="s">
        <v>2166</v>
      </c>
      <c r="D82">
        <v>1</v>
      </c>
      <c r="E82" t="s">
        <v>429</v>
      </c>
      <c r="F82" s="150" t="s">
        <v>818</v>
      </c>
      <c r="G82" s="149" t="s">
        <v>429</v>
      </c>
      <c r="H82" s="3">
        <f t="shared" si="1"/>
        <v>5714.25</v>
      </c>
      <c r="I82" s="3">
        <v>914.28</v>
      </c>
    </row>
    <row r="83" spans="1:9">
      <c r="A83" t="s">
        <v>548</v>
      </c>
      <c r="B83" s="1">
        <v>41716</v>
      </c>
      <c r="C83" t="s">
        <v>2183</v>
      </c>
      <c r="D83">
        <v>1</v>
      </c>
      <c r="E83" t="s">
        <v>429</v>
      </c>
      <c r="F83" s="150" t="s">
        <v>818</v>
      </c>
      <c r="G83" s="149" t="s">
        <v>429</v>
      </c>
      <c r="H83" s="3">
        <f t="shared" si="1"/>
        <v>29568.5</v>
      </c>
      <c r="I83" s="3">
        <v>4730.96</v>
      </c>
    </row>
    <row r="84" spans="1:9">
      <c r="A84" t="s">
        <v>1392</v>
      </c>
      <c r="B84" s="1">
        <v>41716</v>
      </c>
      <c r="C84" t="s">
        <v>2184</v>
      </c>
      <c r="D84">
        <v>1</v>
      </c>
      <c r="E84" t="s">
        <v>429</v>
      </c>
      <c r="F84" s="150" t="s">
        <v>818</v>
      </c>
      <c r="G84" s="149" t="s">
        <v>429</v>
      </c>
      <c r="H84" s="3">
        <f t="shared" si="1"/>
        <v>655.0625</v>
      </c>
      <c r="I84" s="3">
        <v>104.81</v>
      </c>
    </row>
    <row r="85" spans="1:9">
      <c r="A85" t="s">
        <v>551</v>
      </c>
      <c r="B85" s="1">
        <v>41716</v>
      </c>
      <c r="C85" t="s">
        <v>2185</v>
      </c>
      <c r="D85">
        <v>1</v>
      </c>
      <c r="E85" t="s">
        <v>429</v>
      </c>
      <c r="F85" s="150" t="s">
        <v>818</v>
      </c>
      <c r="G85" s="149" t="s">
        <v>429</v>
      </c>
      <c r="H85" s="3">
        <f t="shared" si="1"/>
        <v>25929.75</v>
      </c>
      <c r="I85" s="3">
        <v>4148.76</v>
      </c>
    </row>
    <row r="86" spans="1:9">
      <c r="A86" t="s">
        <v>553</v>
      </c>
      <c r="B86" s="1">
        <v>41716</v>
      </c>
      <c r="C86" t="s">
        <v>2187</v>
      </c>
      <c r="D86">
        <v>1</v>
      </c>
      <c r="E86" t="s">
        <v>429</v>
      </c>
      <c r="F86" s="150" t="s">
        <v>818</v>
      </c>
      <c r="G86" s="149" t="s">
        <v>429</v>
      </c>
      <c r="H86" s="3">
        <f t="shared" si="1"/>
        <v>886.9375</v>
      </c>
      <c r="I86" s="3">
        <v>141.91</v>
      </c>
    </row>
    <row r="87" spans="1:9">
      <c r="A87" t="s">
        <v>1405</v>
      </c>
      <c r="B87" s="1">
        <v>41718</v>
      </c>
      <c r="C87" t="s">
        <v>2197</v>
      </c>
      <c r="D87">
        <v>1</v>
      </c>
      <c r="E87" t="s">
        <v>429</v>
      </c>
      <c r="F87" s="150" t="s">
        <v>818</v>
      </c>
      <c r="G87" s="149" t="s">
        <v>429</v>
      </c>
      <c r="H87" s="3">
        <f t="shared" si="1"/>
        <v>9558.375</v>
      </c>
      <c r="I87" s="3">
        <v>1529.34</v>
      </c>
    </row>
    <row r="88" spans="1:9">
      <c r="A88" t="s">
        <v>1407</v>
      </c>
      <c r="B88" s="1">
        <v>41718</v>
      </c>
      <c r="C88" t="s">
        <v>2198</v>
      </c>
      <c r="D88">
        <v>1</v>
      </c>
      <c r="E88" t="s">
        <v>429</v>
      </c>
      <c r="F88" s="150" t="s">
        <v>818</v>
      </c>
      <c r="G88" s="149" t="s">
        <v>429</v>
      </c>
      <c r="H88" s="3">
        <f t="shared" si="1"/>
        <v>51500</v>
      </c>
      <c r="I88" s="3">
        <v>8240</v>
      </c>
    </row>
    <row r="89" spans="1:9">
      <c r="A89" t="s">
        <v>1409</v>
      </c>
      <c r="B89" s="1">
        <v>41718</v>
      </c>
      <c r="C89" t="s">
        <v>2199</v>
      </c>
      <c r="D89">
        <v>1</v>
      </c>
      <c r="E89" t="s">
        <v>429</v>
      </c>
      <c r="F89" s="150" t="s">
        <v>818</v>
      </c>
      <c r="G89" s="149" t="s">
        <v>429</v>
      </c>
      <c r="H89" s="3">
        <f t="shared" si="1"/>
        <v>11948</v>
      </c>
      <c r="I89" s="3">
        <v>1911.68</v>
      </c>
    </row>
    <row r="90" spans="1:9">
      <c r="A90" t="s">
        <v>564</v>
      </c>
      <c r="B90" s="1">
        <v>41718</v>
      </c>
      <c r="C90" t="s">
        <v>2200</v>
      </c>
      <c r="D90">
        <v>1</v>
      </c>
      <c r="E90" t="s">
        <v>429</v>
      </c>
      <c r="F90" s="150" t="s">
        <v>818</v>
      </c>
      <c r="G90" s="149" t="s">
        <v>429</v>
      </c>
      <c r="H90" s="3">
        <f t="shared" si="1"/>
        <v>4833.5625</v>
      </c>
      <c r="I90" s="3">
        <v>773.37</v>
      </c>
    </row>
    <row r="91" spans="1:9">
      <c r="A91" t="s">
        <v>1418</v>
      </c>
      <c r="B91" s="1">
        <v>41719</v>
      </c>
      <c r="C91" t="s">
        <v>2205</v>
      </c>
      <c r="D91">
        <v>1</v>
      </c>
      <c r="E91" t="s">
        <v>429</v>
      </c>
      <c r="F91" s="150" t="s">
        <v>818</v>
      </c>
      <c r="G91" s="149" t="s">
        <v>429</v>
      </c>
      <c r="H91" s="3">
        <f t="shared" si="1"/>
        <v>5132.0625</v>
      </c>
      <c r="I91" s="3">
        <v>821.13</v>
      </c>
    </row>
    <row r="92" spans="1:9">
      <c r="A92" t="s">
        <v>2207</v>
      </c>
      <c r="B92" s="1">
        <v>41719</v>
      </c>
      <c r="C92" t="s">
        <v>2208</v>
      </c>
      <c r="D92">
        <v>1</v>
      </c>
      <c r="E92" t="s">
        <v>429</v>
      </c>
      <c r="F92" s="150" t="s">
        <v>818</v>
      </c>
      <c r="G92" s="149" t="s">
        <v>429</v>
      </c>
      <c r="H92" s="3">
        <f t="shared" si="1"/>
        <v>49654.875</v>
      </c>
      <c r="I92" s="3">
        <v>7944.78</v>
      </c>
    </row>
    <row r="93" spans="1:9">
      <c r="A93" t="s">
        <v>2209</v>
      </c>
      <c r="B93" s="1">
        <v>41722</v>
      </c>
      <c r="C93" t="s">
        <v>2210</v>
      </c>
      <c r="D93">
        <v>1</v>
      </c>
      <c r="E93" t="s">
        <v>429</v>
      </c>
      <c r="F93" s="150" t="s">
        <v>818</v>
      </c>
      <c r="G93" s="149" t="s">
        <v>429</v>
      </c>
      <c r="H93" s="3">
        <f t="shared" si="1"/>
        <v>37709.4375</v>
      </c>
      <c r="I93" s="3">
        <v>6033.51</v>
      </c>
    </row>
    <row r="94" spans="1:9">
      <c r="A94" t="s">
        <v>1431</v>
      </c>
      <c r="B94" s="1">
        <v>41722</v>
      </c>
      <c r="C94" t="s">
        <v>2211</v>
      </c>
      <c r="D94">
        <v>1</v>
      </c>
      <c r="E94" t="s">
        <v>429</v>
      </c>
      <c r="F94" s="150" t="s">
        <v>818</v>
      </c>
      <c r="G94" s="149" t="s">
        <v>429</v>
      </c>
      <c r="H94" s="3">
        <f t="shared" si="1"/>
        <v>64348.812499999993</v>
      </c>
      <c r="I94" s="3">
        <v>10295.81</v>
      </c>
    </row>
    <row r="95" spans="1:9">
      <c r="A95" t="s">
        <v>2212</v>
      </c>
      <c r="B95" s="1">
        <v>41723</v>
      </c>
      <c r="C95" t="s">
        <v>2213</v>
      </c>
      <c r="D95">
        <v>1</v>
      </c>
      <c r="E95" t="s">
        <v>429</v>
      </c>
      <c r="F95" s="150" t="s">
        <v>818</v>
      </c>
      <c r="G95" s="149" t="s">
        <v>429</v>
      </c>
      <c r="H95" s="3">
        <f t="shared" si="1"/>
        <v>9450.75</v>
      </c>
      <c r="I95" s="3">
        <v>1512.12</v>
      </c>
    </row>
    <row r="96" spans="1:9">
      <c r="A96" t="s">
        <v>2220</v>
      </c>
      <c r="B96" s="1">
        <v>41724</v>
      </c>
      <c r="C96" t="s">
        <v>2221</v>
      </c>
      <c r="D96">
        <v>1</v>
      </c>
      <c r="E96" t="s">
        <v>429</v>
      </c>
      <c r="F96" s="150" t="s">
        <v>818</v>
      </c>
      <c r="G96" s="149" t="s">
        <v>429</v>
      </c>
      <c r="H96" s="3">
        <f t="shared" si="1"/>
        <v>700.9375</v>
      </c>
      <c r="I96" s="3">
        <v>112.15</v>
      </c>
    </row>
    <row r="97" spans="1:9">
      <c r="A97" t="s">
        <v>2228</v>
      </c>
      <c r="B97" s="1">
        <v>41725</v>
      </c>
      <c r="C97" t="s">
        <v>2229</v>
      </c>
      <c r="D97">
        <v>1</v>
      </c>
      <c r="E97" t="s">
        <v>429</v>
      </c>
      <c r="F97" s="150" t="s">
        <v>818</v>
      </c>
      <c r="G97" s="149" t="s">
        <v>429</v>
      </c>
      <c r="H97" s="3">
        <f t="shared" si="1"/>
        <v>51500</v>
      </c>
      <c r="I97" s="3">
        <v>8240</v>
      </c>
    </row>
    <row r="98" spans="1:9">
      <c r="A98" t="s">
        <v>1453</v>
      </c>
      <c r="B98" s="1">
        <v>41725</v>
      </c>
      <c r="C98" t="s">
        <v>2230</v>
      </c>
      <c r="D98">
        <v>1</v>
      </c>
      <c r="E98" t="s">
        <v>429</v>
      </c>
      <c r="F98" s="150" t="s">
        <v>818</v>
      </c>
      <c r="G98" s="149" t="s">
        <v>429</v>
      </c>
      <c r="H98" s="3">
        <f t="shared" si="1"/>
        <v>11948</v>
      </c>
      <c r="I98" s="3">
        <v>1911.68</v>
      </c>
    </row>
    <row r="99" spans="1:9">
      <c r="A99" t="s">
        <v>2231</v>
      </c>
      <c r="B99" s="1">
        <v>41725</v>
      </c>
      <c r="C99" t="s">
        <v>2232</v>
      </c>
      <c r="D99">
        <v>1</v>
      </c>
      <c r="E99" t="s">
        <v>429</v>
      </c>
      <c r="F99" s="150" t="s">
        <v>818</v>
      </c>
      <c r="G99" s="149" t="s">
        <v>429</v>
      </c>
      <c r="H99" s="3">
        <f t="shared" si="1"/>
        <v>9558.375</v>
      </c>
      <c r="I99" s="3">
        <v>1529.34</v>
      </c>
    </row>
    <row r="100" spans="1:9">
      <c r="A100" t="s">
        <v>2244</v>
      </c>
      <c r="B100" s="1">
        <v>41726</v>
      </c>
      <c r="C100" t="s">
        <v>2245</v>
      </c>
      <c r="D100">
        <v>1</v>
      </c>
      <c r="E100" t="s">
        <v>429</v>
      </c>
      <c r="F100" s="150" t="s">
        <v>818</v>
      </c>
      <c r="G100" s="149" t="s">
        <v>429</v>
      </c>
      <c r="H100" s="3">
        <f t="shared" si="1"/>
        <v>6810.375</v>
      </c>
      <c r="I100" s="3">
        <v>1089.6600000000001</v>
      </c>
    </row>
    <row r="101" spans="1:9">
      <c r="A101" t="s">
        <v>649</v>
      </c>
      <c r="B101" s="1">
        <v>41726</v>
      </c>
      <c r="C101" t="s">
        <v>2246</v>
      </c>
      <c r="D101">
        <v>1</v>
      </c>
      <c r="E101" t="s">
        <v>429</v>
      </c>
      <c r="F101" s="150" t="s">
        <v>818</v>
      </c>
      <c r="G101" s="149" t="s">
        <v>429</v>
      </c>
      <c r="H101" s="3">
        <f t="shared" si="1"/>
        <v>10717.375</v>
      </c>
      <c r="I101" s="3">
        <v>1714.78</v>
      </c>
    </row>
    <row r="102" spans="1:9">
      <c r="A102" t="s">
        <v>651</v>
      </c>
      <c r="B102" s="1">
        <v>41726</v>
      </c>
      <c r="C102" t="s">
        <v>2247</v>
      </c>
      <c r="D102">
        <v>1</v>
      </c>
      <c r="E102" t="s">
        <v>429</v>
      </c>
      <c r="F102" s="150" t="s">
        <v>818</v>
      </c>
      <c r="G102" s="149" t="s">
        <v>429</v>
      </c>
      <c r="H102" s="3">
        <f t="shared" si="1"/>
        <v>1100</v>
      </c>
      <c r="I102" s="3">
        <v>176</v>
      </c>
    </row>
    <row r="103" spans="1:9">
      <c r="A103" t="s">
        <v>653</v>
      </c>
      <c r="B103" s="1">
        <v>41726</v>
      </c>
      <c r="C103" t="s">
        <v>2249</v>
      </c>
      <c r="D103">
        <v>1</v>
      </c>
      <c r="E103" t="s">
        <v>429</v>
      </c>
      <c r="F103" s="150" t="s">
        <v>818</v>
      </c>
      <c r="G103" s="149" t="s">
        <v>429</v>
      </c>
      <c r="H103" s="3">
        <f t="shared" si="1"/>
        <v>91145</v>
      </c>
      <c r="I103" s="3">
        <v>14583.2</v>
      </c>
    </row>
    <row r="104" spans="1:9">
      <c r="A104" t="s">
        <v>659</v>
      </c>
      <c r="B104" s="1">
        <v>41726</v>
      </c>
      <c r="C104" t="s">
        <v>2251</v>
      </c>
      <c r="D104">
        <v>1</v>
      </c>
      <c r="E104" t="s">
        <v>429</v>
      </c>
      <c r="F104" s="150" t="s">
        <v>818</v>
      </c>
      <c r="G104" s="149" t="s">
        <v>429</v>
      </c>
      <c r="H104" s="3">
        <f t="shared" si="1"/>
        <v>145896.3125</v>
      </c>
      <c r="I104" s="3">
        <v>23343.41</v>
      </c>
    </row>
    <row r="105" spans="1:9">
      <c r="A105" t="s">
        <v>661</v>
      </c>
      <c r="B105" s="1">
        <v>41726</v>
      </c>
      <c r="C105" t="s">
        <v>2252</v>
      </c>
      <c r="D105">
        <v>1</v>
      </c>
      <c r="E105" t="s">
        <v>429</v>
      </c>
      <c r="F105" s="150" t="s">
        <v>818</v>
      </c>
      <c r="G105" s="149" t="s">
        <v>429</v>
      </c>
      <c r="H105" s="3">
        <f t="shared" si="1"/>
        <v>2784</v>
      </c>
      <c r="I105" s="3">
        <v>445.44</v>
      </c>
    </row>
    <row r="106" spans="1:9">
      <c r="A106" t="s">
        <v>663</v>
      </c>
      <c r="B106" s="1">
        <v>41727</v>
      </c>
      <c r="C106" t="s">
        <v>2253</v>
      </c>
      <c r="D106">
        <v>1</v>
      </c>
      <c r="E106" t="s">
        <v>429</v>
      </c>
      <c r="F106" s="150" t="s">
        <v>818</v>
      </c>
      <c r="G106" s="149" t="s">
        <v>429</v>
      </c>
      <c r="H106" s="3">
        <f t="shared" si="1"/>
        <v>15544.999999999998</v>
      </c>
      <c r="I106" s="3">
        <v>2487.1999999999998</v>
      </c>
    </row>
    <row r="107" spans="1:9">
      <c r="A107" t="s">
        <v>393</v>
      </c>
      <c r="B107" s="1">
        <v>41729</v>
      </c>
      <c r="C107">
        <v>9931</v>
      </c>
      <c r="D107">
        <v>1</v>
      </c>
      <c r="E107" t="s">
        <v>2041</v>
      </c>
      <c r="F107" s="158" t="s">
        <v>763</v>
      </c>
      <c r="G107" t="s">
        <v>2398</v>
      </c>
      <c r="H107" s="3">
        <f t="shared" si="1"/>
        <v>81.875</v>
      </c>
      <c r="I107" s="3">
        <v>13.1</v>
      </c>
    </row>
    <row r="108" spans="1:9">
      <c r="A108" t="s">
        <v>1757</v>
      </c>
      <c r="B108" s="1">
        <v>41711</v>
      </c>
      <c r="C108">
        <v>9820</v>
      </c>
      <c r="D108">
        <v>1</v>
      </c>
      <c r="E108" t="s">
        <v>268</v>
      </c>
      <c r="F108" s="149" t="s">
        <v>819</v>
      </c>
      <c r="G108" s="149" t="s">
        <v>268</v>
      </c>
      <c r="H108" s="3">
        <f t="shared" si="1"/>
        <v>88.75</v>
      </c>
      <c r="I108" s="3">
        <v>14.2</v>
      </c>
    </row>
    <row r="109" spans="1:9">
      <c r="A109" t="s">
        <v>401</v>
      </c>
      <c r="B109" s="1">
        <v>41729</v>
      </c>
      <c r="C109">
        <v>9935</v>
      </c>
      <c r="D109">
        <v>1</v>
      </c>
      <c r="E109" t="s">
        <v>268</v>
      </c>
      <c r="F109" s="151" t="s">
        <v>819</v>
      </c>
      <c r="G109" s="149" t="s">
        <v>268</v>
      </c>
      <c r="H109" s="3">
        <f t="shared" si="1"/>
        <v>54.312499999999993</v>
      </c>
      <c r="I109" s="3">
        <v>8.69</v>
      </c>
    </row>
    <row r="110" spans="1:9">
      <c r="A110" t="s">
        <v>110</v>
      </c>
      <c r="B110" s="1">
        <v>41718</v>
      </c>
      <c r="C110" t="s">
        <v>1862</v>
      </c>
      <c r="D110">
        <v>1</v>
      </c>
      <c r="E110" t="s">
        <v>777</v>
      </c>
      <c r="F110" s="152" t="s">
        <v>737</v>
      </c>
      <c r="G110" s="149" t="s">
        <v>738</v>
      </c>
      <c r="H110" s="3">
        <f t="shared" si="1"/>
        <v>342833.875</v>
      </c>
      <c r="I110" s="3">
        <v>54853.42</v>
      </c>
    </row>
    <row r="111" spans="1:9">
      <c r="A111" t="s">
        <v>457</v>
      </c>
      <c r="B111" s="1">
        <v>41708</v>
      </c>
      <c r="C111" t="s">
        <v>2138</v>
      </c>
      <c r="D111">
        <v>1</v>
      </c>
      <c r="E111" t="s">
        <v>533</v>
      </c>
      <c r="F111" s="149" t="s">
        <v>825</v>
      </c>
      <c r="G111" s="149" t="s">
        <v>533</v>
      </c>
      <c r="H111" s="3">
        <f t="shared" si="1"/>
        <v>23950</v>
      </c>
      <c r="I111" s="3">
        <v>3832</v>
      </c>
    </row>
    <row r="112" spans="1:9">
      <c r="A112" t="s">
        <v>1365</v>
      </c>
      <c r="B112" s="1">
        <v>41713</v>
      </c>
      <c r="C112" t="s">
        <v>2171</v>
      </c>
      <c r="D112">
        <v>1</v>
      </c>
      <c r="E112" t="s">
        <v>533</v>
      </c>
      <c r="F112" s="149" t="s">
        <v>825</v>
      </c>
      <c r="G112" s="149" t="s">
        <v>533</v>
      </c>
      <c r="H112" s="3">
        <f t="shared" si="1"/>
        <v>15000</v>
      </c>
      <c r="I112" s="3">
        <v>2400</v>
      </c>
    </row>
    <row r="113" spans="1:9">
      <c r="A113" t="s">
        <v>692</v>
      </c>
      <c r="B113" s="1">
        <v>41701</v>
      </c>
      <c r="C113" t="s">
        <v>2268</v>
      </c>
      <c r="D113">
        <v>1</v>
      </c>
      <c r="E113" t="s">
        <v>533</v>
      </c>
      <c r="H113" s="3">
        <f t="shared" si="1"/>
        <v>113568.93749999999</v>
      </c>
      <c r="I113" s="3">
        <v>18171.03</v>
      </c>
    </row>
    <row r="114" spans="1:9">
      <c r="A114" t="s">
        <v>1356</v>
      </c>
      <c r="B114" s="1">
        <v>41713</v>
      </c>
      <c r="C114" t="s">
        <v>2167</v>
      </c>
      <c r="D114">
        <v>1</v>
      </c>
      <c r="E114" t="s">
        <v>541</v>
      </c>
      <c r="F114" s="149" t="s">
        <v>826</v>
      </c>
      <c r="G114" s="149" t="s">
        <v>541</v>
      </c>
      <c r="H114" s="3">
        <f t="shared" si="1"/>
        <v>2336</v>
      </c>
      <c r="I114" s="3">
        <v>373.76</v>
      </c>
    </row>
    <row r="115" spans="1:9">
      <c r="A115" t="s">
        <v>139</v>
      </c>
      <c r="B115" s="1">
        <v>41719</v>
      </c>
      <c r="C115">
        <v>9870</v>
      </c>
      <c r="D115">
        <v>1</v>
      </c>
      <c r="E115" t="s">
        <v>1260</v>
      </c>
      <c r="F115" s="151" t="s">
        <v>1559</v>
      </c>
      <c r="G115" s="149" t="s">
        <v>1260</v>
      </c>
      <c r="H115" s="3">
        <f t="shared" si="1"/>
        <v>352.56249999999994</v>
      </c>
      <c r="I115" s="3">
        <v>56.41</v>
      </c>
    </row>
    <row r="116" spans="1:9">
      <c r="A116" t="s">
        <v>1770</v>
      </c>
      <c r="B116" s="1">
        <v>41711</v>
      </c>
      <c r="C116" t="s">
        <v>1771</v>
      </c>
      <c r="D116">
        <v>1</v>
      </c>
      <c r="E116" t="s">
        <v>138</v>
      </c>
      <c r="F116" s="149" t="s">
        <v>828</v>
      </c>
      <c r="G116" s="149" t="s">
        <v>138</v>
      </c>
      <c r="H116" s="3">
        <f t="shared" si="1"/>
        <v>300</v>
      </c>
      <c r="I116" s="3">
        <v>48</v>
      </c>
    </row>
    <row r="117" spans="1:9">
      <c r="A117" t="s">
        <v>1943</v>
      </c>
      <c r="B117" s="1">
        <v>41725</v>
      </c>
      <c r="C117" t="s">
        <v>1944</v>
      </c>
      <c r="D117">
        <v>1</v>
      </c>
      <c r="E117" t="s">
        <v>1945</v>
      </c>
      <c r="F117" s="149" t="s">
        <v>1560</v>
      </c>
      <c r="G117" s="149" t="s">
        <v>1561</v>
      </c>
      <c r="H117" s="3">
        <f t="shared" si="1"/>
        <v>295915.4375</v>
      </c>
      <c r="I117" s="3">
        <v>47346.47</v>
      </c>
    </row>
    <row r="118" spans="1:9">
      <c r="A118" t="s">
        <v>1880</v>
      </c>
      <c r="B118" s="1">
        <v>41719</v>
      </c>
      <c r="C118">
        <v>9850</v>
      </c>
      <c r="D118">
        <v>1</v>
      </c>
      <c r="E118" t="s">
        <v>1881</v>
      </c>
      <c r="F118" s="151" t="s">
        <v>2289</v>
      </c>
      <c r="G118" s="149" t="s">
        <v>1881</v>
      </c>
      <c r="H118" s="3">
        <f t="shared" si="1"/>
        <v>500</v>
      </c>
      <c r="I118" s="3">
        <v>80</v>
      </c>
    </row>
    <row r="119" spans="1:9">
      <c r="A119" t="s">
        <v>2269</v>
      </c>
      <c r="B119" s="1">
        <v>41709</v>
      </c>
      <c r="C119" t="s">
        <v>2270</v>
      </c>
      <c r="D119">
        <v>1</v>
      </c>
      <c r="E119" t="s">
        <v>2271</v>
      </c>
      <c r="F119" s="72" t="s">
        <v>831</v>
      </c>
      <c r="G119" s="8" t="s">
        <v>467</v>
      </c>
      <c r="H119" s="3">
        <f t="shared" si="1"/>
        <v>2164.8125</v>
      </c>
      <c r="I119" s="3">
        <v>346.37</v>
      </c>
    </row>
    <row r="120" spans="1:9">
      <c r="A120" t="s">
        <v>2272</v>
      </c>
      <c r="B120" s="1">
        <v>41726</v>
      </c>
      <c r="C120" t="s">
        <v>2273</v>
      </c>
      <c r="D120">
        <v>1</v>
      </c>
      <c r="E120" t="s">
        <v>2274</v>
      </c>
      <c r="F120" s="72" t="s">
        <v>831</v>
      </c>
      <c r="G120" s="8" t="s">
        <v>467</v>
      </c>
      <c r="H120" s="3">
        <f t="shared" si="1"/>
        <v>1291.8125</v>
      </c>
      <c r="I120" s="3">
        <v>206.69</v>
      </c>
    </row>
    <row r="121" spans="1:9">
      <c r="A121" t="s">
        <v>2275</v>
      </c>
      <c r="B121" s="1">
        <v>41726</v>
      </c>
      <c r="C121" t="s">
        <v>2276</v>
      </c>
      <c r="D121">
        <v>1</v>
      </c>
      <c r="E121" t="s">
        <v>2277</v>
      </c>
      <c r="F121" s="72" t="s">
        <v>831</v>
      </c>
      <c r="G121" s="8" t="s">
        <v>467</v>
      </c>
      <c r="H121" s="3">
        <f t="shared" si="1"/>
        <v>487.06250000000006</v>
      </c>
      <c r="I121" s="3">
        <v>77.930000000000007</v>
      </c>
    </row>
    <row r="122" spans="1:9">
      <c r="A122" t="s">
        <v>358</v>
      </c>
      <c r="B122" s="1">
        <v>41729</v>
      </c>
      <c r="C122">
        <v>9902</v>
      </c>
      <c r="D122">
        <v>1</v>
      </c>
      <c r="E122" t="s">
        <v>2021</v>
      </c>
      <c r="F122" s="151" t="s">
        <v>833</v>
      </c>
      <c r="G122" s="149" t="s">
        <v>2290</v>
      </c>
      <c r="H122" s="3">
        <f t="shared" si="1"/>
        <v>118.99999999999999</v>
      </c>
      <c r="I122" s="3">
        <v>19.04</v>
      </c>
    </row>
    <row r="123" spans="1:9">
      <c r="A123" t="s">
        <v>2038</v>
      </c>
      <c r="B123" s="1">
        <v>41729</v>
      </c>
      <c r="C123">
        <v>9929</v>
      </c>
      <c r="D123">
        <v>1</v>
      </c>
      <c r="E123" t="s">
        <v>2039</v>
      </c>
      <c r="F123" s="151" t="s">
        <v>2291</v>
      </c>
      <c r="G123" s="149" t="s">
        <v>2039</v>
      </c>
      <c r="H123" s="3">
        <f t="shared" si="1"/>
        <v>11.9375</v>
      </c>
      <c r="I123" s="3">
        <v>1.91</v>
      </c>
    </row>
    <row r="124" spans="1:9">
      <c r="A124" t="s">
        <v>2019</v>
      </c>
      <c r="B124" s="1">
        <v>41729</v>
      </c>
      <c r="C124">
        <v>9899</v>
      </c>
      <c r="D124">
        <v>1</v>
      </c>
      <c r="E124" t="s">
        <v>2020</v>
      </c>
      <c r="F124" s="152" t="s">
        <v>2292</v>
      </c>
      <c r="G124" s="149" t="s">
        <v>2020</v>
      </c>
      <c r="H124" s="3">
        <f t="shared" si="1"/>
        <v>786.1875</v>
      </c>
      <c r="I124" s="3">
        <v>125.79</v>
      </c>
    </row>
    <row r="125" spans="1:9">
      <c r="A125" t="s">
        <v>382</v>
      </c>
      <c r="B125" s="1">
        <v>41729</v>
      </c>
      <c r="C125">
        <v>9923</v>
      </c>
      <c r="D125">
        <v>1</v>
      </c>
      <c r="E125" t="s">
        <v>2036</v>
      </c>
      <c r="F125" s="151" t="s">
        <v>870</v>
      </c>
      <c r="G125" s="149" t="s">
        <v>2036</v>
      </c>
      <c r="H125" s="3">
        <f t="shared" si="1"/>
        <v>891.75</v>
      </c>
      <c r="I125" s="3">
        <v>142.68</v>
      </c>
    </row>
    <row r="126" spans="1:9">
      <c r="A126" t="s">
        <v>2029</v>
      </c>
      <c r="B126" s="1">
        <v>41729</v>
      </c>
      <c r="C126">
        <v>9913</v>
      </c>
      <c r="D126">
        <v>1</v>
      </c>
      <c r="E126" t="s">
        <v>343</v>
      </c>
      <c r="F126" s="151" t="s">
        <v>835</v>
      </c>
      <c r="G126" s="149" t="s">
        <v>343</v>
      </c>
      <c r="H126" s="3">
        <f t="shared" si="1"/>
        <v>81.6875</v>
      </c>
      <c r="I126" s="3">
        <v>13.07</v>
      </c>
    </row>
    <row r="127" spans="1:9">
      <c r="A127" t="s">
        <v>370</v>
      </c>
      <c r="B127" s="1">
        <v>41729</v>
      </c>
      <c r="C127">
        <v>9914</v>
      </c>
      <c r="D127">
        <v>1</v>
      </c>
      <c r="E127" t="s">
        <v>343</v>
      </c>
      <c r="F127" s="151" t="s">
        <v>835</v>
      </c>
      <c r="G127" s="149" t="s">
        <v>343</v>
      </c>
      <c r="H127" s="3">
        <f t="shared" si="1"/>
        <v>189.875</v>
      </c>
      <c r="I127" s="3">
        <v>30.38</v>
      </c>
    </row>
    <row r="128" spans="1:9">
      <c r="A128" t="s">
        <v>403</v>
      </c>
      <c r="B128" s="1">
        <v>41729</v>
      </c>
      <c r="C128">
        <v>9936</v>
      </c>
      <c r="D128">
        <v>1</v>
      </c>
      <c r="E128" t="s">
        <v>343</v>
      </c>
      <c r="F128" s="151" t="s">
        <v>835</v>
      </c>
      <c r="G128" s="149" t="s">
        <v>343</v>
      </c>
      <c r="H128" s="3">
        <f t="shared" si="1"/>
        <v>87.25</v>
      </c>
      <c r="I128" s="3">
        <v>13.96</v>
      </c>
    </row>
    <row r="129" spans="1:12">
      <c r="A129" t="s">
        <v>390</v>
      </c>
      <c r="B129" s="1">
        <v>41729</v>
      </c>
      <c r="C129">
        <v>9930</v>
      </c>
      <c r="D129">
        <v>1</v>
      </c>
      <c r="E129" t="s">
        <v>2040</v>
      </c>
      <c r="F129" s="151" t="s">
        <v>2293</v>
      </c>
      <c r="G129" s="149" t="s">
        <v>2040</v>
      </c>
      <c r="H129" s="3">
        <f t="shared" si="1"/>
        <v>319</v>
      </c>
      <c r="I129" s="3">
        <v>51.04</v>
      </c>
    </row>
    <row r="130" spans="1:12" ht="17.25" customHeight="1">
      <c r="A130" t="s">
        <v>433</v>
      </c>
      <c r="B130" s="1">
        <v>41701</v>
      </c>
      <c r="C130" t="s">
        <v>2108</v>
      </c>
      <c r="D130">
        <v>1</v>
      </c>
      <c r="E130" t="s">
        <v>450</v>
      </c>
      <c r="F130" s="151" t="s">
        <v>2294</v>
      </c>
      <c r="G130" s="171" t="s">
        <v>2295</v>
      </c>
      <c r="H130" s="170">
        <f>I130/0.16</f>
        <v>1803.4375</v>
      </c>
      <c r="I130" s="170">
        <v>288.55</v>
      </c>
      <c r="J130" s="3"/>
      <c r="K130" s="3"/>
    </row>
    <row r="131" spans="1:12">
      <c r="A131" t="s">
        <v>433</v>
      </c>
      <c r="B131" s="1">
        <v>41701</v>
      </c>
      <c r="C131" t="s">
        <v>2108</v>
      </c>
      <c r="D131">
        <v>1</v>
      </c>
      <c r="E131" t="s">
        <v>450</v>
      </c>
      <c r="F131" t="s">
        <v>763</v>
      </c>
      <c r="G131" t="s">
        <v>900</v>
      </c>
      <c r="H131" s="175">
        <f t="shared" ref="H131" si="2">I131/0.16</f>
        <v>112.125</v>
      </c>
      <c r="I131" s="176">
        <v>17.940000000000001</v>
      </c>
      <c r="J131" s="3">
        <f>1915.5-H130-H131</f>
        <v>-6.25E-2</v>
      </c>
      <c r="K131" s="3">
        <f>306.48-I130-I131</f>
        <v>-9.9999999999944578E-3</v>
      </c>
      <c r="L131" t="s">
        <v>850</v>
      </c>
    </row>
    <row r="132" spans="1:12">
      <c r="A132" t="s">
        <v>559</v>
      </c>
      <c r="B132" s="1">
        <v>41717</v>
      </c>
      <c r="C132" t="s">
        <v>2196</v>
      </c>
      <c r="D132">
        <v>1</v>
      </c>
      <c r="E132" t="s">
        <v>450</v>
      </c>
      <c r="F132" s="172" t="s">
        <v>839</v>
      </c>
      <c r="G132" s="173" t="s">
        <v>1567</v>
      </c>
      <c r="H132" s="3">
        <f>+I132/0.16</f>
        <v>689.6875</v>
      </c>
      <c r="I132" s="3">
        <v>110.35</v>
      </c>
      <c r="J132" s="13" t="e">
        <f>+H132-#REF!</f>
        <v>#REF!</v>
      </c>
      <c r="K132" s="13" t="e">
        <f>+I132-#REF!</f>
        <v>#REF!</v>
      </c>
      <c r="L132" t="s">
        <v>850</v>
      </c>
    </row>
    <row r="133" spans="1:12">
      <c r="A133" t="s">
        <v>399</v>
      </c>
      <c r="B133" s="1">
        <v>41729</v>
      </c>
      <c r="C133">
        <v>9933</v>
      </c>
      <c r="D133">
        <v>1</v>
      </c>
      <c r="E133" t="s">
        <v>2042</v>
      </c>
      <c r="F133" s="164" t="s">
        <v>2296</v>
      </c>
      <c r="G133" s="137" t="s">
        <v>2297</v>
      </c>
      <c r="H133" s="3">
        <f t="shared" si="1"/>
        <v>335</v>
      </c>
      <c r="I133" s="3">
        <v>53.6</v>
      </c>
    </row>
    <row r="134" spans="1:12">
      <c r="A134" t="s">
        <v>1188</v>
      </c>
      <c r="B134" s="1">
        <v>41724</v>
      </c>
      <c r="C134" t="s">
        <v>1941</v>
      </c>
      <c r="D134">
        <v>1</v>
      </c>
      <c r="E134" t="s">
        <v>1942</v>
      </c>
      <c r="F134" s="149" t="s">
        <v>1573</v>
      </c>
      <c r="G134" s="149" t="s">
        <v>1574</v>
      </c>
      <c r="H134" s="3">
        <f t="shared" si="1"/>
        <v>150134.0625</v>
      </c>
      <c r="I134" s="3">
        <v>24021.45</v>
      </c>
    </row>
    <row r="135" spans="1:12">
      <c r="A135" t="s">
        <v>353</v>
      </c>
      <c r="B135" s="1">
        <v>41729</v>
      </c>
      <c r="C135">
        <v>9898</v>
      </c>
      <c r="D135">
        <v>1</v>
      </c>
      <c r="E135" t="s">
        <v>2018</v>
      </c>
      <c r="F135" s="152" t="s">
        <v>845</v>
      </c>
      <c r="G135" s="149" t="s">
        <v>2018</v>
      </c>
      <c r="H135" s="3">
        <f t="shared" si="1"/>
        <v>430</v>
      </c>
      <c r="I135" s="3">
        <v>68.8</v>
      </c>
    </row>
    <row r="136" spans="1:12">
      <c r="A136" t="s">
        <v>451</v>
      </c>
      <c r="B136" s="1">
        <v>41708</v>
      </c>
      <c r="C136" t="s">
        <v>2134</v>
      </c>
      <c r="D136">
        <v>1</v>
      </c>
      <c r="E136" t="s">
        <v>499</v>
      </c>
      <c r="F136" s="149" t="s">
        <v>845</v>
      </c>
      <c r="G136" s="149" t="s">
        <v>499</v>
      </c>
      <c r="H136" s="3">
        <f t="shared" si="1"/>
        <v>1172</v>
      </c>
      <c r="I136" s="3">
        <v>187.52</v>
      </c>
    </row>
    <row r="137" spans="1:12">
      <c r="A137" t="s">
        <v>510</v>
      </c>
      <c r="B137" s="1">
        <v>41713</v>
      </c>
      <c r="C137" t="s">
        <v>2168</v>
      </c>
      <c r="D137">
        <v>1</v>
      </c>
      <c r="E137" t="s">
        <v>499</v>
      </c>
      <c r="F137" s="149" t="s">
        <v>845</v>
      </c>
      <c r="G137" s="149" t="s">
        <v>499</v>
      </c>
      <c r="H137" s="3">
        <f t="shared" ref="H137:H201" si="3">+I137/0.16</f>
        <v>1901.0000000000002</v>
      </c>
      <c r="I137" s="3">
        <v>304.16000000000003</v>
      </c>
    </row>
    <row r="138" spans="1:12">
      <c r="A138" t="s">
        <v>641</v>
      </c>
      <c r="B138" s="1">
        <v>41725</v>
      </c>
      <c r="C138" t="s">
        <v>2242</v>
      </c>
      <c r="D138">
        <v>1</v>
      </c>
      <c r="E138" t="s">
        <v>499</v>
      </c>
      <c r="F138" s="149" t="s">
        <v>845</v>
      </c>
      <c r="G138" s="149" t="s">
        <v>499</v>
      </c>
      <c r="H138" s="3">
        <f t="shared" si="3"/>
        <v>993.99999999999989</v>
      </c>
      <c r="I138" s="3">
        <v>159.04</v>
      </c>
    </row>
    <row r="139" spans="1:12">
      <c r="A139" t="s">
        <v>1794</v>
      </c>
      <c r="B139" s="1">
        <v>41713</v>
      </c>
      <c r="C139" t="s">
        <v>1795</v>
      </c>
      <c r="D139">
        <v>1</v>
      </c>
      <c r="E139" t="s">
        <v>1796</v>
      </c>
      <c r="F139" s="149" t="s">
        <v>1573</v>
      </c>
      <c r="G139" s="149" t="s">
        <v>1574</v>
      </c>
      <c r="H139" s="3">
        <f t="shared" si="3"/>
        <v>150134.0625</v>
      </c>
      <c r="I139" s="3">
        <v>24021.45</v>
      </c>
    </row>
    <row r="140" spans="1:12">
      <c r="A140" t="s">
        <v>1998</v>
      </c>
      <c r="B140" s="1">
        <v>41729</v>
      </c>
      <c r="C140" t="s">
        <v>1999</v>
      </c>
      <c r="D140">
        <v>1</v>
      </c>
      <c r="E140" t="s">
        <v>2000</v>
      </c>
      <c r="F140" s="149" t="s">
        <v>1573</v>
      </c>
      <c r="G140" s="149" t="s">
        <v>1574</v>
      </c>
      <c r="H140" s="3">
        <f t="shared" si="3"/>
        <v>237511</v>
      </c>
      <c r="I140" s="3">
        <v>38001.760000000002</v>
      </c>
    </row>
    <row r="141" spans="1:12">
      <c r="A141" t="s">
        <v>1981</v>
      </c>
      <c r="B141" s="1">
        <v>41726</v>
      </c>
      <c r="C141" t="s">
        <v>1982</v>
      </c>
      <c r="D141">
        <v>1</v>
      </c>
      <c r="E141" t="s">
        <v>1983</v>
      </c>
      <c r="F141" s="149" t="s">
        <v>1573</v>
      </c>
      <c r="G141" s="149" t="s">
        <v>1574</v>
      </c>
      <c r="H141" s="3">
        <f t="shared" si="3"/>
        <v>210177.81249999997</v>
      </c>
      <c r="I141" s="3">
        <v>33628.449999999997</v>
      </c>
    </row>
    <row r="142" spans="1:12">
      <c r="A142" t="s">
        <v>1761</v>
      </c>
      <c r="B142" s="1">
        <v>41711</v>
      </c>
      <c r="C142" t="s">
        <v>1762</v>
      </c>
      <c r="D142">
        <v>1</v>
      </c>
      <c r="E142" t="s">
        <v>1763</v>
      </c>
      <c r="F142" s="149" t="s">
        <v>875</v>
      </c>
      <c r="G142" s="149" t="s">
        <v>1763</v>
      </c>
      <c r="H142" s="3">
        <f t="shared" si="3"/>
        <v>650</v>
      </c>
      <c r="I142" s="3">
        <v>104</v>
      </c>
    </row>
    <row r="143" spans="1:12">
      <c r="A143" t="s">
        <v>378</v>
      </c>
      <c r="B143" s="1">
        <v>41729</v>
      </c>
      <c r="C143">
        <v>9919</v>
      </c>
      <c r="D143">
        <v>1</v>
      </c>
      <c r="E143" t="s">
        <v>2034</v>
      </c>
      <c r="F143" s="151" t="s">
        <v>847</v>
      </c>
      <c r="G143" s="149" t="s">
        <v>2034</v>
      </c>
      <c r="H143" s="3">
        <f t="shared" si="3"/>
        <v>60.124999999999993</v>
      </c>
      <c r="I143" s="3">
        <v>9.6199999999999992</v>
      </c>
    </row>
    <row r="144" spans="1:12">
      <c r="A144" t="s">
        <v>2026</v>
      </c>
      <c r="B144" s="1">
        <v>41729</v>
      </c>
      <c r="C144">
        <v>9910</v>
      </c>
      <c r="D144">
        <v>1</v>
      </c>
      <c r="E144" t="s">
        <v>2027</v>
      </c>
      <c r="F144" s="151" t="s">
        <v>847</v>
      </c>
      <c r="G144" s="149" t="s">
        <v>2027</v>
      </c>
      <c r="H144" s="3">
        <f t="shared" si="3"/>
        <v>148.25</v>
      </c>
      <c r="I144" s="3">
        <v>23.72</v>
      </c>
    </row>
    <row r="145" spans="1:9">
      <c r="A145" t="s">
        <v>1842</v>
      </c>
      <c r="B145" s="1">
        <v>41717</v>
      </c>
      <c r="C145">
        <v>9840</v>
      </c>
      <c r="D145">
        <v>1</v>
      </c>
      <c r="E145" t="s">
        <v>1843</v>
      </c>
      <c r="F145" s="151" t="s">
        <v>847</v>
      </c>
      <c r="G145" s="149" t="s">
        <v>1843</v>
      </c>
      <c r="H145" s="3">
        <f t="shared" si="3"/>
        <v>23.25</v>
      </c>
      <c r="I145" s="3">
        <v>3.72</v>
      </c>
    </row>
    <row r="146" spans="1:9">
      <c r="A146" t="s">
        <v>636</v>
      </c>
      <c r="B146" s="1">
        <v>41725</v>
      </c>
      <c r="C146" t="s">
        <v>2239</v>
      </c>
      <c r="D146">
        <v>1</v>
      </c>
      <c r="E146" t="s">
        <v>1472</v>
      </c>
      <c r="F146" s="149" t="s">
        <v>1575</v>
      </c>
      <c r="G146" s="149" t="s">
        <v>1472</v>
      </c>
      <c r="H146" s="3">
        <f t="shared" si="3"/>
        <v>9000</v>
      </c>
      <c r="I146" s="3">
        <v>1440</v>
      </c>
    </row>
    <row r="147" spans="1:9">
      <c r="A147" t="s">
        <v>1749</v>
      </c>
      <c r="B147" s="1">
        <v>41711</v>
      </c>
      <c r="C147">
        <v>9813</v>
      </c>
      <c r="D147">
        <v>1</v>
      </c>
      <c r="E147" t="s">
        <v>1750</v>
      </c>
      <c r="F147" s="149" t="s">
        <v>848</v>
      </c>
      <c r="G147" s="149" t="s">
        <v>1750</v>
      </c>
      <c r="H147" s="3">
        <f t="shared" si="3"/>
        <v>344.8125</v>
      </c>
      <c r="I147" s="3">
        <v>55.17</v>
      </c>
    </row>
    <row r="148" spans="1:9">
      <c r="A148" t="s">
        <v>1846</v>
      </c>
      <c r="B148" s="1">
        <v>41717</v>
      </c>
      <c r="C148">
        <v>9843</v>
      </c>
      <c r="D148">
        <v>1</v>
      </c>
      <c r="E148" t="s">
        <v>1750</v>
      </c>
      <c r="F148" s="149" t="s">
        <v>848</v>
      </c>
      <c r="G148" s="149" t="s">
        <v>1750</v>
      </c>
      <c r="H148" s="3">
        <f t="shared" si="3"/>
        <v>344.8125</v>
      </c>
      <c r="I148" s="3">
        <v>55.17</v>
      </c>
    </row>
    <row r="149" spans="1:9">
      <c r="A149" t="s">
        <v>2024</v>
      </c>
      <c r="B149" s="1">
        <v>41729</v>
      </c>
      <c r="C149">
        <v>9909</v>
      </c>
      <c r="D149">
        <v>1</v>
      </c>
      <c r="E149" t="s">
        <v>2025</v>
      </c>
      <c r="F149" s="149" t="s">
        <v>848</v>
      </c>
      <c r="G149" s="149" t="s">
        <v>1750</v>
      </c>
      <c r="H149" s="3">
        <f t="shared" si="3"/>
        <v>344.8125</v>
      </c>
      <c r="I149" s="3">
        <v>55.17</v>
      </c>
    </row>
    <row r="150" spans="1:9">
      <c r="A150" t="s">
        <v>1322</v>
      </c>
      <c r="B150" s="1">
        <v>41708</v>
      </c>
      <c r="C150" t="s">
        <v>2139</v>
      </c>
      <c r="D150">
        <v>2</v>
      </c>
      <c r="E150" t="s">
        <v>512</v>
      </c>
      <c r="F150" s="151" t="s">
        <v>849</v>
      </c>
      <c r="G150" s="149" t="s">
        <v>512</v>
      </c>
      <c r="H150" s="3">
        <f t="shared" si="3"/>
        <v>13764.812499999998</v>
      </c>
      <c r="I150" s="3">
        <v>2202.37</v>
      </c>
    </row>
    <row r="151" spans="1:9">
      <c r="A151" t="s">
        <v>2140</v>
      </c>
      <c r="B151" s="1">
        <v>41709</v>
      </c>
      <c r="C151" t="s">
        <v>2141</v>
      </c>
      <c r="D151">
        <v>2</v>
      </c>
      <c r="E151" t="s">
        <v>512</v>
      </c>
      <c r="F151" s="149" t="s">
        <v>849</v>
      </c>
      <c r="G151" s="149" t="s">
        <v>512</v>
      </c>
      <c r="H151" s="3">
        <f t="shared" si="3"/>
        <v>700</v>
      </c>
      <c r="I151" s="3">
        <v>112</v>
      </c>
    </row>
    <row r="152" spans="1:9">
      <c r="A152" t="s">
        <v>516</v>
      </c>
      <c r="B152" s="1">
        <v>41716</v>
      </c>
      <c r="C152" t="s">
        <v>2182</v>
      </c>
      <c r="D152">
        <v>2</v>
      </c>
      <c r="E152" t="s">
        <v>512</v>
      </c>
      <c r="F152" s="149" t="s">
        <v>849</v>
      </c>
      <c r="G152" s="149" t="s">
        <v>512</v>
      </c>
      <c r="H152" s="3">
        <f t="shared" si="3"/>
        <v>15490.562499999998</v>
      </c>
      <c r="I152" s="3">
        <v>2478.4899999999998</v>
      </c>
    </row>
    <row r="153" spans="1:9">
      <c r="A153" t="s">
        <v>631</v>
      </c>
      <c r="B153" s="1">
        <v>41725</v>
      </c>
      <c r="C153" t="s">
        <v>2237</v>
      </c>
      <c r="D153">
        <v>2</v>
      </c>
      <c r="E153" t="s">
        <v>512</v>
      </c>
      <c r="F153" s="149" t="s">
        <v>849</v>
      </c>
      <c r="G153" s="149" t="s">
        <v>512</v>
      </c>
      <c r="H153" s="3">
        <f t="shared" si="3"/>
        <v>5017.5</v>
      </c>
      <c r="I153" s="3">
        <v>802.8</v>
      </c>
    </row>
    <row r="154" spans="1:9">
      <c r="A154" t="s">
        <v>2129</v>
      </c>
      <c r="B154" s="1">
        <v>41708</v>
      </c>
      <c r="C154" t="s">
        <v>2130</v>
      </c>
      <c r="D154">
        <v>1</v>
      </c>
      <c r="E154" t="s">
        <v>2131</v>
      </c>
      <c r="F154" s="151" t="s">
        <v>2298</v>
      </c>
      <c r="G154" s="149" t="s">
        <v>2131</v>
      </c>
      <c r="H154" s="3">
        <f t="shared" si="3"/>
        <v>6659.9999999999991</v>
      </c>
      <c r="I154" s="3">
        <v>1065.5999999999999</v>
      </c>
    </row>
    <row r="155" spans="1:9">
      <c r="A155" t="s">
        <v>625</v>
      </c>
      <c r="B155" s="1">
        <v>41725</v>
      </c>
      <c r="C155" t="s">
        <v>2234</v>
      </c>
      <c r="D155">
        <v>1</v>
      </c>
      <c r="E155" t="s">
        <v>1498</v>
      </c>
      <c r="F155" s="149" t="s">
        <v>1577</v>
      </c>
      <c r="G155" s="149" t="s">
        <v>1498</v>
      </c>
      <c r="H155" s="3">
        <f t="shared" si="3"/>
        <v>3500</v>
      </c>
      <c r="I155" s="3">
        <v>560</v>
      </c>
    </row>
    <row r="156" spans="1:9">
      <c r="A156" t="s">
        <v>374</v>
      </c>
      <c r="B156" s="1">
        <v>41729</v>
      </c>
      <c r="C156">
        <v>9917</v>
      </c>
      <c r="D156">
        <v>1</v>
      </c>
      <c r="E156" t="s">
        <v>2033</v>
      </c>
      <c r="F156" s="151" t="s">
        <v>2299</v>
      </c>
      <c r="G156" s="149" t="s">
        <v>2033</v>
      </c>
      <c r="H156" s="3">
        <f t="shared" si="3"/>
        <v>275</v>
      </c>
      <c r="I156" s="3">
        <v>44</v>
      </c>
    </row>
    <row r="157" spans="1:9">
      <c r="A157" t="s">
        <v>1324</v>
      </c>
      <c r="B157" s="1">
        <v>41709</v>
      </c>
      <c r="C157" t="s">
        <v>2142</v>
      </c>
      <c r="D157">
        <v>2</v>
      </c>
      <c r="E157" t="s">
        <v>608</v>
      </c>
      <c r="F157" s="149" t="s">
        <v>853</v>
      </c>
      <c r="G157" s="149" t="s">
        <v>608</v>
      </c>
      <c r="H157" s="3">
        <f t="shared" si="3"/>
        <v>77</v>
      </c>
      <c r="I157" s="3">
        <v>12.32</v>
      </c>
    </row>
    <row r="158" spans="1:9">
      <c r="A158" t="s">
        <v>506</v>
      </c>
      <c r="B158" s="1">
        <v>41713</v>
      </c>
      <c r="C158" t="s">
        <v>2165</v>
      </c>
      <c r="D158">
        <v>2</v>
      </c>
      <c r="E158" t="s">
        <v>608</v>
      </c>
      <c r="F158" s="149" t="s">
        <v>853</v>
      </c>
      <c r="G158" s="149" t="s">
        <v>608</v>
      </c>
      <c r="H158" s="3">
        <f t="shared" si="3"/>
        <v>882</v>
      </c>
      <c r="I158" s="3">
        <v>141.12</v>
      </c>
    </row>
    <row r="159" spans="1:9">
      <c r="A159" t="s">
        <v>623</v>
      </c>
      <c r="B159" s="1">
        <v>41725</v>
      </c>
      <c r="C159" t="s">
        <v>2233</v>
      </c>
      <c r="D159">
        <v>2</v>
      </c>
      <c r="E159" t="s">
        <v>608</v>
      </c>
      <c r="F159" s="149" t="s">
        <v>853</v>
      </c>
      <c r="G159" s="149" t="s">
        <v>608</v>
      </c>
      <c r="H159" s="3">
        <f t="shared" si="3"/>
        <v>882</v>
      </c>
      <c r="I159" s="3">
        <v>141.12</v>
      </c>
    </row>
    <row r="160" spans="1:9">
      <c r="A160" t="s">
        <v>1756</v>
      </c>
      <c r="B160" s="1">
        <v>41711</v>
      </c>
      <c r="C160">
        <v>9819</v>
      </c>
      <c r="D160">
        <v>1</v>
      </c>
      <c r="E160" t="s">
        <v>1245</v>
      </c>
      <c r="F160" s="149" t="s">
        <v>1578</v>
      </c>
      <c r="G160" s="149" t="s">
        <v>1245</v>
      </c>
      <c r="H160" s="3">
        <f t="shared" si="3"/>
        <v>114.99999999999999</v>
      </c>
      <c r="I160" s="3">
        <v>18.399999999999999</v>
      </c>
    </row>
    <row r="161" spans="1:12">
      <c r="A161" t="s">
        <v>379</v>
      </c>
      <c r="B161" s="1">
        <v>41729</v>
      </c>
      <c r="C161">
        <v>9921</v>
      </c>
      <c r="D161">
        <v>1</v>
      </c>
      <c r="E161" t="s">
        <v>1245</v>
      </c>
      <c r="F161" s="151" t="s">
        <v>1578</v>
      </c>
      <c r="G161" s="149" t="s">
        <v>1245</v>
      </c>
      <c r="H161" s="3">
        <f t="shared" si="3"/>
        <v>1050</v>
      </c>
      <c r="I161" s="3">
        <v>168</v>
      </c>
    </row>
    <row r="162" spans="1:12">
      <c r="A162" t="s">
        <v>385</v>
      </c>
      <c r="B162" s="1">
        <v>41729</v>
      </c>
      <c r="C162">
        <v>9924</v>
      </c>
      <c r="D162">
        <v>1</v>
      </c>
      <c r="E162" t="s">
        <v>2037</v>
      </c>
      <c r="F162" s="151" t="s">
        <v>2300</v>
      </c>
      <c r="G162" s="149" t="s">
        <v>2037</v>
      </c>
      <c r="H162" s="3">
        <f t="shared" si="3"/>
        <v>780</v>
      </c>
      <c r="I162" s="3">
        <v>124.8</v>
      </c>
    </row>
    <row r="163" spans="1:12">
      <c r="A163" t="s">
        <v>1797</v>
      </c>
      <c r="B163" s="1">
        <v>41713</v>
      </c>
      <c r="C163" t="s">
        <v>1798</v>
      </c>
      <c r="D163">
        <v>1</v>
      </c>
      <c r="E163" t="s">
        <v>1799</v>
      </c>
      <c r="F163" s="148" t="s">
        <v>742</v>
      </c>
      <c r="G163" s="148" t="s">
        <v>1799</v>
      </c>
      <c r="H163" s="3">
        <f t="shared" si="3"/>
        <v>411420.75000000006</v>
      </c>
      <c r="I163" s="3">
        <v>65827.320000000007</v>
      </c>
    </row>
    <row r="164" spans="1:12">
      <c r="A164" t="s">
        <v>474</v>
      </c>
      <c r="B164" s="1">
        <v>41710</v>
      </c>
      <c r="C164" t="s">
        <v>2150</v>
      </c>
      <c r="D164">
        <v>1</v>
      </c>
      <c r="E164" t="s">
        <v>1501</v>
      </c>
      <c r="F164" s="149" t="s">
        <v>1664</v>
      </c>
      <c r="G164" s="149" t="s">
        <v>1665</v>
      </c>
      <c r="H164" s="3">
        <f t="shared" si="3"/>
        <v>31802.125</v>
      </c>
      <c r="I164" s="3">
        <v>5088.34</v>
      </c>
    </row>
    <row r="165" spans="1:12">
      <c r="A165" t="s">
        <v>2188</v>
      </c>
      <c r="B165" s="1">
        <v>41717</v>
      </c>
      <c r="C165" t="s">
        <v>2189</v>
      </c>
      <c r="D165">
        <v>1</v>
      </c>
      <c r="E165" t="s">
        <v>2190</v>
      </c>
      <c r="F165" s="152" t="s">
        <v>796</v>
      </c>
      <c r="G165" s="149" t="s">
        <v>797</v>
      </c>
      <c r="H165" s="3">
        <f t="shared" si="3"/>
        <v>7583.3749999999991</v>
      </c>
      <c r="I165" s="3">
        <v>1213.3399999999999</v>
      </c>
    </row>
    <row r="166" spans="1:12">
      <c r="A166" t="s">
        <v>1510</v>
      </c>
      <c r="B166" s="1">
        <v>41729</v>
      </c>
      <c r="C166" t="s">
        <v>1525</v>
      </c>
      <c r="D166">
        <v>1</v>
      </c>
      <c r="E166" t="s">
        <v>2265</v>
      </c>
      <c r="F166" s="152" t="s">
        <v>804</v>
      </c>
      <c r="G166" s="154" t="s">
        <v>805</v>
      </c>
      <c r="H166" s="3">
        <f t="shared" si="3"/>
        <v>64</v>
      </c>
      <c r="I166" s="3">
        <v>10.24</v>
      </c>
    </row>
    <row r="167" spans="1:12">
      <c r="A167" t="s">
        <v>1939</v>
      </c>
      <c r="B167" s="1">
        <v>41724</v>
      </c>
      <c r="C167" t="s">
        <v>26</v>
      </c>
      <c r="D167">
        <v>1</v>
      </c>
      <c r="E167" t="s">
        <v>1940</v>
      </c>
      <c r="F167" s="138" t="s">
        <v>763</v>
      </c>
      <c r="G167" t="s">
        <v>1548</v>
      </c>
      <c r="H167" s="3">
        <f t="shared" si="3"/>
        <v>572.375</v>
      </c>
      <c r="I167" s="3">
        <v>91.58</v>
      </c>
    </row>
    <row r="168" spans="1:12">
      <c r="A168" t="s">
        <v>1988</v>
      </c>
      <c r="B168" s="1">
        <v>41729</v>
      </c>
      <c r="C168" t="s">
        <v>26</v>
      </c>
      <c r="D168">
        <v>1</v>
      </c>
      <c r="E168" t="s">
        <v>1989</v>
      </c>
      <c r="F168" t="s">
        <v>1553</v>
      </c>
      <c r="G168" t="s">
        <v>1548</v>
      </c>
      <c r="H168" s="3">
        <f t="shared" si="3"/>
        <v>572.375</v>
      </c>
      <c r="I168" s="3">
        <v>91.58</v>
      </c>
    </row>
    <row r="169" spans="1:12">
      <c r="A169" t="s">
        <v>1925</v>
      </c>
      <c r="B169" s="1">
        <v>41723</v>
      </c>
      <c r="C169" t="s">
        <v>26</v>
      </c>
      <c r="D169">
        <v>1</v>
      </c>
      <c r="E169" t="s">
        <v>1926</v>
      </c>
      <c r="F169" s="9" t="s">
        <v>763</v>
      </c>
      <c r="G169" t="s">
        <v>1548</v>
      </c>
      <c r="H169" s="176">
        <f t="shared" ref="H169" si="4">I169/0.16</f>
        <v>572.375</v>
      </c>
      <c r="I169" s="176">
        <v>91.58</v>
      </c>
      <c r="J169" s="3"/>
      <c r="K169" s="3"/>
    </row>
    <row r="170" spans="1:12">
      <c r="A170" t="s">
        <v>1925</v>
      </c>
      <c r="B170" s="1">
        <v>41723</v>
      </c>
      <c r="C170" t="s">
        <v>26</v>
      </c>
      <c r="D170">
        <v>1</v>
      </c>
      <c r="E170" t="s">
        <v>1926</v>
      </c>
      <c r="F170" s="149" t="s">
        <v>893</v>
      </c>
      <c r="G170" s="149" t="s">
        <v>2303</v>
      </c>
      <c r="H170" s="170">
        <f>I170/0.16</f>
        <v>86.187499999999986</v>
      </c>
      <c r="I170" s="170">
        <v>13.79</v>
      </c>
      <c r="J170" s="13">
        <f>658.56-H169-H170</f>
        <v>-2.5000000000403588E-3</v>
      </c>
      <c r="K170" s="13">
        <f>105.37-I169-I170</f>
        <v>0</v>
      </c>
    </row>
    <row r="171" spans="1:12">
      <c r="A171" t="s">
        <v>1949</v>
      </c>
      <c r="B171" s="1">
        <v>41725</v>
      </c>
      <c r="C171" t="s">
        <v>1950</v>
      </c>
      <c r="D171">
        <v>1</v>
      </c>
      <c r="E171" t="s">
        <v>1951</v>
      </c>
      <c r="F171" s="149" t="s">
        <v>858</v>
      </c>
      <c r="G171" s="149" t="s">
        <v>2302</v>
      </c>
      <c r="H171" s="3">
        <f t="shared" si="3"/>
        <v>1587.625</v>
      </c>
      <c r="I171" s="3">
        <v>254.02</v>
      </c>
    </row>
    <row r="172" spans="1:12">
      <c r="A172" t="s">
        <v>2146</v>
      </c>
      <c r="B172" s="1">
        <v>41710</v>
      </c>
      <c r="C172" t="s">
        <v>2147</v>
      </c>
      <c r="D172">
        <v>1</v>
      </c>
      <c r="E172" t="s">
        <v>2148</v>
      </c>
      <c r="F172" s="151" t="s">
        <v>2304</v>
      </c>
      <c r="G172" s="149" t="s">
        <v>2305</v>
      </c>
      <c r="H172" s="3">
        <f t="shared" si="3"/>
        <v>3258.3125</v>
      </c>
      <c r="I172" s="3">
        <v>521.33000000000004</v>
      </c>
    </row>
    <row r="173" spans="1:12">
      <c r="A173" t="s">
        <v>1946</v>
      </c>
      <c r="B173" s="1">
        <v>41725</v>
      </c>
      <c r="C173" t="s">
        <v>1947</v>
      </c>
      <c r="D173">
        <v>1</v>
      </c>
      <c r="E173" t="s">
        <v>1948</v>
      </c>
      <c r="F173" s="149" t="s">
        <v>858</v>
      </c>
      <c r="G173" s="149" t="s">
        <v>2301</v>
      </c>
      <c r="H173" s="3">
        <f t="shared" si="3"/>
        <v>3571.125</v>
      </c>
      <c r="I173" s="3">
        <v>571.38</v>
      </c>
    </row>
    <row r="174" spans="1:12">
      <c r="A174" t="s">
        <v>1413</v>
      </c>
      <c r="B174" s="1">
        <v>41718</v>
      </c>
      <c r="C174" t="s">
        <v>2203</v>
      </c>
      <c r="D174">
        <v>1</v>
      </c>
      <c r="E174" t="s">
        <v>675</v>
      </c>
      <c r="F174" s="147" t="s">
        <v>974</v>
      </c>
      <c r="G174" s="148" t="s">
        <v>975</v>
      </c>
      <c r="H174" s="3">
        <f t="shared" si="3"/>
        <v>107142.875</v>
      </c>
      <c r="I174" s="3">
        <v>17142.86</v>
      </c>
      <c r="J174" s="13" t="e">
        <f>+H174-#REF!</f>
        <v>#REF!</v>
      </c>
      <c r="K174" s="13" t="e">
        <f>+I174-#REF!</f>
        <v>#REF!</v>
      </c>
      <c r="L174" t="s">
        <v>850</v>
      </c>
    </row>
    <row r="175" spans="1:12">
      <c r="A175" t="s">
        <v>52</v>
      </c>
      <c r="B175" s="1">
        <v>41711</v>
      </c>
      <c r="C175" t="s">
        <v>1772</v>
      </c>
      <c r="D175">
        <v>1</v>
      </c>
      <c r="E175" t="s">
        <v>1773</v>
      </c>
      <c r="H175" s="3">
        <f t="shared" si="3"/>
        <v>14963.749999999998</v>
      </c>
      <c r="I175" s="3">
        <v>2394.1999999999998</v>
      </c>
    </row>
    <row r="176" spans="1:12">
      <c r="A176" t="s">
        <v>1965</v>
      </c>
      <c r="B176" s="1">
        <v>41726</v>
      </c>
      <c r="C176" t="s">
        <v>1966</v>
      </c>
      <c r="D176">
        <v>1</v>
      </c>
      <c r="E176" t="s">
        <v>1967</v>
      </c>
      <c r="H176" s="3">
        <f t="shared" si="3"/>
        <v>1263.875</v>
      </c>
      <c r="I176" s="3">
        <v>202.22</v>
      </c>
    </row>
    <row r="177" spans="1:11">
      <c r="A177" t="s">
        <v>1675</v>
      </c>
      <c r="B177" s="1">
        <v>41702</v>
      </c>
      <c r="C177" t="s">
        <v>1676</v>
      </c>
      <c r="D177">
        <v>1</v>
      </c>
      <c r="E177" t="s">
        <v>1677</v>
      </c>
      <c r="H177" s="3">
        <f t="shared" si="3"/>
        <v>1313.8125</v>
      </c>
      <c r="I177" s="3">
        <v>210.21</v>
      </c>
    </row>
    <row r="178" spans="1:11">
      <c r="A178" t="s">
        <v>1962</v>
      </c>
      <c r="B178" s="1">
        <v>41726</v>
      </c>
      <c r="C178" t="s">
        <v>1963</v>
      </c>
      <c r="D178">
        <v>1</v>
      </c>
      <c r="E178" t="s">
        <v>1964</v>
      </c>
      <c r="H178" s="3">
        <f t="shared" si="3"/>
        <v>2319.625</v>
      </c>
      <c r="I178" s="3">
        <v>371.14</v>
      </c>
    </row>
    <row r="179" spans="1:11">
      <c r="A179" t="s">
        <v>1672</v>
      </c>
      <c r="B179" s="1">
        <v>41702</v>
      </c>
      <c r="C179" t="s">
        <v>1673</v>
      </c>
      <c r="D179">
        <v>1</v>
      </c>
      <c r="E179" t="s">
        <v>1674</v>
      </c>
      <c r="H179" s="3">
        <f t="shared" si="3"/>
        <v>2372.0625</v>
      </c>
      <c r="I179" s="3">
        <v>379.53</v>
      </c>
    </row>
    <row r="180" spans="1:11">
      <c r="A180" t="s">
        <v>1936</v>
      </c>
      <c r="B180" s="1">
        <v>41724</v>
      </c>
      <c r="C180" t="s">
        <v>1937</v>
      </c>
      <c r="D180">
        <v>1</v>
      </c>
      <c r="E180" t="s">
        <v>1938</v>
      </c>
      <c r="H180" s="3">
        <f t="shared" si="3"/>
        <v>15863.749999999998</v>
      </c>
      <c r="I180" s="3">
        <v>2538.1999999999998</v>
      </c>
    </row>
    <row r="181" spans="1:11">
      <c r="A181" t="s">
        <v>570</v>
      </c>
      <c r="B181" s="1">
        <v>41718</v>
      </c>
      <c r="C181" t="s">
        <v>2204</v>
      </c>
      <c r="D181">
        <v>1</v>
      </c>
      <c r="E181" t="s">
        <v>672</v>
      </c>
      <c r="F181" s="147" t="s">
        <v>972</v>
      </c>
      <c r="G181" s="148" t="s">
        <v>973</v>
      </c>
      <c r="H181" s="3">
        <f t="shared" si="3"/>
        <v>107142.875</v>
      </c>
      <c r="I181" s="3">
        <v>17142.86</v>
      </c>
      <c r="J181" s="13" t="e">
        <f>+H181-#REF!</f>
        <v>#REF!</v>
      </c>
      <c r="K181" s="13" t="e">
        <f>+I181-#REF!</f>
        <v>#REF!</v>
      </c>
    </row>
    <row r="182" spans="1:11">
      <c r="A182" t="s">
        <v>1706</v>
      </c>
      <c r="B182" s="1">
        <v>41710</v>
      </c>
      <c r="C182" t="s">
        <v>1707</v>
      </c>
      <c r="D182">
        <v>1</v>
      </c>
      <c r="E182" t="s">
        <v>109</v>
      </c>
      <c r="F182" s="149" t="s">
        <v>858</v>
      </c>
      <c r="G182" s="149" t="s">
        <v>1581</v>
      </c>
      <c r="H182" s="3">
        <f t="shared" si="3"/>
        <v>19160.6875</v>
      </c>
      <c r="I182" s="3">
        <v>3065.71</v>
      </c>
    </row>
    <row r="183" spans="1:11">
      <c r="A183" t="s">
        <v>1952</v>
      </c>
      <c r="B183" s="1">
        <v>41725</v>
      </c>
      <c r="C183" t="s">
        <v>1953</v>
      </c>
      <c r="D183">
        <v>1</v>
      </c>
      <c r="E183" t="s">
        <v>1954</v>
      </c>
      <c r="F183" s="149" t="s">
        <v>858</v>
      </c>
      <c r="G183" s="149" t="s">
        <v>2399</v>
      </c>
      <c r="H183" s="3">
        <f t="shared" si="3"/>
        <v>16067.0625</v>
      </c>
      <c r="I183" s="3">
        <v>2570.73</v>
      </c>
    </row>
    <row r="184" spans="1:11">
      <c r="A184" t="s">
        <v>513</v>
      </c>
      <c r="B184" s="1">
        <v>41713</v>
      </c>
      <c r="C184" t="s">
        <v>2181</v>
      </c>
      <c r="D184">
        <v>1</v>
      </c>
      <c r="E184" t="s">
        <v>1367</v>
      </c>
      <c r="F184" s="137" t="s">
        <v>894</v>
      </c>
      <c r="G184" s="137" t="s">
        <v>502</v>
      </c>
      <c r="H184" s="3">
        <f t="shared" si="3"/>
        <v>25313.0625</v>
      </c>
      <c r="I184" s="3">
        <v>4050.09</v>
      </c>
    </row>
    <row r="185" spans="1:11">
      <c r="A185" t="s">
        <v>629</v>
      </c>
      <c r="B185" s="1">
        <v>41725</v>
      </c>
      <c r="C185" t="s">
        <v>2236</v>
      </c>
      <c r="D185">
        <v>1</v>
      </c>
      <c r="E185" t="s">
        <v>1367</v>
      </c>
      <c r="F185" s="137" t="s">
        <v>894</v>
      </c>
      <c r="G185" s="137" t="s">
        <v>502</v>
      </c>
      <c r="H185" s="3">
        <f t="shared" si="3"/>
        <v>23884.6875</v>
      </c>
      <c r="I185" s="3">
        <v>3821.55</v>
      </c>
    </row>
    <row r="186" spans="1:11">
      <c r="A186" t="s">
        <v>1099</v>
      </c>
      <c r="B186" s="1">
        <v>41718</v>
      </c>
      <c r="C186" t="s">
        <v>1859</v>
      </c>
      <c r="D186">
        <v>1</v>
      </c>
      <c r="E186" t="s">
        <v>1441</v>
      </c>
      <c r="F186" s="162" t="s">
        <v>760</v>
      </c>
      <c r="G186" s="163" t="s">
        <v>761</v>
      </c>
      <c r="H186" s="3">
        <f t="shared" si="3"/>
        <v>168289.25</v>
      </c>
      <c r="I186" s="3">
        <v>26926.28</v>
      </c>
    </row>
    <row r="187" spans="1:11">
      <c r="A187" t="s">
        <v>2156</v>
      </c>
      <c r="B187" s="1">
        <v>41711</v>
      </c>
      <c r="C187" t="s">
        <v>2157</v>
      </c>
      <c r="D187">
        <v>2</v>
      </c>
      <c r="E187" t="s">
        <v>590</v>
      </c>
      <c r="F187" s="177" t="s">
        <v>861</v>
      </c>
      <c r="G187" s="148" t="s">
        <v>590</v>
      </c>
      <c r="H187" s="3">
        <f t="shared" si="3"/>
        <v>3061.1875</v>
      </c>
      <c r="I187" s="3">
        <v>489.79</v>
      </c>
    </row>
    <row r="188" spans="1:11">
      <c r="A188" t="s">
        <v>1754</v>
      </c>
      <c r="B188" s="1">
        <v>41711</v>
      </c>
      <c r="C188">
        <v>9816</v>
      </c>
      <c r="D188">
        <v>1</v>
      </c>
      <c r="E188" t="s">
        <v>338</v>
      </c>
      <c r="F188" s="149" t="s">
        <v>862</v>
      </c>
      <c r="G188" s="149" t="s">
        <v>338</v>
      </c>
      <c r="H188" s="3">
        <f t="shared" si="3"/>
        <v>201.0625</v>
      </c>
      <c r="I188" s="3">
        <v>32.17</v>
      </c>
    </row>
    <row r="189" spans="1:11">
      <c r="A189" t="s">
        <v>1844</v>
      </c>
      <c r="B189" s="1">
        <v>41717</v>
      </c>
      <c r="C189">
        <v>9841</v>
      </c>
      <c r="D189">
        <v>1</v>
      </c>
      <c r="E189" t="s">
        <v>338</v>
      </c>
      <c r="F189" s="151" t="s">
        <v>862</v>
      </c>
      <c r="G189" s="149" t="s">
        <v>338</v>
      </c>
      <c r="H189" s="3">
        <f t="shared" si="3"/>
        <v>39.6875</v>
      </c>
      <c r="I189" s="3">
        <v>6.35</v>
      </c>
    </row>
    <row r="190" spans="1:11">
      <c r="A190" t="s">
        <v>1774</v>
      </c>
      <c r="B190" s="1">
        <v>41711</v>
      </c>
      <c r="C190" t="s">
        <v>1775</v>
      </c>
      <c r="D190">
        <v>1</v>
      </c>
      <c r="E190" t="s">
        <v>1776</v>
      </c>
      <c r="F190" s="149" t="s">
        <v>863</v>
      </c>
      <c r="G190" s="149" t="s">
        <v>1776</v>
      </c>
      <c r="H190" s="3">
        <f t="shared" si="3"/>
        <v>258.9375</v>
      </c>
      <c r="I190" s="3">
        <v>41.43</v>
      </c>
    </row>
    <row r="191" spans="1:11">
      <c r="A191" t="s">
        <v>594</v>
      </c>
      <c r="B191" s="1">
        <v>41723</v>
      </c>
      <c r="C191" t="s">
        <v>2216</v>
      </c>
      <c r="D191">
        <v>1</v>
      </c>
      <c r="E191" t="s">
        <v>2217</v>
      </c>
      <c r="F191" s="151" t="s">
        <v>2306</v>
      </c>
      <c r="G191" s="149" t="s">
        <v>2217</v>
      </c>
      <c r="H191" s="3">
        <f t="shared" si="3"/>
        <v>7604.875</v>
      </c>
      <c r="I191" s="3">
        <v>1216.78</v>
      </c>
    </row>
    <row r="192" spans="1:11">
      <c r="A192" t="s">
        <v>1847</v>
      </c>
      <c r="B192" s="1">
        <v>41717</v>
      </c>
      <c r="C192">
        <v>9846</v>
      </c>
      <c r="D192">
        <v>1</v>
      </c>
      <c r="E192" t="s">
        <v>347</v>
      </c>
      <c r="F192" s="149" t="s">
        <v>865</v>
      </c>
      <c r="G192" s="149" t="s">
        <v>347</v>
      </c>
      <c r="H192" s="3">
        <f t="shared" si="3"/>
        <v>387.375</v>
      </c>
      <c r="I192" s="3">
        <v>61.98</v>
      </c>
    </row>
    <row r="193" spans="1:11">
      <c r="A193" t="s">
        <v>356</v>
      </c>
      <c r="B193" s="1">
        <v>41729</v>
      </c>
      <c r="C193">
        <v>9901</v>
      </c>
      <c r="D193">
        <v>1</v>
      </c>
      <c r="E193" t="s">
        <v>347</v>
      </c>
      <c r="F193" s="152" t="s">
        <v>865</v>
      </c>
      <c r="G193" s="149" t="s">
        <v>2307</v>
      </c>
      <c r="H193" s="3">
        <f t="shared" si="3"/>
        <v>28.875</v>
      </c>
      <c r="I193" s="3">
        <v>4.62</v>
      </c>
    </row>
    <row r="194" spans="1:11">
      <c r="A194" t="s">
        <v>1361</v>
      </c>
      <c r="B194" s="1">
        <v>41713</v>
      </c>
      <c r="C194" t="s">
        <v>2169</v>
      </c>
      <c r="D194">
        <v>1</v>
      </c>
      <c r="E194" t="s">
        <v>640</v>
      </c>
      <c r="F194" s="151" t="s">
        <v>866</v>
      </c>
      <c r="G194" s="149" t="s">
        <v>640</v>
      </c>
      <c r="H194" s="3">
        <f t="shared" si="3"/>
        <v>3386.5</v>
      </c>
      <c r="I194" s="3">
        <v>541.84</v>
      </c>
    </row>
    <row r="195" spans="1:11">
      <c r="A195" t="s">
        <v>1753</v>
      </c>
      <c r="B195" s="1">
        <v>41711</v>
      </c>
      <c r="C195">
        <v>9815</v>
      </c>
      <c r="D195">
        <v>1</v>
      </c>
      <c r="E195" t="s">
        <v>1111</v>
      </c>
      <c r="F195" s="149" t="s">
        <v>1582</v>
      </c>
      <c r="G195" s="149" t="s">
        <v>1111</v>
      </c>
      <c r="H195" s="3">
        <f t="shared" si="3"/>
        <v>83.625</v>
      </c>
      <c r="I195" s="3">
        <v>13.38</v>
      </c>
    </row>
    <row r="196" spans="1:11">
      <c r="A196" t="s">
        <v>365</v>
      </c>
      <c r="B196" s="1">
        <v>41729</v>
      </c>
      <c r="C196">
        <v>9907</v>
      </c>
      <c r="D196">
        <v>1</v>
      </c>
      <c r="E196" t="s">
        <v>1090</v>
      </c>
      <c r="F196" s="151" t="s">
        <v>1579</v>
      </c>
      <c r="G196" s="149" t="s">
        <v>1090</v>
      </c>
      <c r="H196" s="3">
        <f t="shared" si="3"/>
        <v>57.499999999999993</v>
      </c>
      <c r="I196" s="3">
        <v>9.1999999999999993</v>
      </c>
    </row>
    <row r="197" spans="1:11">
      <c r="A197" t="s">
        <v>1779</v>
      </c>
      <c r="B197" s="1">
        <v>41711</v>
      </c>
      <c r="C197" t="s">
        <v>1780</v>
      </c>
      <c r="D197">
        <v>1</v>
      </c>
      <c r="E197" t="s">
        <v>364</v>
      </c>
      <c r="F197" s="149" t="s">
        <v>868</v>
      </c>
      <c r="G197" s="149" t="s">
        <v>364</v>
      </c>
      <c r="H197" s="3">
        <f t="shared" si="3"/>
        <v>344.875</v>
      </c>
      <c r="I197" s="3">
        <v>55.18</v>
      </c>
    </row>
    <row r="198" spans="1:11">
      <c r="A198" t="s">
        <v>1781</v>
      </c>
      <c r="B198" s="1">
        <v>41711</v>
      </c>
      <c r="C198" t="s">
        <v>1782</v>
      </c>
      <c r="D198">
        <v>1</v>
      </c>
      <c r="E198" t="s">
        <v>364</v>
      </c>
      <c r="F198" s="149" t="s">
        <v>868</v>
      </c>
      <c r="G198" s="149" t="s">
        <v>364</v>
      </c>
      <c r="H198" s="3">
        <f t="shared" si="3"/>
        <v>172.4375</v>
      </c>
      <c r="I198" s="3">
        <v>27.59</v>
      </c>
    </row>
    <row r="199" spans="1:11">
      <c r="A199" t="s">
        <v>2045</v>
      </c>
      <c r="B199" s="1">
        <v>41729</v>
      </c>
      <c r="C199" t="s">
        <v>2046</v>
      </c>
      <c r="D199">
        <v>1</v>
      </c>
      <c r="E199" t="s">
        <v>364</v>
      </c>
      <c r="F199" s="151" t="s">
        <v>868</v>
      </c>
      <c r="G199" s="149" t="s">
        <v>364</v>
      </c>
      <c r="H199" s="3">
        <f t="shared" si="3"/>
        <v>172.4375</v>
      </c>
      <c r="I199" s="3">
        <v>27.59</v>
      </c>
    </row>
    <row r="200" spans="1:11">
      <c r="A200" t="s">
        <v>2049</v>
      </c>
      <c r="B200" s="1">
        <v>41729</v>
      </c>
      <c r="C200" t="s">
        <v>2050</v>
      </c>
      <c r="D200">
        <v>1</v>
      </c>
      <c r="E200" t="s">
        <v>364</v>
      </c>
      <c r="F200" s="151" t="s">
        <v>868</v>
      </c>
      <c r="G200" s="149" t="s">
        <v>364</v>
      </c>
      <c r="H200" s="3">
        <f t="shared" si="3"/>
        <v>172.4375</v>
      </c>
      <c r="I200" s="3">
        <v>27.59</v>
      </c>
    </row>
    <row r="201" spans="1:11">
      <c r="A201" t="s">
        <v>2051</v>
      </c>
      <c r="B201" s="1">
        <v>41729</v>
      </c>
      <c r="C201" t="s">
        <v>2052</v>
      </c>
      <c r="D201">
        <v>1</v>
      </c>
      <c r="E201" t="s">
        <v>364</v>
      </c>
      <c r="F201" s="151" t="s">
        <v>868</v>
      </c>
      <c r="G201" s="149" t="s">
        <v>364</v>
      </c>
      <c r="H201" s="3">
        <f t="shared" si="3"/>
        <v>172.4375</v>
      </c>
      <c r="I201" s="3">
        <v>27.59</v>
      </c>
    </row>
    <row r="202" spans="1:11">
      <c r="A202" t="s">
        <v>2053</v>
      </c>
      <c r="B202" s="1">
        <v>41729</v>
      </c>
      <c r="C202" t="s">
        <v>2054</v>
      </c>
      <c r="D202">
        <v>1</v>
      </c>
      <c r="E202" t="s">
        <v>364</v>
      </c>
      <c r="F202" s="151" t="s">
        <v>868</v>
      </c>
      <c r="G202" s="149" t="s">
        <v>364</v>
      </c>
      <c r="H202" s="3">
        <f t="shared" ref="H202:H267" si="5">+I202/0.16</f>
        <v>172.4375</v>
      </c>
      <c r="I202" s="3">
        <v>27.59</v>
      </c>
    </row>
    <row r="203" spans="1:11">
      <c r="A203" t="s">
        <v>414</v>
      </c>
      <c r="B203" s="1">
        <v>41729</v>
      </c>
      <c r="C203" t="s">
        <v>2055</v>
      </c>
      <c r="D203">
        <v>1</v>
      </c>
      <c r="E203" t="s">
        <v>364</v>
      </c>
      <c r="F203" s="151" t="s">
        <v>868</v>
      </c>
      <c r="G203" s="149" t="s">
        <v>364</v>
      </c>
      <c r="H203" s="3">
        <f t="shared" si="5"/>
        <v>344.8125</v>
      </c>
      <c r="I203" s="3">
        <v>55.17</v>
      </c>
    </row>
    <row r="204" spans="1:11">
      <c r="A204" t="s">
        <v>416</v>
      </c>
      <c r="B204" s="1">
        <v>41729</v>
      </c>
      <c r="C204" t="s">
        <v>2056</v>
      </c>
      <c r="D204">
        <v>1</v>
      </c>
      <c r="E204" t="s">
        <v>364</v>
      </c>
      <c r="F204" s="151" t="s">
        <v>868</v>
      </c>
      <c r="G204" s="149" t="s">
        <v>364</v>
      </c>
      <c r="H204" s="3">
        <f t="shared" si="5"/>
        <v>172.4375</v>
      </c>
      <c r="I204" s="3">
        <v>27.59</v>
      </c>
    </row>
    <row r="205" spans="1:11">
      <c r="A205" t="s">
        <v>2104</v>
      </c>
      <c r="B205" s="1">
        <v>41729</v>
      </c>
      <c r="C205" t="s">
        <v>2105</v>
      </c>
      <c r="D205">
        <v>1</v>
      </c>
      <c r="E205" t="s">
        <v>364</v>
      </c>
      <c r="F205" s="151" t="s">
        <v>868</v>
      </c>
      <c r="G205" s="149" t="s">
        <v>364</v>
      </c>
      <c r="H205" s="3">
        <f t="shared" si="5"/>
        <v>344.8125</v>
      </c>
      <c r="I205" s="3">
        <v>55.17</v>
      </c>
    </row>
    <row r="206" spans="1:11">
      <c r="A206" t="s">
        <v>2106</v>
      </c>
      <c r="B206" s="1">
        <v>41729</v>
      </c>
      <c r="C206" t="s">
        <v>2107</v>
      </c>
      <c r="D206">
        <v>1</v>
      </c>
      <c r="E206" t="s">
        <v>364</v>
      </c>
      <c r="F206" s="151" t="s">
        <v>868</v>
      </c>
      <c r="G206" s="149" t="s">
        <v>364</v>
      </c>
      <c r="H206" s="3">
        <f t="shared" si="5"/>
        <v>172.4375</v>
      </c>
      <c r="I206" s="3">
        <v>27.59</v>
      </c>
    </row>
    <row r="207" spans="1:11">
      <c r="A207" t="s">
        <v>568</v>
      </c>
      <c r="B207" s="1">
        <v>41718</v>
      </c>
      <c r="C207" t="s">
        <v>2201</v>
      </c>
      <c r="D207">
        <v>1</v>
      </c>
      <c r="E207" t="s">
        <v>2202</v>
      </c>
      <c r="F207" s="137" t="s">
        <v>839</v>
      </c>
      <c r="G207" s="137" t="s">
        <v>1567</v>
      </c>
      <c r="H207" s="174">
        <f>I207/0.16</f>
        <v>125.5625</v>
      </c>
      <c r="I207" s="174">
        <v>20.09</v>
      </c>
      <c r="J207" s="3"/>
      <c r="K207" s="3"/>
    </row>
    <row r="208" spans="1:11">
      <c r="A208" t="s">
        <v>568</v>
      </c>
      <c r="B208" s="1">
        <v>41718</v>
      </c>
      <c r="C208" t="s">
        <v>2201</v>
      </c>
      <c r="D208">
        <v>1</v>
      </c>
      <c r="E208" t="s">
        <v>2202</v>
      </c>
      <c r="F208" s="137" t="s">
        <v>839</v>
      </c>
      <c r="G208" s="137" t="s">
        <v>1567</v>
      </c>
      <c r="H208" s="174">
        <f>I208/0.16</f>
        <v>112.99999999999999</v>
      </c>
      <c r="I208" s="174">
        <v>18.079999999999998</v>
      </c>
    </row>
    <row r="209" spans="1:12">
      <c r="A209" t="s">
        <v>568</v>
      </c>
      <c r="B209" s="1">
        <v>41718</v>
      </c>
      <c r="C209" t="s">
        <v>2201</v>
      </c>
      <c r="D209">
        <v>1</v>
      </c>
      <c r="E209" t="s">
        <v>2202</v>
      </c>
      <c r="F209" t="s">
        <v>763</v>
      </c>
      <c r="G209" t="s">
        <v>900</v>
      </c>
      <c r="H209" s="175">
        <f t="shared" ref="H209" si="6">I209/0.16</f>
        <v>112.125</v>
      </c>
      <c r="I209" s="176">
        <v>17.940000000000001</v>
      </c>
      <c r="J209" s="13">
        <f>530.19-H207-H208-H209</f>
        <v>179.50250000000005</v>
      </c>
      <c r="K209" s="13">
        <f>84.83-I207-I208-I209</f>
        <v>28.719999999999995</v>
      </c>
      <c r="L209" t="s">
        <v>850</v>
      </c>
    </row>
    <row r="210" spans="1:12">
      <c r="A210" t="s">
        <v>1368</v>
      </c>
      <c r="B210" s="1">
        <v>41713</v>
      </c>
      <c r="C210" t="s">
        <v>2172</v>
      </c>
      <c r="D210">
        <v>1</v>
      </c>
      <c r="E210" t="s">
        <v>535</v>
      </c>
      <c r="F210" s="149" t="s">
        <v>764</v>
      </c>
      <c r="G210" s="149" t="s">
        <v>535</v>
      </c>
      <c r="H210" s="3">
        <f t="shared" si="5"/>
        <v>860</v>
      </c>
      <c r="I210" s="3">
        <v>137.6</v>
      </c>
    </row>
    <row r="211" spans="1:12">
      <c r="A211" t="s">
        <v>1374</v>
      </c>
      <c r="B211" s="1">
        <v>41713</v>
      </c>
      <c r="C211" t="s">
        <v>2178</v>
      </c>
      <c r="D211">
        <v>2</v>
      </c>
      <c r="E211" t="s">
        <v>2179</v>
      </c>
      <c r="F211" s="149" t="s">
        <v>2308</v>
      </c>
      <c r="G211" s="149" t="s">
        <v>2179</v>
      </c>
      <c r="H211" s="3">
        <f t="shared" si="5"/>
        <v>3500</v>
      </c>
      <c r="I211" s="3">
        <v>560</v>
      </c>
    </row>
    <row r="212" spans="1:12">
      <c r="A212" t="s">
        <v>1461</v>
      </c>
      <c r="B212" s="1">
        <v>41725</v>
      </c>
      <c r="C212" t="s">
        <v>2240</v>
      </c>
      <c r="D212">
        <v>2</v>
      </c>
      <c r="E212" t="s">
        <v>2179</v>
      </c>
      <c r="F212" s="149" t="s">
        <v>2308</v>
      </c>
      <c r="G212" s="149" t="s">
        <v>2179</v>
      </c>
      <c r="H212" s="3">
        <f t="shared" si="5"/>
        <v>1862.125</v>
      </c>
      <c r="I212" s="3">
        <v>297.94</v>
      </c>
    </row>
    <row r="213" spans="1:12">
      <c r="A213" t="s">
        <v>1764</v>
      </c>
      <c r="B213" s="1">
        <v>41711</v>
      </c>
      <c r="C213">
        <v>9823</v>
      </c>
      <c r="D213">
        <v>1</v>
      </c>
      <c r="E213" t="s">
        <v>336</v>
      </c>
      <c r="F213" s="149" t="s">
        <v>873</v>
      </c>
      <c r="G213" s="149" t="s">
        <v>336</v>
      </c>
      <c r="H213" s="3">
        <f t="shared" si="5"/>
        <v>93.9375</v>
      </c>
      <c r="I213" s="3">
        <v>15.03</v>
      </c>
    </row>
    <row r="214" spans="1:12">
      <c r="A214" t="s">
        <v>1850</v>
      </c>
      <c r="B214" s="1">
        <v>41717</v>
      </c>
      <c r="C214">
        <v>9847</v>
      </c>
      <c r="D214">
        <v>1</v>
      </c>
      <c r="E214" t="s">
        <v>336</v>
      </c>
      <c r="F214" s="149" t="s">
        <v>873</v>
      </c>
      <c r="G214" s="149" t="s">
        <v>336</v>
      </c>
      <c r="H214" s="3">
        <f t="shared" si="5"/>
        <v>180.8125</v>
      </c>
      <c r="I214" s="3">
        <v>28.93</v>
      </c>
    </row>
    <row r="215" spans="1:12">
      <c r="A215" t="s">
        <v>1886</v>
      </c>
      <c r="B215" s="1">
        <v>41719</v>
      </c>
      <c r="C215">
        <v>9871</v>
      </c>
      <c r="D215">
        <v>1</v>
      </c>
      <c r="E215" t="s">
        <v>1887</v>
      </c>
      <c r="F215" s="149" t="s">
        <v>873</v>
      </c>
      <c r="G215" s="149" t="s">
        <v>1887</v>
      </c>
      <c r="H215" s="3">
        <f t="shared" si="5"/>
        <v>127.62500000000001</v>
      </c>
      <c r="I215" s="3">
        <v>20.420000000000002</v>
      </c>
    </row>
    <row r="216" spans="1:12">
      <c r="A216" t="s">
        <v>1888</v>
      </c>
      <c r="B216" s="1">
        <v>41719</v>
      </c>
      <c r="C216">
        <v>9872</v>
      </c>
      <c r="D216">
        <v>1</v>
      </c>
      <c r="E216" t="s">
        <v>1887</v>
      </c>
      <c r="F216" s="149" t="s">
        <v>873</v>
      </c>
      <c r="G216" s="149" t="s">
        <v>1887</v>
      </c>
      <c r="H216" s="3">
        <f t="shared" si="5"/>
        <v>643.875</v>
      </c>
      <c r="I216" s="3">
        <v>103.02</v>
      </c>
    </row>
    <row r="217" spans="1:12">
      <c r="A217" t="s">
        <v>1751</v>
      </c>
      <c r="B217" s="1">
        <v>41711</v>
      </c>
      <c r="C217">
        <v>9814</v>
      </c>
      <c r="D217">
        <v>1</v>
      </c>
      <c r="E217" t="s">
        <v>1752</v>
      </c>
      <c r="F217" s="149" t="s">
        <v>873</v>
      </c>
      <c r="G217" s="149" t="s">
        <v>1752</v>
      </c>
      <c r="H217" s="3">
        <f t="shared" si="5"/>
        <v>861.18749999999989</v>
      </c>
      <c r="I217" s="3">
        <v>137.79</v>
      </c>
    </row>
    <row r="218" spans="1:12">
      <c r="A218" t="s">
        <v>1755</v>
      </c>
      <c r="B218" s="1">
        <v>41711</v>
      </c>
      <c r="C218">
        <v>9817</v>
      </c>
      <c r="D218">
        <v>1</v>
      </c>
      <c r="E218" t="s">
        <v>1752</v>
      </c>
      <c r="F218" s="149" t="s">
        <v>873</v>
      </c>
      <c r="G218" s="149" t="s">
        <v>1752</v>
      </c>
      <c r="H218" s="3">
        <f t="shared" si="5"/>
        <v>233.1875</v>
      </c>
      <c r="I218" s="3">
        <v>37.31</v>
      </c>
    </row>
    <row r="219" spans="1:12">
      <c r="A219" t="s">
        <v>1765</v>
      </c>
      <c r="B219" s="1">
        <v>41711</v>
      </c>
      <c r="C219">
        <v>9824</v>
      </c>
      <c r="D219">
        <v>1</v>
      </c>
      <c r="E219" t="s">
        <v>1752</v>
      </c>
      <c r="F219" s="149" t="s">
        <v>873</v>
      </c>
      <c r="G219" s="149" t="s">
        <v>336</v>
      </c>
      <c r="H219" s="3">
        <f t="shared" si="5"/>
        <v>237.9375</v>
      </c>
      <c r="I219" s="3">
        <v>38.07</v>
      </c>
    </row>
    <row r="220" spans="1:12">
      <c r="A220" t="s">
        <v>376</v>
      </c>
      <c r="B220" s="1">
        <v>41729</v>
      </c>
      <c r="C220">
        <v>9918</v>
      </c>
      <c r="D220">
        <v>1</v>
      </c>
      <c r="E220" t="s">
        <v>1752</v>
      </c>
      <c r="F220" s="151" t="s">
        <v>873</v>
      </c>
      <c r="G220" s="149" t="s">
        <v>1752</v>
      </c>
      <c r="H220" s="3">
        <f t="shared" si="5"/>
        <v>84.5</v>
      </c>
      <c r="I220" s="3">
        <v>13.52</v>
      </c>
    </row>
    <row r="221" spans="1:12">
      <c r="A221" t="s">
        <v>1372</v>
      </c>
      <c r="B221" s="1">
        <v>41713</v>
      </c>
      <c r="C221" t="s">
        <v>2173</v>
      </c>
      <c r="D221">
        <v>1</v>
      </c>
      <c r="E221" t="s">
        <v>527</v>
      </c>
      <c r="F221" s="149" t="s">
        <v>875</v>
      </c>
      <c r="G221" s="149" t="s">
        <v>527</v>
      </c>
      <c r="H221" s="3">
        <f t="shared" si="5"/>
        <v>5200</v>
      </c>
      <c r="I221" s="3">
        <v>832</v>
      </c>
    </row>
    <row r="222" spans="1:12">
      <c r="A222" t="s">
        <v>627</v>
      </c>
      <c r="B222" s="1">
        <v>41725</v>
      </c>
      <c r="C222" t="s">
        <v>2235</v>
      </c>
      <c r="D222">
        <v>1</v>
      </c>
      <c r="E222" t="s">
        <v>527</v>
      </c>
      <c r="F222" s="149" t="s">
        <v>875</v>
      </c>
      <c r="G222" s="149" t="s">
        <v>527</v>
      </c>
      <c r="H222" s="3">
        <f t="shared" si="5"/>
        <v>12900</v>
      </c>
      <c r="I222" s="3">
        <v>2064</v>
      </c>
    </row>
    <row r="223" spans="1:12">
      <c r="A223" t="s">
        <v>2132</v>
      </c>
      <c r="B223" s="1">
        <v>41708</v>
      </c>
      <c r="C223" t="s">
        <v>2133</v>
      </c>
      <c r="D223">
        <v>1</v>
      </c>
      <c r="E223" t="s">
        <v>496</v>
      </c>
      <c r="F223" s="149" t="s">
        <v>876</v>
      </c>
      <c r="G223" s="149" t="s">
        <v>496</v>
      </c>
      <c r="H223" s="3">
        <f t="shared" si="5"/>
        <v>7483.4374999999991</v>
      </c>
      <c r="I223" s="3">
        <v>1197.3499999999999</v>
      </c>
    </row>
    <row r="224" spans="1:12">
      <c r="A224" t="s">
        <v>1363</v>
      </c>
      <c r="B224" s="1">
        <v>41713</v>
      </c>
      <c r="C224" t="s">
        <v>2170</v>
      </c>
      <c r="D224">
        <v>1</v>
      </c>
      <c r="E224" t="s">
        <v>496</v>
      </c>
      <c r="F224" s="151" t="s">
        <v>876</v>
      </c>
      <c r="G224" s="149" t="s">
        <v>496</v>
      </c>
      <c r="H224" s="3">
        <f t="shared" si="5"/>
        <v>1135.375</v>
      </c>
      <c r="I224" s="3">
        <v>181.66</v>
      </c>
    </row>
    <row r="225" spans="1:9">
      <c r="A225" t="s">
        <v>633</v>
      </c>
      <c r="B225" s="1">
        <v>41725</v>
      </c>
      <c r="C225" t="s">
        <v>2238</v>
      </c>
      <c r="D225">
        <v>1</v>
      </c>
      <c r="E225" t="s">
        <v>496</v>
      </c>
      <c r="F225" s="151" t="s">
        <v>876</v>
      </c>
      <c r="G225" s="149" t="s">
        <v>496</v>
      </c>
      <c r="H225" s="3">
        <f t="shared" si="5"/>
        <v>378.4375</v>
      </c>
      <c r="I225" s="3">
        <v>60.55</v>
      </c>
    </row>
    <row r="226" spans="1:9">
      <c r="A226" t="s">
        <v>354</v>
      </c>
      <c r="B226" s="1">
        <v>41729</v>
      </c>
      <c r="C226">
        <v>9900</v>
      </c>
      <c r="D226">
        <v>1</v>
      </c>
      <c r="E226" t="s">
        <v>377</v>
      </c>
      <c r="F226" s="151" t="s">
        <v>876</v>
      </c>
      <c r="G226" s="149" t="s">
        <v>377</v>
      </c>
      <c r="H226" s="3">
        <f t="shared" si="5"/>
        <v>656.125</v>
      </c>
      <c r="I226" s="3">
        <v>104.98</v>
      </c>
    </row>
    <row r="227" spans="1:9">
      <c r="A227" t="s">
        <v>1758</v>
      </c>
      <c r="B227" s="1">
        <v>41711</v>
      </c>
      <c r="C227">
        <v>9821</v>
      </c>
      <c r="D227">
        <v>1</v>
      </c>
      <c r="E227" t="s">
        <v>1759</v>
      </c>
      <c r="F227" s="149" t="s">
        <v>2309</v>
      </c>
      <c r="G227" s="149" t="s">
        <v>1759</v>
      </c>
      <c r="H227" s="3">
        <f t="shared" si="5"/>
        <v>103.4375</v>
      </c>
      <c r="I227" s="3">
        <v>16.55</v>
      </c>
    </row>
    <row r="228" spans="1:9">
      <c r="A228" t="s">
        <v>405</v>
      </c>
      <c r="B228" s="1">
        <v>41729</v>
      </c>
      <c r="C228">
        <v>9937</v>
      </c>
      <c r="D228">
        <v>1</v>
      </c>
      <c r="E228" t="s">
        <v>1759</v>
      </c>
      <c r="F228" s="151" t="s">
        <v>2309</v>
      </c>
      <c r="G228" s="149" t="s">
        <v>1759</v>
      </c>
      <c r="H228" s="3">
        <f t="shared" si="5"/>
        <v>206.875</v>
      </c>
      <c r="I228" s="3">
        <v>33.1</v>
      </c>
    </row>
    <row r="229" spans="1:9">
      <c r="A229" t="s">
        <v>1785</v>
      </c>
      <c r="B229" s="1">
        <v>41712</v>
      </c>
      <c r="C229" t="s">
        <v>1786</v>
      </c>
      <c r="D229">
        <v>1</v>
      </c>
      <c r="E229" t="s">
        <v>1787</v>
      </c>
      <c r="F229" s="161" t="s">
        <v>2310</v>
      </c>
      <c r="G229" s="149" t="s">
        <v>2311</v>
      </c>
      <c r="H229" s="3">
        <f t="shared" si="5"/>
        <v>237511.99999999997</v>
      </c>
      <c r="I229" s="3">
        <v>38001.919999999998</v>
      </c>
    </row>
    <row r="230" spans="1:9">
      <c r="A230" t="s">
        <v>1376</v>
      </c>
      <c r="B230" s="1">
        <v>41713</v>
      </c>
      <c r="C230" t="s">
        <v>2180</v>
      </c>
      <c r="D230">
        <v>1</v>
      </c>
      <c r="E230" t="s">
        <v>1467</v>
      </c>
      <c r="F230" s="151" t="s">
        <v>1586</v>
      </c>
      <c r="G230" s="149" t="s">
        <v>1467</v>
      </c>
      <c r="H230" s="3">
        <f t="shared" si="5"/>
        <v>1675</v>
      </c>
      <c r="I230" s="3">
        <v>268</v>
      </c>
    </row>
    <row r="231" spans="1:9">
      <c r="A231" t="s">
        <v>136</v>
      </c>
      <c r="B231" s="1">
        <v>41719</v>
      </c>
      <c r="C231">
        <v>9868</v>
      </c>
      <c r="D231">
        <v>1</v>
      </c>
      <c r="E231" t="s">
        <v>1243</v>
      </c>
      <c r="F231" s="151" t="s">
        <v>885</v>
      </c>
      <c r="G231" s="149" t="s">
        <v>1243</v>
      </c>
      <c r="H231" s="3">
        <f t="shared" si="5"/>
        <v>28.6875</v>
      </c>
      <c r="I231" s="3">
        <v>4.59</v>
      </c>
    </row>
    <row r="232" spans="1:9">
      <c r="A232" t="s">
        <v>2174</v>
      </c>
      <c r="B232" s="1">
        <v>41713</v>
      </c>
      <c r="C232" t="s">
        <v>2175</v>
      </c>
      <c r="D232">
        <v>2</v>
      </c>
      <c r="E232" t="s">
        <v>550</v>
      </c>
      <c r="F232" s="149" t="s">
        <v>886</v>
      </c>
      <c r="G232" s="149" t="s">
        <v>550</v>
      </c>
      <c r="H232" s="3">
        <f t="shared" si="5"/>
        <v>34500</v>
      </c>
      <c r="I232" s="3">
        <v>5520</v>
      </c>
    </row>
    <row r="233" spans="1:9">
      <c r="A233" t="s">
        <v>2176</v>
      </c>
      <c r="B233" s="1">
        <v>41713</v>
      </c>
      <c r="C233" t="s">
        <v>2177</v>
      </c>
      <c r="D233">
        <v>1</v>
      </c>
      <c r="E233" t="s">
        <v>550</v>
      </c>
      <c r="F233" s="149" t="s">
        <v>886</v>
      </c>
      <c r="G233" s="149" t="s">
        <v>550</v>
      </c>
      <c r="H233" s="3">
        <f t="shared" si="5"/>
        <v>1000</v>
      </c>
      <c r="I233" s="3">
        <v>160</v>
      </c>
    </row>
    <row r="234" spans="1:9">
      <c r="A234" t="s">
        <v>638</v>
      </c>
      <c r="B234" s="1">
        <v>41725</v>
      </c>
      <c r="C234" t="s">
        <v>2241</v>
      </c>
      <c r="D234">
        <v>2</v>
      </c>
      <c r="E234" t="s">
        <v>550</v>
      </c>
      <c r="F234" s="149" t="s">
        <v>886</v>
      </c>
      <c r="G234" s="149" t="s">
        <v>550</v>
      </c>
      <c r="H234" s="3">
        <f t="shared" si="5"/>
        <v>5800</v>
      </c>
      <c r="I234" s="3">
        <v>928</v>
      </c>
    </row>
    <row r="235" spans="1:9">
      <c r="A235" t="s">
        <v>2059</v>
      </c>
      <c r="B235" s="1">
        <v>41729</v>
      </c>
      <c r="C235" t="s">
        <v>2060</v>
      </c>
      <c r="D235">
        <v>1</v>
      </c>
      <c r="E235" t="s">
        <v>126</v>
      </c>
      <c r="F235" s="151" t="s">
        <v>887</v>
      </c>
      <c r="G235" s="149" t="s">
        <v>126</v>
      </c>
      <c r="H235" s="3">
        <f t="shared" si="5"/>
        <v>1198.25</v>
      </c>
      <c r="I235" s="3">
        <v>191.72</v>
      </c>
    </row>
    <row r="236" spans="1:9">
      <c r="A236" t="s">
        <v>2061</v>
      </c>
      <c r="B236" s="1">
        <v>41729</v>
      </c>
      <c r="C236" t="s">
        <v>2062</v>
      </c>
      <c r="D236">
        <v>1</v>
      </c>
      <c r="E236" t="s">
        <v>126</v>
      </c>
      <c r="F236" s="151" t="s">
        <v>887</v>
      </c>
      <c r="G236" s="149" t="s">
        <v>126</v>
      </c>
      <c r="H236" s="3">
        <f t="shared" si="5"/>
        <v>1413.8125</v>
      </c>
      <c r="I236" s="3">
        <v>226.21</v>
      </c>
    </row>
    <row r="237" spans="1:9">
      <c r="A237" t="s">
        <v>2063</v>
      </c>
      <c r="B237" s="1">
        <v>41729</v>
      </c>
      <c r="C237" t="s">
        <v>2064</v>
      </c>
      <c r="D237">
        <v>1</v>
      </c>
      <c r="E237" t="s">
        <v>126</v>
      </c>
      <c r="F237" s="151" t="s">
        <v>887</v>
      </c>
      <c r="G237" s="149" t="s">
        <v>126</v>
      </c>
      <c r="H237" s="3">
        <f t="shared" si="5"/>
        <v>1379.375</v>
      </c>
      <c r="I237" s="3">
        <v>220.7</v>
      </c>
    </row>
    <row r="238" spans="1:9">
      <c r="A238" t="s">
        <v>2065</v>
      </c>
      <c r="B238" s="1">
        <v>41729</v>
      </c>
      <c r="C238" t="s">
        <v>2066</v>
      </c>
      <c r="D238">
        <v>1</v>
      </c>
      <c r="E238" t="s">
        <v>126</v>
      </c>
      <c r="F238" s="151" t="s">
        <v>887</v>
      </c>
      <c r="G238" s="149" t="s">
        <v>126</v>
      </c>
      <c r="H238" s="3">
        <f t="shared" si="5"/>
        <v>1396.625</v>
      </c>
      <c r="I238" s="3">
        <v>223.46</v>
      </c>
    </row>
    <row r="239" spans="1:9">
      <c r="A239" t="s">
        <v>2067</v>
      </c>
      <c r="B239" s="1">
        <v>41729</v>
      </c>
      <c r="C239" t="s">
        <v>2068</v>
      </c>
      <c r="D239">
        <v>1</v>
      </c>
      <c r="E239" t="s">
        <v>126</v>
      </c>
      <c r="F239" s="151" t="s">
        <v>887</v>
      </c>
      <c r="G239" s="149" t="s">
        <v>126</v>
      </c>
      <c r="H239" s="3">
        <f t="shared" si="5"/>
        <v>818.99999999999989</v>
      </c>
      <c r="I239" s="3">
        <v>131.04</v>
      </c>
    </row>
    <row r="240" spans="1:9">
      <c r="A240" t="s">
        <v>372</v>
      </c>
      <c r="B240" s="1">
        <v>41729</v>
      </c>
      <c r="C240">
        <v>9915</v>
      </c>
      <c r="D240">
        <v>1</v>
      </c>
      <c r="E240" t="s">
        <v>2030</v>
      </c>
      <c r="F240" s="151" t="s">
        <v>2312</v>
      </c>
      <c r="G240" s="149" t="s">
        <v>2030</v>
      </c>
      <c r="H240" s="3">
        <f t="shared" si="5"/>
        <v>77.625</v>
      </c>
      <c r="I240" s="3">
        <v>12.42</v>
      </c>
    </row>
    <row r="241" spans="1:12">
      <c r="A241" t="s">
        <v>2035</v>
      </c>
      <c r="B241" s="1">
        <v>41729</v>
      </c>
      <c r="C241">
        <v>9920</v>
      </c>
      <c r="D241">
        <v>1</v>
      </c>
      <c r="E241" t="s">
        <v>2030</v>
      </c>
      <c r="F241" s="151" t="s">
        <v>2312</v>
      </c>
      <c r="G241" s="149" t="s">
        <v>2030</v>
      </c>
      <c r="H241" s="3">
        <f t="shared" si="5"/>
        <v>106.25</v>
      </c>
      <c r="I241" s="3">
        <v>17</v>
      </c>
    </row>
    <row r="242" spans="1:12">
      <c r="A242" t="s">
        <v>644</v>
      </c>
      <c r="B242" s="1">
        <v>41725</v>
      </c>
      <c r="C242" t="s">
        <v>2243</v>
      </c>
      <c r="D242">
        <v>1</v>
      </c>
      <c r="E242" t="s">
        <v>521</v>
      </c>
      <c r="F242" s="137" t="s">
        <v>890</v>
      </c>
      <c r="G242" s="137" t="s">
        <v>521</v>
      </c>
      <c r="H242" s="3">
        <f t="shared" si="5"/>
        <v>775.875</v>
      </c>
      <c r="I242" s="3">
        <v>124.14</v>
      </c>
    </row>
    <row r="243" spans="1:12">
      <c r="A243" t="s">
        <v>454</v>
      </c>
      <c r="B243" s="1">
        <v>41708</v>
      </c>
      <c r="C243" t="s">
        <v>2137</v>
      </c>
      <c r="D243">
        <v>1</v>
      </c>
      <c r="E243" t="s">
        <v>502</v>
      </c>
      <c r="F243" s="137" t="s">
        <v>894</v>
      </c>
      <c r="G243" s="137" t="s">
        <v>502</v>
      </c>
      <c r="H243" s="3">
        <f t="shared" si="5"/>
        <v>4255.5</v>
      </c>
      <c r="I243" s="3">
        <v>680.88</v>
      </c>
      <c r="J243" s="13" t="e">
        <f>+H243-#REF!</f>
        <v>#REF!</v>
      </c>
      <c r="K243" s="13" t="e">
        <f>+I243-#REF!</f>
        <v>#REF!</v>
      </c>
      <c r="L243" t="s">
        <v>850</v>
      </c>
    </row>
    <row r="244" spans="1:12">
      <c r="A244" t="s">
        <v>2119</v>
      </c>
      <c r="B244" s="1">
        <v>41704</v>
      </c>
      <c r="C244" t="s">
        <v>2120</v>
      </c>
      <c r="D244">
        <v>1</v>
      </c>
      <c r="E244" t="s">
        <v>665</v>
      </c>
      <c r="F244" s="150" t="s">
        <v>892</v>
      </c>
      <c r="G244" s="149" t="s">
        <v>665</v>
      </c>
      <c r="H244" s="3">
        <f t="shared" si="5"/>
        <v>11093.3125</v>
      </c>
      <c r="I244" s="3">
        <v>1774.93</v>
      </c>
    </row>
    <row r="245" spans="1:12">
      <c r="A245" t="s">
        <v>2121</v>
      </c>
      <c r="B245" s="1">
        <v>41704</v>
      </c>
      <c r="C245" t="s">
        <v>2122</v>
      </c>
      <c r="D245">
        <v>1</v>
      </c>
      <c r="E245" t="s">
        <v>665</v>
      </c>
      <c r="F245" s="150" t="s">
        <v>892</v>
      </c>
      <c r="G245" s="149" t="s">
        <v>665</v>
      </c>
      <c r="H245" s="3">
        <f t="shared" si="5"/>
        <v>6445</v>
      </c>
      <c r="I245" s="3">
        <v>1031.2</v>
      </c>
    </row>
    <row r="246" spans="1:12">
      <c r="A246" t="s">
        <v>588</v>
      </c>
      <c r="B246" s="1">
        <v>41723</v>
      </c>
      <c r="C246" t="s">
        <v>2214</v>
      </c>
      <c r="D246">
        <v>1</v>
      </c>
      <c r="E246" t="s">
        <v>665</v>
      </c>
      <c r="F246" s="150" t="s">
        <v>892</v>
      </c>
      <c r="G246" s="149" t="s">
        <v>665</v>
      </c>
      <c r="H246" s="3">
        <f t="shared" si="5"/>
        <v>6445</v>
      </c>
      <c r="I246" s="3">
        <v>1031.2</v>
      </c>
    </row>
    <row r="247" spans="1:12">
      <c r="A247" t="s">
        <v>591</v>
      </c>
      <c r="B247" s="1">
        <v>41723</v>
      </c>
      <c r="C247" t="s">
        <v>2215</v>
      </c>
      <c r="D247">
        <v>1</v>
      </c>
      <c r="E247" t="s">
        <v>665</v>
      </c>
      <c r="F247" s="150" t="s">
        <v>892</v>
      </c>
      <c r="G247" s="149" t="s">
        <v>665</v>
      </c>
      <c r="H247" s="3">
        <f t="shared" si="5"/>
        <v>11152.125</v>
      </c>
      <c r="I247" s="3">
        <v>1784.34</v>
      </c>
    </row>
    <row r="248" spans="1:12">
      <c r="A248" t="s">
        <v>332</v>
      </c>
      <c r="B248" s="1">
        <v>41729</v>
      </c>
      <c r="C248" t="s">
        <v>2015</v>
      </c>
      <c r="D248">
        <v>1</v>
      </c>
      <c r="E248" t="s">
        <v>2017</v>
      </c>
      <c r="F248" s="149" t="s">
        <v>1589</v>
      </c>
      <c r="G248" s="149" t="s">
        <v>2313</v>
      </c>
      <c r="H248" s="3">
        <f t="shared" si="5"/>
        <v>175582.31249999997</v>
      </c>
      <c r="I248" s="3">
        <v>28093.17</v>
      </c>
    </row>
    <row r="249" spans="1:12">
      <c r="A249" t="s">
        <v>323</v>
      </c>
      <c r="B249" s="1">
        <v>41729</v>
      </c>
      <c r="C249" t="s">
        <v>2015</v>
      </c>
      <c r="D249">
        <v>1</v>
      </c>
      <c r="E249" t="s">
        <v>2016</v>
      </c>
      <c r="F249" s="149" t="s">
        <v>1589</v>
      </c>
      <c r="G249" s="149" t="s">
        <v>2313</v>
      </c>
      <c r="H249" s="3">
        <f t="shared" si="5"/>
        <v>175582.31249999997</v>
      </c>
      <c r="I249" s="3">
        <v>28093.17</v>
      </c>
    </row>
    <row r="250" spans="1:12">
      <c r="A250" t="s">
        <v>1703</v>
      </c>
      <c r="B250" s="1">
        <v>41710</v>
      </c>
      <c r="C250" t="s">
        <v>1704</v>
      </c>
      <c r="D250">
        <v>1</v>
      </c>
      <c r="E250" t="s">
        <v>1705</v>
      </c>
      <c r="F250" s="149" t="s">
        <v>1589</v>
      </c>
      <c r="G250" s="149" t="s">
        <v>2313</v>
      </c>
      <c r="H250" s="3">
        <f t="shared" si="5"/>
        <v>271236.125</v>
      </c>
      <c r="I250" s="3">
        <v>43397.78</v>
      </c>
    </row>
    <row r="251" spans="1:12">
      <c r="A251" t="s">
        <v>1821</v>
      </c>
      <c r="B251" s="1">
        <v>41717</v>
      </c>
      <c r="C251" t="s">
        <v>1822</v>
      </c>
      <c r="D251">
        <v>1</v>
      </c>
      <c r="E251" t="s">
        <v>1823</v>
      </c>
      <c r="F251" s="149" t="s">
        <v>1589</v>
      </c>
      <c r="G251" s="149" t="s">
        <v>2313</v>
      </c>
      <c r="H251" s="3">
        <f t="shared" si="5"/>
        <v>356752.875</v>
      </c>
      <c r="I251" s="3">
        <v>57080.46</v>
      </c>
    </row>
    <row r="252" spans="1:12">
      <c r="A252" t="s">
        <v>232</v>
      </c>
      <c r="B252" s="1">
        <v>41726</v>
      </c>
      <c r="C252" t="s">
        <v>1968</v>
      </c>
      <c r="D252">
        <v>1</v>
      </c>
      <c r="E252" t="s">
        <v>1823</v>
      </c>
      <c r="F252" s="149" t="s">
        <v>1589</v>
      </c>
      <c r="G252" s="149" t="s">
        <v>2313</v>
      </c>
      <c r="H252" s="3">
        <f t="shared" si="5"/>
        <v>175582.31249999997</v>
      </c>
      <c r="I252" s="3">
        <v>28093.17</v>
      </c>
    </row>
    <row r="253" spans="1:12">
      <c r="A253" t="s">
        <v>1927</v>
      </c>
      <c r="B253" s="1">
        <v>41723</v>
      </c>
      <c r="C253" t="s">
        <v>1928</v>
      </c>
      <c r="D253">
        <v>1</v>
      </c>
      <c r="E253" t="s">
        <v>1929</v>
      </c>
      <c r="F253" s="153" t="s">
        <v>2314</v>
      </c>
      <c r="G253" s="166" t="s">
        <v>2315</v>
      </c>
      <c r="H253" s="3">
        <f t="shared" si="5"/>
        <v>150134.0625</v>
      </c>
      <c r="I253" s="3">
        <v>24021.45</v>
      </c>
    </row>
    <row r="254" spans="1:12">
      <c r="A254" t="s">
        <v>1694</v>
      </c>
      <c r="B254" s="1">
        <v>41706</v>
      </c>
      <c r="C254" t="s">
        <v>1695</v>
      </c>
      <c r="D254">
        <v>1</v>
      </c>
      <c r="E254" t="s">
        <v>1696</v>
      </c>
      <c r="F254" s="150" t="s">
        <v>759</v>
      </c>
      <c r="G254" s="149" t="s">
        <v>2316</v>
      </c>
      <c r="H254" s="3">
        <f t="shared" si="5"/>
        <v>246690.9375</v>
      </c>
      <c r="I254" s="3">
        <v>39470.550000000003</v>
      </c>
    </row>
    <row r="255" spans="1:12">
      <c r="A255" t="s">
        <v>14</v>
      </c>
      <c r="B255" s="1">
        <v>41703</v>
      </c>
      <c r="C255" t="s">
        <v>1678</v>
      </c>
      <c r="D255">
        <v>1</v>
      </c>
      <c r="E255" t="s">
        <v>1679</v>
      </c>
      <c r="F255" s="149" t="s">
        <v>759</v>
      </c>
      <c r="G255" s="149" t="s">
        <v>1044</v>
      </c>
      <c r="H255" s="3">
        <f t="shared" si="5"/>
        <v>216185.75</v>
      </c>
      <c r="I255" s="3">
        <v>34589.72</v>
      </c>
    </row>
    <row r="256" spans="1:12">
      <c r="A256" t="s">
        <v>1680</v>
      </c>
      <c r="B256" s="1">
        <v>41704</v>
      </c>
      <c r="C256" t="s">
        <v>1681</v>
      </c>
      <c r="D256">
        <v>1</v>
      </c>
      <c r="E256" t="s">
        <v>467</v>
      </c>
      <c r="F256" s="162" t="s">
        <v>760</v>
      </c>
      <c r="G256" s="163" t="s">
        <v>761</v>
      </c>
      <c r="H256" s="3">
        <f t="shared" si="5"/>
        <v>297961.625</v>
      </c>
      <c r="I256" s="3">
        <v>47673.86</v>
      </c>
    </row>
    <row r="257" spans="1:10">
      <c r="A257" t="s">
        <v>1682</v>
      </c>
      <c r="B257" s="1">
        <v>41704</v>
      </c>
      <c r="C257" t="s">
        <v>1683</v>
      </c>
      <c r="D257">
        <v>1</v>
      </c>
      <c r="E257" t="s">
        <v>467</v>
      </c>
      <c r="F257" s="162" t="s">
        <v>760</v>
      </c>
      <c r="G257" s="163" t="s">
        <v>761</v>
      </c>
      <c r="H257" s="3">
        <f t="shared" si="5"/>
        <v>297961.625</v>
      </c>
      <c r="I257" s="3">
        <v>47673.86</v>
      </c>
    </row>
    <row r="258" spans="1:10">
      <c r="A258" t="s">
        <v>1687</v>
      </c>
      <c r="B258" s="1">
        <v>41705</v>
      </c>
      <c r="C258" t="s">
        <v>1688</v>
      </c>
      <c r="D258">
        <v>1</v>
      </c>
      <c r="E258" t="s">
        <v>467</v>
      </c>
      <c r="F258" s="162" t="s">
        <v>760</v>
      </c>
      <c r="G258" s="163" t="s">
        <v>761</v>
      </c>
      <c r="H258" s="3">
        <f t="shared" si="5"/>
        <v>271235.4375</v>
      </c>
      <c r="I258" s="3">
        <v>43397.67</v>
      </c>
    </row>
    <row r="259" spans="1:10">
      <c r="A259" t="s">
        <v>1689</v>
      </c>
      <c r="B259" s="1">
        <v>41705</v>
      </c>
      <c r="C259" t="s">
        <v>1690</v>
      </c>
      <c r="D259">
        <v>1</v>
      </c>
      <c r="E259" t="s">
        <v>467</v>
      </c>
      <c r="F259" s="162" t="s">
        <v>760</v>
      </c>
      <c r="G259" s="163" t="s">
        <v>761</v>
      </c>
      <c r="H259" s="3">
        <f t="shared" si="5"/>
        <v>320437.1875</v>
      </c>
      <c r="I259" s="3">
        <v>51269.95</v>
      </c>
    </row>
    <row r="260" spans="1:10">
      <c r="A260" t="s">
        <v>1711</v>
      </c>
      <c r="B260" s="1">
        <v>41711</v>
      </c>
      <c r="C260" t="s">
        <v>994</v>
      </c>
      <c r="D260">
        <v>1</v>
      </c>
      <c r="E260" t="s">
        <v>467</v>
      </c>
      <c r="F260" s="162" t="s">
        <v>760</v>
      </c>
      <c r="G260" s="163" t="s">
        <v>761</v>
      </c>
      <c r="H260" s="3">
        <f t="shared" si="5"/>
        <v>-295037.5625</v>
      </c>
      <c r="I260" s="3">
        <v>-47206.01</v>
      </c>
      <c r="J260" s="2"/>
    </row>
    <row r="261" spans="1:10">
      <c r="A261" t="s">
        <v>1783</v>
      </c>
      <c r="B261" s="1">
        <v>41712</v>
      </c>
      <c r="C261" t="s">
        <v>1784</v>
      </c>
      <c r="D261">
        <v>1</v>
      </c>
      <c r="E261" t="s">
        <v>467</v>
      </c>
      <c r="F261" s="162" t="s">
        <v>760</v>
      </c>
      <c r="G261" s="163" t="s">
        <v>761</v>
      </c>
      <c r="H261" s="3">
        <f t="shared" si="5"/>
        <v>183525.5625</v>
      </c>
      <c r="I261" s="3">
        <v>29364.09</v>
      </c>
    </row>
    <row r="262" spans="1:10">
      <c r="A262" t="s">
        <v>1788</v>
      </c>
      <c r="B262" s="1">
        <v>41712</v>
      </c>
      <c r="C262" t="s">
        <v>1789</v>
      </c>
      <c r="D262">
        <v>1</v>
      </c>
      <c r="E262" t="s">
        <v>467</v>
      </c>
      <c r="F262" s="162" t="s">
        <v>760</v>
      </c>
      <c r="G262" s="163" t="s">
        <v>761</v>
      </c>
      <c r="H262" s="3">
        <f t="shared" si="5"/>
        <v>217536.93750000003</v>
      </c>
      <c r="I262" s="3">
        <v>34805.910000000003</v>
      </c>
    </row>
    <row r="263" spans="1:10">
      <c r="A263" t="s">
        <v>1800</v>
      </c>
      <c r="B263" s="1">
        <v>41713</v>
      </c>
      <c r="C263" t="s">
        <v>1801</v>
      </c>
      <c r="D263">
        <v>1</v>
      </c>
      <c r="E263" t="s">
        <v>467</v>
      </c>
      <c r="F263" s="162" t="s">
        <v>760</v>
      </c>
      <c r="G263" s="163" t="s">
        <v>761</v>
      </c>
      <c r="H263" s="3">
        <f t="shared" si="5"/>
        <v>315421.1875</v>
      </c>
      <c r="I263" s="3">
        <v>50467.39</v>
      </c>
    </row>
    <row r="264" spans="1:10">
      <c r="A264" t="s">
        <v>1802</v>
      </c>
      <c r="B264" s="1">
        <v>41716</v>
      </c>
      <c r="C264" t="s">
        <v>1803</v>
      </c>
      <c r="D264">
        <v>1</v>
      </c>
      <c r="E264" t="s">
        <v>467</v>
      </c>
      <c r="F264" s="162" t="s">
        <v>760</v>
      </c>
      <c r="G264" s="163" t="s">
        <v>761</v>
      </c>
      <c r="H264" s="3">
        <f t="shared" si="5"/>
        <v>233864.375</v>
      </c>
      <c r="I264" s="3">
        <v>37418.300000000003</v>
      </c>
    </row>
    <row r="265" spans="1:10">
      <c r="A265" t="s">
        <v>91</v>
      </c>
      <c r="B265" s="1">
        <v>41716</v>
      </c>
      <c r="C265" t="s">
        <v>1810</v>
      </c>
      <c r="D265">
        <v>1</v>
      </c>
      <c r="E265" t="s">
        <v>467</v>
      </c>
      <c r="F265" s="162" t="s">
        <v>760</v>
      </c>
      <c r="G265" s="163" t="s">
        <v>761</v>
      </c>
      <c r="H265" s="3">
        <f t="shared" si="5"/>
        <v>175582.31249999997</v>
      </c>
      <c r="I265" s="3">
        <v>28093.17</v>
      </c>
    </row>
    <row r="266" spans="1:10">
      <c r="A266" t="s">
        <v>1811</v>
      </c>
      <c r="B266" s="1">
        <v>41716</v>
      </c>
      <c r="C266" t="s">
        <v>1812</v>
      </c>
      <c r="D266">
        <v>1</v>
      </c>
      <c r="E266" t="s">
        <v>467</v>
      </c>
      <c r="F266" s="162" t="s">
        <v>760</v>
      </c>
      <c r="G266" s="163" t="s">
        <v>761</v>
      </c>
      <c r="H266" s="3">
        <f t="shared" si="5"/>
        <v>297961.625</v>
      </c>
      <c r="I266" s="3">
        <v>47673.86</v>
      </c>
    </row>
    <row r="267" spans="1:10">
      <c r="A267" t="s">
        <v>1813</v>
      </c>
      <c r="B267" s="1">
        <v>41717</v>
      </c>
      <c r="C267" t="s">
        <v>1814</v>
      </c>
      <c r="D267">
        <v>1</v>
      </c>
      <c r="E267" t="s">
        <v>467</v>
      </c>
      <c r="F267" s="162" t="s">
        <v>760</v>
      </c>
      <c r="G267" s="163" t="s">
        <v>761</v>
      </c>
      <c r="H267" s="3">
        <f t="shared" si="5"/>
        <v>217536.93750000003</v>
      </c>
      <c r="I267" s="3">
        <v>34805.910000000003</v>
      </c>
    </row>
    <row r="268" spans="1:10">
      <c r="A268" t="s">
        <v>1815</v>
      </c>
      <c r="B268" s="1">
        <v>41717</v>
      </c>
      <c r="C268" t="s">
        <v>1816</v>
      </c>
      <c r="D268">
        <v>1</v>
      </c>
      <c r="E268" t="s">
        <v>467</v>
      </c>
      <c r="F268" s="162" t="s">
        <v>760</v>
      </c>
      <c r="G268" s="163" t="s">
        <v>761</v>
      </c>
      <c r="H268" s="3">
        <f t="shared" ref="H268:H343" si="7">+I268/0.16</f>
        <v>202818.6875</v>
      </c>
      <c r="I268" s="3">
        <v>32450.99</v>
      </c>
    </row>
    <row r="269" spans="1:10">
      <c r="A269" t="s">
        <v>1817</v>
      </c>
      <c r="B269" s="1">
        <v>41717</v>
      </c>
      <c r="C269" t="s">
        <v>1818</v>
      </c>
      <c r="D269">
        <v>1</v>
      </c>
      <c r="E269" t="s">
        <v>467</v>
      </c>
      <c r="F269" s="162" t="s">
        <v>760</v>
      </c>
      <c r="G269" s="163" t="s">
        <v>761</v>
      </c>
      <c r="H269" s="3">
        <f t="shared" si="7"/>
        <v>202818.6875</v>
      </c>
      <c r="I269" s="3">
        <v>32450.99</v>
      </c>
    </row>
    <row r="270" spans="1:10">
      <c r="A270" t="s">
        <v>1819</v>
      </c>
      <c r="B270" s="1">
        <v>41717</v>
      </c>
      <c r="C270" t="s">
        <v>1820</v>
      </c>
      <c r="D270">
        <v>1</v>
      </c>
      <c r="E270" t="s">
        <v>467</v>
      </c>
      <c r="F270" s="162" t="s">
        <v>760</v>
      </c>
      <c r="G270" s="163" t="s">
        <v>761</v>
      </c>
      <c r="H270" s="3">
        <f t="shared" si="7"/>
        <v>202818.6875</v>
      </c>
      <c r="I270" s="3">
        <v>32450.99</v>
      </c>
    </row>
    <row r="271" spans="1:10">
      <c r="A271" t="s">
        <v>1824</v>
      </c>
      <c r="B271" s="1">
        <v>41717</v>
      </c>
      <c r="C271" t="s">
        <v>1825</v>
      </c>
      <c r="D271">
        <v>1</v>
      </c>
      <c r="E271" t="s">
        <v>467</v>
      </c>
      <c r="F271" s="162" t="s">
        <v>760</v>
      </c>
      <c r="G271" s="163" t="s">
        <v>761</v>
      </c>
      <c r="H271" s="3">
        <f t="shared" si="7"/>
        <v>175582.31249999997</v>
      </c>
      <c r="I271" s="3">
        <v>28093.17</v>
      </c>
    </row>
    <row r="272" spans="1:10">
      <c r="A272" t="s">
        <v>1826</v>
      </c>
      <c r="B272" s="1">
        <v>41717</v>
      </c>
      <c r="C272" t="s">
        <v>1827</v>
      </c>
      <c r="D272">
        <v>1</v>
      </c>
      <c r="E272" t="s">
        <v>467</v>
      </c>
      <c r="F272" s="162" t="s">
        <v>760</v>
      </c>
      <c r="G272" s="163" t="s">
        <v>761</v>
      </c>
      <c r="H272" s="3">
        <f t="shared" si="7"/>
        <v>170461.625</v>
      </c>
      <c r="I272" s="3">
        <v>27273.86</v>
      </c>
    </row>
    <row r="273" spans="1:9">
      <c r="A273" t="s">
        <v>1828</v>
      </c>
      <c r="B273" s="1">
        <v>41717</v>
      </c>
      <c r="C273" t="s">
        <v>1829</v>
      </c>
      <c r="D273">
        <v>1</v>
      </c>
      <c r="E273" t="s">
        <v>467</v>
      </c>
      <c r="F273" s="162" t="s">
        <v>760</v>
      </c>
      <c r="G273" s="163" t="s">
        <v>761</v>
      </c>
      <c r="H273" s="3">
        <f t="shared" si="7"/>
        <v>170461.625</v>
      </c>
      <c r="I273" s="3">
        <v>27273.86</v>
      </c>
    </row>
    <row r="274" spans="1:9">
      <c r="A274" t="s">
        <v>1830</v>
      </c>
      <c r="B274" s="1">
        <v>41717</v>
      </c>
      <c r="C274" t="s">
        <v>1831</v>
      </c>
      <c r="D274">
        <v>1</v>
      </c>
      <c r="E274" t="s">
        <v>467</v>
      </c>
      <c r="F274" s="162" t="s">
        <v>760</v>
      </c>
      <c r="G274" s="163" t="s">
        <v>761</v>
      </c>
      <c r="H274" s="3">
        <f t="shared" si="7"/>
        <v>170461.625</v>
      </c>
      <c r="I274" s="3">
        <v>27273.86</v>
      </c>
    </row>
    <row r="275" spans="1:9">
      <c r="A275" t="s">
        <v>1832</v>
      </c>
      <c r="B275" s="1">
        <v>41717</v>
      </c>
      <c r="C275" t="s">
        <v>1833</v>
      </c>
      <c r="D275">
        <v>1</v>
      </c>
      <c r="E275" t="s">
        <v>467</v>
      </c>
      <c r="F275" s="162" t="s">
        <v>760</v>
      </c>
      <c r="G275" s="163" t="s">
        <v>761</v>
      </c>
      <c r="H275" s="3">
        <f t="shared" si="7"/>
        <v>216185.75</v>
      </c>
      <c r="I275" s="3">
        <v>34589.72</v>
      </c>
    </row>
    <row r="276" spans="1:9">
      <c r="A276" t="s">
        <v>1834</v>
      </c>
      <c r="B276" s="1">
        <v>41717</v>
      </c>
      <c r="C276" t="s">
        <v>1835</v>
      </c>
      <c r="D276">
        <v>1</v>
      </c>
      <c r="E276" t="s">
        <v>467</v>
      </c>
      <c r="F276" s="162" t="s">
        <v>760</v>
      </c>
      <c r="G276" s="163" t="s">
        <v>761</v>
      </c>
      <c r="H276" s="3">
        <f t="shared" si="7"/>
        <v>210177.81249999997</v>
      </c>
      <c r="I276" s="3">
        <v>33628.449999999997</v>
      </c>
    </row>
    <row r="277" spans="1:9">
      <c r="A277" t="s">
        <v>1836</v>
      </c>
      <c r="B277" s="1">
        <v>41717</v>
      </c>
      <c r="C277" t="s">
        <v>1837</v>
      </c>
      <c r="D277">
        <v>1</v>
      </c>
      <c r="E277" t="s">
        <v>467</v>
      </c>
      <c r="F277" s="162" t="s">
        <v>760</v>
      </c>
      <c r="G277" s="163" t="s">
        <v>761</v>
      </c>
      <c r="H277" s="3">
        <f t="shared" si="7"/>
        <v>202818.6875</v>
      </c>
      <c r="I277" s="3">
        <v>32450.99</v>
      </c>
    </row>
    <row r="278" spans="1:9">
      <c r="A278" t="s">
        <v>1838</v>
      </c>
      <c r="B278" s="1">
        <v>41717</v>
      </c>
      <c r="C278" t="s">
        <v>1839</v>
      </c>
      <c r="D278">
        <v>1</v>
      </c>
      <c r="E278" t="s">
        <v>467</v>
      </c>
      <c r="F278" s="162" t="s">
        <v>760</v>
      </c>
      <c r="G278" s="163" t="s">
        <v>761</v>
      </c>
      <c r="H278" s="3">
        <f t="shared" si="7"/>
        <v>202818.6875</v>
      </c>
      <c r="I278" s="3">
        <v>32450.99</v>
      </c>
    </row>
    <row r="279" spans="1:9">
      <c r="A279" t="s">
        <v>1840</v>
      </c>
      <c r="B279" s="1">
        <v>41717</v>
      </c>
      <c r="C279" t="s">
        <v>1841</v>
      </c>
      <c r="D279">
        <v>1</v>
      </c>
      <c r="E279" t="s">
        <v>467</v>
      </c>
      <c r="F279" s="162" t="s">
        <v>760</v>
      </c>
      <c r="G279" s="163" t="s">
        <v>761</v>
      </c>
      <c r="H279" s="3">
        <f t="shared" si="7"/>
        <v>202818.6875</v>
      </c>
      <c r="I279" s="3">
        <v>32450.99</v>
      </c>
    </row>
    <row r="280" spans="1:9">
      <c r="A280" t="s">
        <v>107</v>
      </c>
      <c r="B280" s="1">
        <v>41718</v>
      </c>
      <c r="C280" t="s">
        <v>1851</v>
      </c>
      <c r="D280">
        <v>1</v>
      </c>
      <c r="E280" t="s">
        <v>467</v>
      </c>
      <c r="F280" s="162" t="s">
        <v>760</v>
      </c>
      <c r="G280" s="163" t="s">
        <v>761</v>
      </c>
      <c r="H280" s="3">
        <f t="shared" si="7"/>
        <v>478010.75</v>
      </c>
      <c r="I280" s="3">
        <v>76481.72</v>
      </c>
    </row>
    <row r="281" spans="1:9">
      <c r="A281" t="s">
        <v>1078</v>
      </c>
      <c r="B281" s="1">
        <v>41718</v>
      </c>
      <c r="C281" t="s">
        <v>1852</v>
      </c>
      <c r="D281">
        <v>1</v>
      </c>
      <c r="E281" t="s">
        <v>467</v>
      </c>
      <c r="F281" s="162" t="s">
        <v>760</v>
      </c>
      <c r="G281" s="163" t="s">
        <v>761</v>
      </c>
      <c r="H281" s="3">
        <f t="shared" si="7"/>
        <v>382307.875</v>
      </c>
      <c r="I281" s="3">
        <v>61169.26</v>
      </c>
    </row>
    <row r="282" spans="1:9">
      <c r="A282" t="s">
        <v>1853</v>
      </c>
      <c r="B282" s="1">
        <v>41718</v>
      </c>
      <c r="C282" t="s">
        <v>1854</v>
      </c>
      <c r="D282">
        <v>1</v>
      </c>
      <c r="E282" t="s">
        <v>467</v>
      </c>
      <c r="F282" s="162" t="s">
        <v>760</v>
      </c>
      <c r="G282" s="163" t="s">
        <v>761</v>
      </c>
      <c r="H282" s="3">
        <f t="shared" si="7"/>
        <v>323465.75</v>
      </c>
      <c r="I282" s="3">
        <v>51754.52</v>
      </c>
    </row>
    <row r="283" spans="1:9">
      <c r="A283" t="s">
        <v>1086</v>
      </c>
      <c r="B283" s="1">
        <v>41718</v>
      </c>
      <c r="C283" t="s">
        <v>1855</v>
      </c>
      <c r="D283">
        <v>1</v>
      </c>
      <c r="E283" t="s">
        <v>467</v>
      </c>
      <c r="F283" s="162" t="s">
        <v>760</v>
      </c>
      <c r="G283" s="163" t="s">
        <v>761</v>
      </c>
      <c r="H283" s="3">
        <f t="shared" si="7"/>
        <v>210177.81249999997</v>
      </c>
      <c r="I283" s="3">
        <v>33628.449999999997</v>
      </c>
    </row>
    <row r="284" spans="1:9">
      <c r="A284" t="s">
        <v>1088</v>
      </c>
      <c r="B284" s="1">
        <v>41718</v>
      </c>
      <c r="C284" t="s">
        <v>1856</v>
      </c>
      <c r="D284">
        <v>1</v>
      </c>
      <c r="E284" t="s">
        <v>467</v>
      </c>
      <c r="F284" s="162" t="s">
        <v>760</v>
      </c>
      <c r="G284" s="163" t="s">
        <v>761</v>
      </c>
      <c r="H284" s="3">
        <f t="shared" si="7"/>
        <v>478010.75</v>
      </c>
      <c r="I284" s="3">
        <v>76481.72</v>
      </c>
    </row>
    <row r="285" spans="1:9">
      <c r="A285" t="s">
        <v>1094</v>
      </c>
      <c r="B285" s="1">
        <v>41718</v>
      </c>
      <c r="C285" t="s">
        <v>1857</v>
      </c>
      <c r="D285">
        <v>1</v>
      </c>
      <c r="E285" t="s">
        <v>467</v>
      </c>
      <c r="F285" s="162" t="s">
        <v>760</v>
      </c>
      <c r="G285" s="163" t="s">
        <v>761</v>
      </c>
      <c r="H285" s="3">
        <f t="shared" si="7"/>
        <v>176668.5625</v>
      </c>
      <c r="I285" s="3">
        <v>28266.97</v>
      </c>
    </row>
    <row r="286" spans="1:9">
      <c r="A286" t="s">
        <v>1096</v>
      </c>
      <c r="B286" s="1">
        <v>41718</v>
      </c>
      <c r="C286" t="s">
        <v>1858</v>
      </c>
      <c r="D286">
        <v>1</v>
      </c>
      <c r="E286" t="s">
        <v>467</v>
      </c>
      <c r="F286" s="162" t="s">
        <v>760</v>
      </c>
      <c r="G286" s="163" t="s">
        <v>761</v>
      </c>
      <c r="H286" s="3">
        <f t="shared" si="7"/>
        <v>168289.25</v>
      </c>
      <c r="I286" s="3">
        <v>26926.28</v>
      </c>
    </row>
    <row r="287" spans="1:9">
      <c r="A287" t="s">
        <v>1860</v>
      </c>
      <c r="B287" s="1">
        <v>41718</v>
      </c>
      <c r="C287" t="s">
        <v>1861</v>
      </c>
      <c r="D287">
        <v>1</v>
      </c>
      <c r="E287" t="s">
        <v>467</v>
      </c>
      <c r="F287" s="162" t="s">
        <v>760</v>
      </c>
      <c r="G287" s="163" t="s">
        <v>761</v>
      </c>
      <c r="H287" s="3">
        <f t="shared" si="7"/>
        <v>168289.25</v>
      </c>
      <c r="I287" s="3">
        <v>26926.28</v>
      </c>
    </row>
    <row r="288" spans="1:9">
      <c r="A288" t="s">
        <v>1112</v>
      </c>
      <c r="B288" s="1">
        <v>41718</v>
      </c>
      <c r="C288" t="s">
        <v>1863</v>
      </c>
      <c r="D288">
        <v>1</v>
      </c>
      <c r="E288" t="s">
        <v>467</v>
      </c>
      <c r="F288" s="162" t="s">
        <v>760</v>
      </c>
      <c r="G288" s="163" t="s">
        <v>761</v>
      </c>
      <c r="H288" s="3">
        <f t="shared" si="7"/>
        <v>246689.9375</v>
      </c>
      <c r="I288" s="3">
        <v>39470.39</v>
      </c>
    </row>
    <row r="289" spans="1:10">
      <c r="A289" t="s">
        <v>1872</v>
      </c>
      <c r="B289" s="1">
        <v>41719</v>
      </c>
      <c r="C289" t="s">
        <v>1873</v>
      </c>
      <c r="D289">
        <v>1</v>
      </c>
      <c r="E289" t="s">
        <v>467</v>
      </c>
      <c r="F289" s="162" t="s">
        <v>760</v>
      </c>
      <c r="G289" s="163" t="s">
        <v>761</v>
      </c>
      <c r="H289" s="3">
        <f t="shared" si="7"/>
        <v>162935.75</v>
      </c>
      <c r="I289" s="3">
        <v>26069.72</v>
      </c>
    </row>
    <row r="290" spans="1:10">
      <c r="A290" t="s">
        <v>1874</v>
      </c>
      <c r="B290" s="1">
        <v>41719</v>
      </c>
      <c r="C290" t="s">
        <v>1875</v>
      </c>
      <c r="D290">
        <v>1</v>
      </c>
      <c r="E290" t="s">
        <v>467</v>
      </c>
      <c r="F290" s="162" t="s">
        <v>760</v>
      </c>
      <c r="G290" s="163" t="s">
        <v>761</v>
      </c>
      <c r="H290" s="3">
        <f t="shared" si="7"/>
        <v>170461.625</v>
      </c>
      <c r="I290" s="3">
        <v>27273.86</v>
      </c>
    </row>
    <row r="291" spans="1:10">
      <c r="A291" t="s">
        <v>1876</v>
      </c>
      <c r="B291" s="1">
        <v>41719</v>
      </c>
      <c r="C291" t="s">
        <v>1877</v>
      </c>
      <c r="D291">
        <v>1</v>
      </c>
      <c r="E291" t="s">
        <v>467</v>
      </c>
      <c r="F291" s="162" t="s">
        <v>760</v>
      </c>
      <c r="G291" s="163" t="s">
        <v>761</v>
      </c>
      <c r="H291" s="3">
        <f t="shared" si="7"/>
        <v>170461.625</v>
      </c>
      <c r="I291" s="3">
        <v>27273.86</v>
      </c>
    </row>
    <row r="292" spans="1:10">
      <c r="A292" t="s">
        <v>1884</v>
      </c>
      <c r="B292" s="1">
        <v>41719</v>
      </c>
      <c r="C292" t="s">
        <v>1885</v>
      </c>
      <c r="D292">
        <v>1</v>
      </c>
      <c r="E292" t="s">
        <v>467</v>
      </c>
      <c r="F292" s="162" t="s">
        <v>760</v>
      </c>
      <c r="G292" s="163" t="s">
        <v>761</v>
      </c>
      <c r="H292" s="3">
        <f t="shared" si="7"/>
        <v>260965.56249999997</v>
      </c>
      <c r="I292" s="3">
        <v>41754.49</v>
      </c>
    </row>
    <row r="293" spans="1:10">
      <c r="A293" t="s">
        <v>1910</v>
      </c>
      <c r="B293" s="1">
        <v>41719</v>
      </c>
      <c r="C293" t="s">
        <v>1166</v>
      </c>
      <c r="D293">
        <v>1</v>
      </c>
      <c r="E293" t="s">
        <v>467</v>
      </c>
      <c r="F293" s="162" t="s">
        <v>760</v>
      </c>
      <c r="G293" s="163" t="s">
        <v>761</v>
      </c>
      <c r="H293" s="3">
        <f t="shared" si="7"/>
        <v>-170461.625</v>
      </c>
      <c r="I293" s="3">
        <v>-27273.86</v>
      </c>
      <c r="J293" s="2"/>
    </row>
    <row r="294" spans="1:10">
      <c r="A294" t="s">
        <v>1930</v>
      </c>
      <c r="B294" s="1">
        <v>41723</v>
      </c>
      <c r="C294" t="s">
        <v>1931</v>
      </c>
      <c r="D294">
        <v>1</v>
      </c>
      <c r="E294" t="s">
        <v>467</v>
      </c>
      <c r="F294" s="162" t="s">
        <v>760</v>
      </c>
      <c r="G294" s="163" t="s">
        <v>761</v>
      </c>
      <c r="H294" s="3">
        <f t="shared" si="7"/>
        <v>320437.1875</v>
      </c>
      <c r="I294" s="3">
        <v>51269.95</v>
      </c>
    </row>
    <row r="295" spans="1:10">
      <c r="A295" t="s">
        <v>1932</v>
      </c>
      <c r="B295" s="1">
        <v>41723</v>
      </c>
      <c r="C295" t="s">
        <v>1933</v>
      </c>
      <c r="D295">
        <v>1</v>
      </c>
      <c r="E295" t="s">
        <v>467</v>
      </c>
      <c r="F295" s="162" t="s">
        <v>760</v>
      </c>
      <c r="G295" s="163" t="s">
        <v>761</v>
      </c>
      <c r="H295" s="3">
        <f t="shared" si="7"/>
        <v>175737.625</v>
      </c>
      <c r="I295" s="3">
        <v>28118.02</v>
      </c>
    </row>
    <row r="296" spans="1:10">
      <c r="A296" t="s">
        <v>1934</v>
      </c>
      <c r="B296" s="1">
        <v>41724</v>
      </c>
      <c r="C296" t="s">
        <v>1935</v>
      </c>
      <c r="D296">
        <v>1</v>
      </c>
      <c r="E296" t="s">
        <v>467</v>
      </c>
      <c r="F296" s="162" t="s">
        <v>760</v>
      </c>
      <c r="G296" s="163" t="s">
        <v>761</v>
      </c>
      <c r="H296" s="3">
        <f t="shared" si="7"/>
        <v>183525.1875</v>
      </c>
      <c r="I296" s="3">
        <v>29364.03</v>
      </c>
    </row>
    <row r="297" spans="1:10">
      <c r="A297" t="s">
        <v>1955</v>
      </c>
      <c r="B297" s="1">
        <v>41725</v>
      </c>
      <c r="C297" t="s">
        <v>1956</v>
      </c>
      <c r="D297">
        <v>1</v>
      </c>
      <c r="E297" t="s">
        <v>467</v>
      </c>
      <c r="F297" s="162" t="s">
        <v>760</v>
      </c>
      <c r="G297" s="163" t="s">
        <v>761</v>
      </c>
      <c r="H297" s="3">
        <f t="shared" si="7"/>
        <v>297961.625</v>
      </c>
      <c r="I297" s="3">
        <v>47673.86</v>
      </c>
    </row>
    <row r="298" spans="1:10">
      <c r="A298" t="s">
        <v>1969</v>
      </c>
      <c r="B298" s="1">
        <v>41726</v>
      </c>
      <c r="C298" t="s">
        <v>1970</v>
      </c>
      <c r="D298">
        <v>1</v>
      </c>
      <c r="E298" t="s">
        <v>467</v>
      </c>
      <c r="F298" s="162" t="s">
        <v>760</v>
      </c>
      <c r="G298" s="163" t="s">
        <v>761</v>
      </c>
      <c r="H298" s="3">
        <f t="shared" si="7"/>
        <v>176668.5625</v>
      </c>
      <c r="I298" s="3">
        <v>28266.97</v>
      </c>
    </row>
    <row r="299" spans="1:10">
      <c r="A299" t="s">
        <v>1971</v>
      </c>
      <c r="B299" s="1">
        <v>41726</v>
      </c>
      <c r="C299" t="s">
        <v>1972</v>
      </c>
      <c r="D299">
        <v>1</v>
      </c>
      <c r="E299" t="s">
        <v>467</v>
      </c>
      <c r="F299" s="162" t="s">
        <v>760</v>
      </c>
      <c r="G299" s="163" t="s">
        <v>761</v>
      </c>
      <c r="H299" s="3">
        <f t="shared" si="7"/>
        <v>168134.0625</v>
      </c>
      <c r="I299" s="3">
        <v>26901.45</v>
      </c>
    </row>
    <row r="300" spans="1:10">
      <c r="A300" t="s">
        <v>1973</v>
      </c>
      <c r="B300" s="1">
        <v>41726</v>
      </c>
      <c r="C300" t="s">
        <v>1974</v>
      </c>
      <c r="D300">
        <v>1</v>
      </c>
      <c r="E300" t="s">
        <v>467</v>
      </c>
      <c r="F300" s="162" t="s">
        <v>760</v>
      </c>
      <c r="G300" s="163" t="s">
        <v>761</v>
      </c>
      <c r="H300" s="3">
        <f t="shared" si="7"/>
        <v>233864.375</v>
      </c>
      <c r="I300" s="3">
        <v>37418.300000000003</v>
      </c>
    </row>
    <row r="301" spans="1:10">
      <c r="A301" t="s">
        <v>1975</v>
      </c>
      <c r="B301" s="1">
        <v>41726</v>
      </c>
      <c r="C301" t="s">
        <v>1976</v>
      </c>
      <c r="D301">
        <v>1</v>
      </c>
      <c r="E301" t="s">
        <v>467</v>
      </c>
      <c r="F301" s="162" t="s">
        <v>760</v>
      </c>
      <c r="G301" s="163" t="s">
        <v>761</v>
      </c>
      <c r="H301" s="3">
        <f t="shared" si="7"/>
        <v>202818.6875</v>
      </c>
      <c r="I301" s="3">
        <v>32450.99</v>
      </c>
    </row>
    <row r="302" spans="1:10">
      <c r="A302" t="s">
        <v>1977</v>
      </c>
      <c r="B302" s="1">
        <v>41726</v>
      </c>
      <c r="C302" t="s">
        <v>1978</v>
      </c>
      <c r="D302">
        <v>1</v>
      </c>
      <c r="E302" t="s">
        <v>467</v>
      </c>
      <c r="F302" s="162" t="s">
        <v>760</v>
      </c>
      <c r="G302" s="163" t="s">
        <v>761</v>
      </c>
      <c r="H302" s="3">
        <f t="shared" si="7"/>
        <v>202818.6875</v>
      </c>
      <c r="I302" s="3">
        <v>32450.99</v>
      </c>
    </row>
    <row r="303" spans="1:10">
      <c r="A303" t="s">
        <v>1979</v>
      </c>
      <c r="B303" s="1">
        <v>41726</v>
      </c>
      <c r="C303" t="s">
        <v>1980</v>
      </c>
      <c r="D303">
        <v>1</v>
      </c>
      <c r="E303" t="s">
        <v>467</v>
      </c>
      <c r="F303" s="162" t="s">
        <v>760</v>
      </c>
      <c r="G303" s="163" t="s">
        <v>761</v>
      </c>
      <c r="H303" s="3">
        <f t="shared" si="7"/>
        <v>224993.125</v>
      </c>
      <c r="I303" s="3">
        <v>35998.9</v>
      </c>
    </row>
    <row r="304" spans="1:10">
      <c r="A304" t="s">
        <v>1990</v>
      </c>
      <c r="B304" s="1">
        <v>41729</v>
      </c>
      <c r="C304" t="s">
        <v>1991</v>
      </c>
      <c r="D304">
        <v>1</v>
      </c>
      <c r="E304" t="s">
        <v>467</v>
      </c>
      <c r="F304" s="162" t="s">
        <v>760</v>
      </c>
      <c r="G304" s="163" t="s">
        <v>761</v>
      </c>
      <c r="H304" s="3">
        <f t="shared" si="7"/>
        <v>297961.625</v>
      </c>
      <c r="I304" s="3">
        <v>47673.86</v>
      </c>
    </row>
    <row r="305" spans="1:11">
      <c r="A305" t="s">
        <v>1992</v>
      </c>
      <c r="B305" s="1">
        <v>41729</v>
      </c>
      <c r="C305" t="s">
        <v>1993</v>
      </c>
      <c r="D305">
        <v>1</v>
      </c>
      <c r="E305" t="s">
        <v>467</v>
      </c>
      <c r="F305" s="162" t="s">
        <v>760</v>
      </c>
      <c r="G305" s="163" t="s">
        <v>761</v>
      </c>
      <c r="H305" s="3">
        <f t="shared" si="7"/>
        <v>202818.6875</v>
      </c>
      <c r="I305" s="3">
        <v>32450.99</v>
      </c>
    </row>
    <row r="306" spans="1:11">
      <c r="A306" t="s">
        <v>1994</v>
      </c>
      <c r="B306" s="1">
        <v>41729</v>
      </c>
      <c r="C306" t="s">
        <v>1995</v>
      </c>
      <c r="D306">
        <v>1</v>
      </c>
      <c r="E306" t="s">
        <v>467</v>
      </c>
      <c r="F306" s="162" t="s">
        <v>760</v>
      </c>
      <c r="G306" s="163" t="s">
        <v>761</v>
      </c>
      <c r="H306" s="3">
        <f t="shared" si="7"/>
        <v>195878.125</v>
      </c>
      <c r="I306" s="3">
        <v>31340.5</v>
      </c>
    </row>
    <row r="307" spans="1:11">
      <c r="A307" t="s">
        <v>1996</v>
      </c>
      <c r="B307" s="1">
        <v>41729</v>
      </c>
      <c r="C307" t="s">
        <v>1997</v>
      </c>
      <c r="D307">
        <v>1</v>
      </c>
      <c r="E307" t="s">
        <v>467</v>
      </c>
      <c r="F307" s="162" t="s">
        <v>760</v>
      </c>
      <c r="G307" s="163" t="s">
        <v>761</v>
      </c>
      <c r="H307" s="3">
        <f t="shared" si="7"/>
        <v>224993.125</v>
      </c>
      <c r="I307" s="3">
        <v>35998.9</v>
      </c>
    </row>
    <row r="308" spans="1:11">
      <c r="A308" t="s">
        <v>303</v>
      </c>
      <c r="B308" s="1">
        <v>41729</v>
      </c>
      <c r="C308" t="s">
        <v>2001</v>
      </c>
      <c r="D308">
        <v>1</v>
      </c>
      <c r="E308" t="s">
        <v>467</v>
      </c>
      <c r="F308" s="162" t="s">
        <v>760</v>
      </c>
      <c r="G308" s="163" t="s">
        <v>761</v>
      </c>
      <c r="H308" s="3">
        <f t="shared" si="7"/>
        <v>175582.31249999997</v>
      </c>
      <c r="I308" s="3">
        <v>28093.17</v>
      </c>
    </row>
    <row r="309" spans="1:11">
      <c r="A309" t="s">
        <v>2002</v>
      </c>
      <c r="B309" s="1">
        <v>41729</v>
      </c>
      <c r="C309" t="s">
        <v>2003</v>
      </c>
      <c r="D309">
        <v>1</v>
      </c>
      <c r="E309" t="s">
        <v>467</v>
      </c>
      <c r="F309" s="162" t="s">
        <v>760</v>
      </c>
      <c r="G309" s="163" t="s">
        <v>761</v>
      </c>
      <c r="H309" s="3">
        <f t="shared" si="7"/>
        <v>162935.75</v>
      </c>
      <c r="I309" s="3">
        <v>26069.72</v>
      </c>
    </row>
    <row r="310" spans="1:11">
      <c r="A310" t="s">
        <v>306</v>
      </c>
      <c r="B310" s="1">
        <v>41729</v>
      </c>
      <c r="C310" t="s">
        <v>2004</v>
      </c>
      <c r="D310">
        <v>1</v>
      </c>
      <c r="E310" t="s">
        <v>467</v>
      </c>
      <c r="F310" s="162" t="s">
        <v>760</v>
      </c>
      <c r="G310" s="163" t="s">
        <v>761</v>
      </c>
      <c r="H310" s="3">
        <f t="shared" si="7"/>
        <v>170461.625</v>
      </c>
      <c r="I310" s="3">
        <v>27273.86</v>
      </c>
    </row>
    <row r="311" spans="1:11">
      <c r="A311" t="s">
        <v>2005</v>
      </c>
      <c r="B311" s="1">
        <v>41729</v>
      </c>
      <c r="C311" t="s">
        <v>2006</v>
      </c>
      <c r="D311">
        <v>1</v>
      </c>
      <c r="E311" t="s">
        <v>467</v>
      </c>
      <c r="F311" s="162" t="s">
        <v>760</v>
      </c>
      <c r="G311" s="163" t="s">
        <v>761</v>
      </c>
      <c r="H311" s="3">
        <f t="shared" si="7"/>
        <v>195878.125</v>
      </c>
      <c r="I311" s="3">
        <v>31340.5</v>
      </c>
    </row>
    <row r="312" spans="1:11">
      <c r="A312" t="s">
        <v>2007</v>
      </c>
      <c r="B312" s="1">
        <v>41729</v>
      </c>
      <c r="C312" t="s">
        <v>2008</v>
      </c>
      <c r="D312">
        <v>1</v>
      </c>
      <c r="E312" t="s">
        <v>467</v>
      </c>
      <c r="F312" s="162" t="s">
        <v>760</v>
      </c>
      <c r="G312" s="163" t="s">
        <v>761</v>
      </c>
      <c r="H312" s="3">
        <f t="shared" si="7"/>
        <v>195878.125</v>
      </c>
      <c r="I312" s="3">
        <v>31340.5</v>
      </c>
    </row>
    <row r="313" spans="1:11">
      <c r="A313" t="s">
        <v>312</v>
      </c>
      <c r="B313" s="1">
        <v>41729</v>
      </c>
      <c r="C313" t="s">
        <v>2009</v>
      </c>
      <c r="D313">
        <v>1</v>
      </c>
      <c r="E313" t="s">
        <v>467</v>
      </c>
      <c r="F313" s="162" t="s">
        <v>760</v>
      </c>
      <c r="G313" s="163" t="s">
        <v>761</v>
      </c>
      <c r="H313" s="3">
        <f t="shared" si="7"/>
        <v>175582.31249999997</v>
      </c>
      <c r="I313" s="3">
        <v>28093.17</v>
      </c>
    </row>
    <row r="314" spans="1:11">
      <c r="A314" t="s">
        <v>2010</v>
      </c>
      <c r="B314" s="1">
        <v>41729</v>
      </c>
      <c r="C314" t="s">
        <v>2011</v>
      </c>
      <c r="D314">
        <v>1</v>
      </c>
      <c r="E314" t="s">
        <v>467</v>
      </c>
      <c r="F314" s="162" t="s">
        <v>760</v>
      </c>
      <c r="G314" s="163" t="s">
        <v>761</v>
      </c>
      <c r="H314" s="3">
        <f t="shared" si="7"/>
        <v>170461.625</v>
      </c>
      <c r="I314" s="3">
        <v>27273.86</v>
      </c>
    </row>
    <row r="315" spans="1:11">
      <c r="A315" t="s">
        <v>315</v>
      </c>
      <c r="B315" s="1">
        <v>41729</v>
      </c>
      <c r="C315" t="s">
        <v>2012</v>
      </c>
      <c r="D315">
        <v>1</v>
      </c>
      <c r="E315" t="s">
        <v>467</v>
      </c>
      <c r="F315" s="162" t="s">
        <v>760</v>
      </c>
      <c r="G315" s="163" t="s">
        <v>761</v>
      </c>
      <c r="H315" s="3">
        <f t="shared" si="7"/>
        <v>195878.125</v>
      </c>
      <c r="I315" s="3">
        <v>31340.5</v>
      </c>
    </row>
    <row r="316" spans="1:11">
      <c r="A316" t="s">
        <v>2013</v>
      </c>
      <c r="B316" s="1">
        <v>41729</v>
      </c>
      <c r="C316" t="s">
        <v>2014</v>
      </c>
      <c r="D316">
        <v>1</v>
      </c>
      <c r="E316" t="s">
        <v>467</v>
      </c>
      <c r="F316" s="162" t="s">
        <v>760</v>
      </c>
      <c r="G316" s="163" t="s">
        <v>761</v>
      </c>
      <c r="H316" s="3">
        <f t="shared" si="7"/>
        <v>195878.125</v>
      </c>
      <c r="I316" s="3">
        <v>31340.5</v>
      </c>
    </row>
    <row r="317" spans="1:11">
      <c r="A317" t="s">
        <v>2111</v>
      </c>
      <c r="B317" s="1">
        <v>41702</v>
      </c>
      <c r="C317" t="s">
        <v>2112</v>
      </c>
      <c r="D317">
        <v>1</v>
      </c>
      <c r="E317" t="s">
        <v>467</v>
      </c>
      <c r="F317" s="72" t="s">
        <v>831</v>
      </c>
      <c r="G317" s="8" t="s">
        <v>467</v>
      </c>
      <c r="H317" s="3">
        <f t="shared" si="7"/>
        <v>229490.74999999997</v>
      </c>
      <c r="I317" s="3">
        <v>36718.519999999997</v>
      </c>
    </row>
    <row r="318" spans="1:11">
      <c r="A318" t="s">
        <v>1768</v>
      </c>
      <c r="B318" s="1">
        <v>41711</v>
      </c>
      <c r="C318">
        <v>9826</v>
      </c>
      <c r="D318">
        <v>1</v>
      </c>
      <c r="E318" t="s">
        <v>1769</v>
      </c>
      <c r="F318" s="151" t="s">
        <v>2317</v>
      </c>
      <c r="G318" s="149" t="s">
        <v>1769</v>
      </c>
      <c r="H318" s="3">
        <f t="shared" si="7"/>
        <v>350</v>
      </c>
      <c r="I318" s="3">
        <v>56</v>
      </c>
    </row>
    <row r="319" spans="1:11">
      <c r="A319" t="s">
        <v>366</v>
      </c>
      <c r="B319" s="1">
        <v>41729</v>
      </c>
      <c r="C319">
        <v>9911</v>
      </c>
      <c r="D319">
        <v>1</v>
      </c>
      <c r="E319" t="s">
        <v>1769</v>
      </c>
      <c r="F319" s="151" t="s">
        <v>2317</v>
      </c>
      <c r="G319" s="149" t="s">
        <v>1769</v>
      </c>
      <c r="H319" s="3">
        <f t="shared" si="7"/>
        <v>420</v>
      </c>
      <c r="I319" s="3">
        <v>67.2</v>
      </c>
    </row>
    <row r="320" spans="1:11">
      <c r="A320" t="s">
        <v>1889</v>
      </c>
      <c r="B320" s="1">
        <v>41719</v>
      </c>
      <c r="C320" t="s">
        <v>1890</v>
      </c>
      <c r="D320">
        <v>1</v>
      </c>
      <c r="E320" t="s">
        <v>1891</v>
      </c>
      <c r="F320" s="149" t="s">
        <v>1649</v>
      </c>
      <c r="G320" s="149" t="s">
        <v>2318</v>
      </c>
      <c r="H320" s="170">
        <f t="shared" ref="H320:H328" si="8">I320/0.16</f>
        <v>495.74999999999994</v>
      </c>
      <c r="I320" s="170">
        <v>79.319999999999993</v>
      </c>
      <c r="J320" s="3"/>
      <c r="K320" s="3"/>
    </row>
    <row r="321" spans="1:12">
      <c r="A321" t="s">
        <v>1889</v>
      </c>
      <c r="B321" s="1">
        <v>41719</v>
      </c>
      <c r="C321" t="s">
        <v>1890</v>
      </c>
      <c r="D321">
        <v>1</v>
      </c>
      <c r="E321" t="s">
        <v>1891</v>
      </c>
      <c r="F321" s="149" t="s">
        <v>903</v>
      </c>
      <c r="G321" s="149" t="s">
        <v>2319</v>
      </c>
      <c r="H321" s="170">
        <f t="shared" si="8"/>
        <v>94.8125</v>
      </c>
      <c r="I321" s="170">
        <v>15.17</v>
      </c>
    </row>
    <row r="322" spans="1:12">
      <c r="A322" t="s">
        <v>1889</v>
      </c>
      <c r="B322" s="1">
        <v>41719</v>
      </c>
      <c r="C322" t="s">
        <v>1890</v>
      </c>
      <c r="D322">
        <v>1</v>
      </c>
      <c r="E322" t="s">
        <v>1891</v>
      </c>
      <c r="F322" s="149" t="s">
        <v>1629</v>
      </c>
      <c r="G322" s="149" t="s">
        <v>1630</v>
      </c>
      <c r="H322" s="170">
        <f t="shared" si="8"/>
        <v>846.56249999999989</v>
      </c>
      <c r="I322" s="170">
        <v>135.44999999999999</v>
      </c>
    </row>
    <row r="323" spans="1:12">
      <c r="A323" t="s">
        <v>1889</v>
      </c>
      <c r="B323" s="1">
        <v>41719</v>
      </c>
      <c r="C323" t="s">
        <v>1890</v>
      </c>
      <c r="D323">
        <v>1</v>
      </c>
      <c r="E323" t="s">
        <v>1891</v>
      </c>
      <c r="F323" s="149" t="s">
        <v>1635</v>
      </c>
      <c r="G323" s="149" t="s">
        <v>2320</v>
      </c>
      <c r="H323" s="170">
        <f t="shared" si="8"/>
        <v>99.125</v>
      </c>
      <c r="I323" s="170">
        <v>15.86</v>
      </c>
    </row>
    <row r="324" spans="1:12">
      <c r="A324" t="s">
        <v>1889</v>
      </c>
      <c r="B324" s="1">
        <v>41719</v>
      </c>
      <c r="C324" t="s">
        <v>1890</v>
      </c>
      <c r="D324">
        <v>1</v>
      </c>
      <c r="E324" t="s">
        <v>1891</v>
      </c>
      <c r="F324" s="149" t="s">
        <v>2321</v>
      </c>
      <c r="G324" s="149" t="s">
        <v>2322</v>
      </c>
      <c r="H324" s="170">
        <f t="shared" si="8"/>
        <v>452.18749999999994</v>
      </c>
      <c r="I324" s="170">
        <v>72.349999999999994</v>
      </c>
    </row>
    <row r="325" spans="1:12">
      <c r="A325" t="s">
        <v>1889</v>
      </c>
      <c r="B325" s="1">
        <v>41719</v>
      </c>
      <c r="C325" t="s">
        <v>1890</v>
      </c>
      <c r="D325">
        <v>1</v>
      </c>
      <c r="E325" t="s">
        <v>1891</v>
      </c>
      <c r="F325" s="137" t="s">
        <v>839</v>
      </c>
      <c r="G325" s="137" t="s">
        <v>1567</v>
      </c>
      <c r="H325" s="174">
        <f t="shared" si="8"/>
        <v>83.6875</v>
      </c>
      <c r="I325" s="174">
        <v>13.39</v>
      </c>
    </row>
    <row r="326" spans="1:12">
      <c r="A326" t="s">
        <v>1889</v>
      </c>
      <c r="B326" s="1">
        <v>41719</v>
      </c>
      <c r="C326" t="s">
        <v>1890</v>
      </c>
      <c r="D326">
        <v>1</v>
      </c>
      <c r="E326" t="s">
        <v>1891</v>
      </c>
      <c r="F326" s="149" t="s">
        <v>2323</v>
      </c>
      <c r="G326" s="149" t="s">
        <v>2324</v>
      </c>
      <c r="H326" s="170">
        <f t="shared" si="8"/>
        <v>81.875</v>
      </c>
      <c r="I326" s="170">
        <v>13.1</v>
      </c>
    </row>
    <row r="327" spans="1:12">
      <c r="A327" t="s">
        <v>1889</v>
      </c>
      <c r="B327" s="1">
        <v>41719</v>
      </c>
      <c r="C327" t="s">
        <v>1890</v>
      </c>
      <c r="D327">
        <v>1</v>
      </c>
      <c r="E327" t="s">
        <v>1891</v>
      </c>
      <c r="F327" s="137" t="s">
        <v>2325</v>
      </c>
      <c r="G327" s="137" t="s">
        <v>2326</v>
      </c>
      <c r="H327" s="174">
        <f t="shared" si="8"/>
        <v>431.0625</v>
      </c>
      <c r="I327" s="174">
        <v>68.97</v>
      </c>
    </row>
    <row r="328" spans="1:12">
      <c r="A328" t="s">
        <v>1889</v>
      </c>
      <c r="B328" s="1">
        <v>41719</v>
      </c>
      <c r="C328" t="s">
        <v>1890</v>
      </c>
      <c r="D328">
        <v>1</v>
      </c>
      <c r="E328" t="s">
        <v>1891</v>
      </c>
      <c r="F328" s="149" t="s">
        <v>2327</v>
      </c>
      <c r="G328" s="149" t="s">
        <v>2328</v>
      </c>
      <c r="H328" s="170">
        <f t="shared" si="8"/>
        <v>506.5625</v>
      </c>
      <c r="I328" s="170">
        <v>81.05</v>
      </c>
    </row>
    <row r="329" spans="1:12">
      <c r="A329" t="s">
        <v>1889</v>
      </c>
      <c r="B329" s="1">
        <v>41719</v>
      </c>
      <c r="C329" t="s">
        <v>1890</v>
      </c>
      <c r="D329">
        <v>1</v>
      </c>
      <c r="E329" t="s">
        <v>1891</v>
      </c>
      <c r="F329" t="s">
        <v>763</v>
      </c>
      <c r="G329" t="s">
        <v>900</v>
      </c>
      <c r="H329" s="176">
        <f t="shared" ref="H329:H330" si="9">I329/0.16</f>
        <v>1082.875</v>
      </c>
      <c r="I329" s="176">
        <v>173.26</v>
      </c>
      <c r="J329" s="13">
        <f>4155.75-H320-H321-H322-H323-H324-H325-H326-H327-H328-H329</f>
        <v>-18.75</v>
      </c>
      <c r="K329" s="13">
        <f>664.92-I320-I321-I322-I323-I324-I325-I326-I328-I327-I329</f>
        <v>-3.0000000000000284</v>
      </c>
      <c r="L329" t="s">
        <v>850</v>
      </c>
    </row>
    <row r="330" spans="1:12">
      <c r="A330" t="s">
        <v>2069</v>
      </c>
      <c r="B330" s="1">
        <v>41729</v>
      </c>
      <c r="C330" t="s">
        <v>2070</v>
      </c>
      <c r="D330">
        <v>1</v>
      </c>
      <c r="E330" t="s">
        <v>2071</v>
      </c>
      <c r="F330" s="158" t="s">
        <v>1553</v>
      </c>
      <c r="G330" t="s">
        <v>900</v>
      </c>
      <c r="H330" s="175">
        <f t="shared" si="9"/>
        <v>258.6875</v>
      </c>
      <c r="I330" s="176">
        <v>41.39</v>
      </c>
      <c r="J330" s="3"/>
      <c r="K330" s="3"/>
    </row>
    <row r="331" spans="1:12">
      <c r="A331" t="s">
        <v>2069</v>
      </c>
      <c r="B331" s="1">
        <v>41729</v>
      </c>
      <c r="C331" t="s">
        <v>2070</v>
      </c>
      <c r="D331">
        <v>1</v>
      </c>
      <c r="E331" t="s">
        <v>2071</v>
      </c>
      <c r="F331" s="151" t="s">
        <v>1649</v>
      </c>
      <c r="G331" s="149" t="s">
        <v>2318</v>
      </c>
      <c r="H331" s="170">
        <f>I331/0.16</f>
        <v>331.9375</v>
      </c>
      <c r="I331" s="170">
        <v>53.11</v>
      </c>
    </row>
    <row r="332" spans="1:12">
      <c r="A332" t="s">
        <v>2069</v>
      </c>
      <c r="B332" s="1">
        <v>41729</v>
      </c>
      <c r="C332" t="s">
        <v>2070</v>
      </c>
      <c r="D332">
        <v>1</v>
      </c>
      <c r="E332" t="s">
        <v>2071</v>
      </c>
      <c r="F332" s="151" t="s">
        <v>897</v>
      </c>
      <c r="G332" s="149" t="s">
        <v>2329</v>
      </c>
      <c r="H332" s="170">
        <f>I332/0.16</f>
        <v>77.5625</v>
      </c>
      <c r="I332" s="170">
        <v>12.41</v>
      </c>
    </row>
    <row r="333" spans="1:12">
      <c r="A333" t="s">
        <v>2069</v>
      </c>
      <c r="B333" s="1">
        <v>41729</v>
      </c>
      <c r="C333" t="s">
        <v>2070</v>
      </c>
      <c r="D333">
        <v>1</v>
      </c>
      <c r="E333" t="s">
        <v>2071</v>
      </c>
      <c r="F333" s="164" t="s">
        <v>2330</v>
      </c>
      <c r="G333" s="137" t="s">
        <v>2331</v>
      </c>
      <c r="H333" s="174">
        <f>I333/0.16</f>
        <v>502.37499999999994</v>
      </c>
      <c r="I333" s="174">
        <v>80.38</v>
      </c>
      <c r="J333" s="13">
        <f>1170.56-H330-H331-H332-H333</f>
        <v>-2.4999999999977263E-3</v>
      </c>
      <c r="K333" s="13">
        <f>187.29-I330-I331-I332-I333</f>
        <v>0</v>
      </c>
    </row>
    <row r="334" spans="1:12">
      <c r="A334" t="s">
        <v>42</v>
      </c>
      <c r="B334" s="1">
        <v>41711</v>
      </c>
      <c r="C334">
        <v>9798</v>
      </c>
      <c r="D334">
        <v>1</v>
      </c>
      <c r="E334" t="s">
        <v>1747</v>
      </c>
      <c r="F334" s="149" t="s">
        <v>2332</v>
      </c>
      <c r="G334" s="149" t="s">
        <v>2333</v>
      </c>
      <c r="H334" s="170">
        <f>I334/0.16</f>
        <v>58.625000000000007</v>
      </c>
      <c r="I334" s="170">
        <v>9.3800000000000008</v>
      </c>
      <c r="J334" s="3"/>
      <c r="K334" s="3"/>
    </row>
    <row r="335" spans="1:12">
      <c r="A335" t="s">
        <v>42</v>
      </c>
      <c r="B335" s="1">
        <v>41711</v>
      </c>
      <c r="C335">
        <v>9798</v>
      </c>
      <c r="D335">
        <v>1</v>
      </c>
      <c r="E335" t="s">
        <v>1747</v>
      </c>
      <c r="F335" t="s">
        <v>763</v>
      </c>
      <c r="G335" t="s">
        <v>900</v>
      </c>
      <c r="H335" s="176">
        <f t="shared" ref="H335" si="10">I335/0.16</f>
        <v>429.875</v>
      </c>
      <c r="I335" s="176">
        <v>68.78</v>
      </c>
      <c r="J335" s="13">
        <f>488.81-H334-H335</f>
        <v>0.31000000000000227</v>
      </c>
      <c r="K335" s="13">
        <f>78.21-I334-I335</f>
        <v>4.9999999999997158E-2</v>
      </c>
      <c r="L335" t="s">
        <v>850</v>
      </c>
    </row>
    <row r="336" spans="1:12">
      <c r="A336" t="s">
        <v>1898</v>
      </c>
      <c r="B336" s="1">
        <v>41719</v>
      </c>
      <c r="C336" t="s">
        <v>1899</v>
      </c>
      <c r="D336">
        <v>1</v>
      </c>
      <c r="E336" t="s">
        <v>1900</v>
      </c>
      <c r="F336" s="149" t="s">
        <v>923</v>
      </c>
      <c r="G336" s="149" t="s">
        <v>927</v>
      </c>
      <c r="H336" s="170">
        <f>I336/0.16</f>
        <v>144.8125</v>
      </c>
      <c r="I336" s="170">
        <v>23.17</v>
      </c>
      <c r="J336" s="3"/>
      <c r="K336" s="3"/>
    </row>
    <row r="337" spans="1:11">
      <c r="A337" t="s">
        <v>1898</v>
      </c>
      <c r="B337" s="1">
        <v>41719</v>
      </c>
      <c r="C337" t="s">
        <v>1899</v>
      </c>
      <c r="D337">
        <v>1</v>
      </c>
      <c r="E337" t="s">
        <v>1900</v>
      </c>
      <c r="F337" s="149" t="s">
        <v>923</v>
      </c>
      <c r="G337" s="149" t="s">
        <v>927</v>
      </c>
      <c r="H337" s="170">
        <f>I337/0.16</f>
        <v>144.8125</v>
      </c>
      <c r="I337" s="170">
        <v>23.17</v>
      </c>
    </row>
    <row r="338" spans="1:11">
      <c r="A338" t="s">
        <v>1898</v>
      </c>
      <c r="B338" s="1">
        <v>41719</v>
      </c>
      <c r="C338" t="s">
        <v>1899</v>
      </c>
      <c r="D338">
        <v>1</v>
      </c>
      <c r="E338" t="s">
        <v>1900</v>
      </c>
      <c r="F338" s="149" t="s">
        <v>2334</v>
      </c>
      <c r="G338" s="149" t="s">
        <v>2335</v>
      </c>
      <c r="H338" s="170">
        <f>I338/0.16</f>
        <v>109.31249999999999</v>
      </c>
      <c r="I338" s="170">
        <v>17.489999999999998</v>
      </c>
    </row>
    <row r="339" spans="1:11">
      <c r="A339" t="s">
        <v>1898</v>
      </c>
      <c r="B339" s="1">
        <v>41719</v>
      </c>
      <c r="C339" t="s">
        <v>1899</v>
      </c>
      <c r="D339">
        <v>1</v>
      </c>
      <c r="E339" t="s">
        <v>1900</v>
      </c>
      <c r="F339" t="s">
        <v>763</v>
      </c>
      <c r="G339" s="9" t="s">
        <v>900</v>
      </c>
      <c r="H339" s="176">
        <f t="shared" ref="H339" si="11">I339/0.16</f>
        <v>169.8125</v>
      </c>
      <c r="I339" s="176">
        <v>27.17</v>
      </c>
      <c r="J339" s="13">
        <f>568.75-H336-H337-H338-H339</f>
        <v>0</v>
      </c>
      <c r="K339" s="13">
        <f>91-I336-I337-I338-I339</f>
        <v>0</v>
      </c>
    </row>
    <row r="340" spans="1:11">
      <c r="A340" t="s">
        <v>1917</v>
      </c>
      <c r="B340" s="1">
        <v>41719</v>
      </c>
      <c r="C340">
        <v>9880</v>
      </c>
      <c r="D340">
        <v>1</v>
      </c>
      <c r="E340" t="s">
        <v>1918</v>
      </c>
      <c r="F340" t="s">
        <v>1553</v>
      </c>
      <c r="G340" t="s">
        <v>843</v>
      </c>
      <c r="H340" s="3">
        <f t="shared" si="7"/>
        <v>56.0625</v>
      </c>
      <c r="I340" s="3">
        <v>8.9700000000000006</v>
      </c>
    </row>
    <row r="341" spans="1:11">
      <c r="A341" t="s">
        <v>1919</v>
      </c>
      <c r="B341" s="1">
        <v>41719</v>
      </c>
      <c r="C341">
        <v>9881</v>
      </c>
      <c r="D341">
        <v>1</v>
      </c>
      <c r="E341" t="s">
        <v>1920</v>
      </c>
      <c r="F341" t="s">
        <v>1553</v>
      </c>
      <c r="G341" t="s">
        <v>843</v>
      </c>
      <c r="H341" s="3">
        <f t="shared" si="7"/>
        <v>56.0625</v>
      </c>
      <c r="I341" s="3">
        <v>8.9700000000000006</v>
      </c>
    </row>
    <row r="342" spans="1:11">
      <c r="A342" t="s">
        <v>1913</v>
      </c>
      <c r="B342" s="1">
        <v>41719</v>
      </c>
      <c r="C342">
        <v>9878</v>
      </c>
      <c r="D342">
        <v>1</v>
      </c>
      <c r="E342" t="s">
        <v>1914</v>
      </c>
      <c r="F342" t="s">
        <v>1553</v>
      </c>
      <c r="G342" t="s">
        <v>843</v>
      </c>
      <c r="H342" s="3">
        <f t="shared" si="7"/>
        <v>56.0625</v>
      </c>
      <c r="I342" s="3">
        <v>8.9700000000000006</v>
      </c>
    </row>
    <row r="343" spans="1:11">
      <c r="A343" t="s">
        <v>1731</v>
      </c>
      <c r="B343" s="1">
        <v>41711</v>
      </c>
      <c r="C343">
        <v>9794</v>
      </c>
      <c r="D343">
        <v>1</v>
      </c>
      <c r="E343" t="s">
        <v>1732</v>
      </c>
      <c r="F343" s="9" t="s">
        <v>763</v>
      </c>
      <c r="G343" s="9" t="s">
        <v>900</v>
      </c>
      <c r="H343" s="3">
        <f t="shared" si="7"/>
        <v>114.6875</v>
      </c>
      <c r="I343" s="3">
        <v>18.350000000000001</v>
      </c>
    </row>
    <row r="344" spans="1:11">
      <c r="A344" t="s">
        <v>1911</v>
      </c>
      <c r="B344" s="1">
        <v>41719</v>
      </c>
      <c r="C344">
        <v>9876</v>
      </c>
      <c r="D344">
        <v>1</v>
      </c>
      <c r="E344" t="s">
        <v>1912</v>
      </c>
      <c r="F344" t="s">
        <v>763</v>
      </c>
      <c r="G344" t="s">
        <v>900</v>
      </c>
      <c r="H344" s="175">
        <f t="shared" ref="H344" si="12">I344/0.16</f>
        <v>176.8125</v>
      </c>
      <c r="I344" s="176">
        <v>28.29</v>
      </c>
      <c r="J344" s="3"/>
      <c r="K344" s="3"/>
    </row>
    <row r="345" spans="1:11">
      <c r="A345" t="s">
        <v>1911</v>
      </c>
      <c r="B345" s="1">
        <v>41719</v>
      </c>
      <c r="C345">
        <v>9876</v>
      </c>
      <c r="D345">
        <v>1</v>
      </c>
      <c r="E345" t="s">
        <v>1912</v>
      </c>
      <c r="F345" s="149" t="s">
        <v>903</v>
      </c>
      <c r="G345" s="149" t="s">
        <v>2319</v>
      </c>
      <c r="H345" s="170">
        <f t="shared" ref="H345:H350" si="13">I345/0.16</f>
        <v>86.187499999999986</v>
      </c>
      <c r="I345" s="170">
        <v>13.79</v>
      </c>
    </row>
    <row r="346" spans="1:11">
      <c r="A346" t="s">
        <v>1911</v>
      </c>
      <c r="B346" s="1">
        <v>41719</v>
      </c>
      <c r="C346">
        <v>9876</v>
      </c>
      <c r="D346">
        <v>1</v>
      </c>
      <c r="E346" t="s">
        <v>1912</v>
      </c>
      <c r="F346" s="149" t="s">
        <v>923</v>
      </c>
      <c r="G346" s="149" t="s">
        <v>927</v>
      </c>
      <c r="H346" s="170">
        <f t="shared" si="13"/>
        <v>298.25</v>
      </c>
      <c r="I346" s="170">
        <v>47.72</v>
      </c>
    </row>
    <row r="347" spans="1:11">
      <c r="A347" t="s">
        <v>1911</v>
      </c>
      <c r="B347" s="1">
        <v>41719</v>
      </c>
      <c r="C347">
        <v>9876</v>
      </c>
      <c r="D347">
        <v>1</v>
      </c>
      <c r="E347" t="s">
        <v>1912</v>
      </c>
      <c r="F347" s="137" t="s">
        <v>905</v>
      </c>
      <c r="G347" s="137" t="s">
        <v>1599</v>
      </c>
      <c r="H347" s="174">
        <f t="shared" si="13"/>
        <v>334.875</v>
      </c>
      <c r="I347" s="174">
        <v>53.58</v>
      </c>
      <c r="J347" s="13">
        <f>896.13-H344-H345-H346-H347</f>
        <v>4.9999999999954525E-3</v>
      </c>
      <c r="K347" s="13">
        <f>143.38-I344-I345-I346-I347</f>
        <v>0</v>
      </c>
    </row>
    <row r="348" spans="1:11">
      <c r="A348" t="s">
        <v>2075</v>
      </c>
      <c r="B348" s="1">
        <v>41729</v>
      </c>
      <c r="C348" t="s">
        <v>2076</v>
      </c>
      <c r="D348">
        <v>1</v>
      </c>
      <c r="E348" t="s">
        <v>2077</v>
      </c>
      <c r="F348" s="164" t="s">
        <v>914</v>
      </c>
      <c r="G348" s="137" t="s">
        <v>915</v>
      </c>
      <c r="H348" s="174">
        <f t="shared" si="13"/>
        <v>460.50000000000006</v>
      </c>
      <c r="I348" s="174">
        <v>73.680000000000007</v>
      </c>
      <c r="J348" s="3"/>
      <c r="K348" s="3"/>
    </row>
    <row r="349" spans="1:11">
      <c r="A349" t="s">
        <v>2075</v>
      </c>
      <c r="B349" s="1">
        <v>41729</v>
      </c>
      <c r="C349" t="s">
        <v>2076</v>
      </c>
      <c r="D349">
        <v>1</v>
      </c>
      <c r="E349" t="s">
        <v>2077</v>
      </c>
      <c r="F349" s="151" t="s">
        <v>923</v>
      </c>
      <c r="G349" s="149" t="s">
        <v>924</v>
      </c>
      <c r="H349" s="170">
        <f t="shared" si="13"/>
        <v>359.5</v>
      </c>
      <c r="I349" s="170">
        <v>57.52</v>
      </c>
      <c r="J349" s="3"/>
      <c r="K349" s="3"/>
    </row>
    <row r="350" spans="1:11">
      <c r="A350" t="s">
        <v>2075</v>
      </c>
      <c r="B350" s="1">
        <v>41729</v>
      </c>
      <c r="C350" t="s">
        <v>2076</v>
      </c>
      <c r="D350">
        <v>1</v>
      </c>
      <c r="E350" t="s">
        <v>2077</v>
      </c>
      <c r="F350" s="151" t="s">
        <v>928</v>
      </c>
      <c r="G350" s="149" t="s">
        <v>2336</v>
      </c>
      <c r="H350" s="170">
        <f t="shared" si="13"/>
        <v>85</v>
      </c>
      <c r="I350" s="170">
        <v>13.6</v>
      </c>
    </row>
    <row r="351" spans="1:11">
      <c r="A351" t="s">
        <v>2075</v>
      </c>
      <c r="B351" s="1">
        <v>41729</v>
      </c>
      <c r="C351" t="s">
        <v>2076</v>
      </c>
      <c r="D351">
        <v>1</v>
      </c>
      <c r="E351" t="s">
        <v>2077</v>
      </c>
      <c r="F351" s="158" t="s">
        <v>763</v>
      </c>
      <c r="G351" t="s">
        <v>843</v>
      </c>
      <c r="H351" s="176">
        <f t="shared" ref="H351:H352" si="14">I351/0.16</f>
        <v>430.1875</v>
      </c>
      <c r="I351" s="176">
        <v>68.83</v>
      </c>
      <c r="J351" s="13">
        <f>1335.19-H348-H349-H350-H351</f>
        <v>2.5000000000545697E-3</v>
      </c>
      <c r="K351" s="13">
        <f>213.63-I348-I349-I350-I351</f>
        <v>0</v>
      </c>
    </row>
    <row r="352" spans="1:11">
      <c r="A352" t="s">
        <v>1741</v>
      </c>
      <c r="B352" s="1">
        <v>41711</v>
      </c>
      <c r="C352" t="s">
        <v>1742</v>
      </c>
      <c r="D352">
        <v>1</v>
      </c>
      <c r="E352" t="s">
        <v>1278</v>
      </c>
      <c r="F352" t="s">
        <v>763</v>
      </c>
      <c r="G352" t="s">
        <v>900</v>
      </c>
      <c r="H352" s="175">
        <f t="shared" si="14"/>
        <v>430.1875</v>
      </c>
      <c r="I352" s="176">
        <v>68.83</v>
      </c>
      <c r="J352" s="3"/>
      <c r="K352" s="3"/>
    </row>
    <row r="353" spans="1:11">
      <c r="A353" t="s">
        <v>1741</v>
      </c>
      <c r="B353" s="1">
        <v>41711</v>
      </c>
      <c r="C353" t="s">
        <v>1742</v>
      </c>
      <c r="D353">
        <v>1</v>
      </c>
      <c r="E353" t="s">
        <v>1278</v>
      </c>
      <c r="F353" s="137" t="s">
        <v>914</v>
      </c>
      <c r="G353" s="137" t="s">
        <v>915</v>
      </c>
      <c r="H353" s="174">
        <f>I353/0.16</f>
        <v>334.8125</v>
      </c>
      <c r="I353" s="174">
        <v>53.57</v>
      </c>
      <c r="J353" s="13">
        <f>765-H352-H353</f>
        <v>0</v>
      </c>
      <c r="K353" s="13">
        <f>122.4-I352-I353</f>
        <v>0</v>
      </c>
    </row>
    <row r="354" spans="1:11">
      <c r="A354" t="s">
        <v>1733</v>
      </c>
      <c r="B354" s="1">
        <v>41711</v>
      </c>
      <c r="C354" t="s">
        <v>1734</v>
      </c>
      <c r="D354">
        <v>1</v>
      </c>
      <c r="E354" t="s">
        <v>1735</v>
      </c>
      <c r="F354" s="149" t="s">
        <v>916</v>
      </c>
      <c r="G354" s="149" t="s">
        <v>2337</v>
      </c>
      <c r="H354" s="170">
        <f>I354/0.16</f>
        <v>64.625</v>
      </c>
      <c r="I354" s="170">
        <v>10.34</v>
      </c>
      <c r="J354" s="3"/>
      <c r="K354" s="3"/>
    </row>
    <row r="355" spans="1:11">
      <c r="A355" t="s">
        <v>1733</v>
      </c>
      <c r="B355" s="1">
        <v>41711</v>
      </c>
      <c r="C355" t="s">
        <v>1734</v>
      </c>
      <c r="D355">
        <v>1</v>
      </c>
      <c r="E355" t="s">
        <v>1735</v>
      </c>
      <c r="F355" s="149" t="s">
        <v>968</v>
      </c>
      <c r="G355" s="149" t="s">
        <v>969</v>
      </c>
      <c r="H355" s="170">
        <f>I355/0.16</f>
        <v>83.6875</v>
      </c>
      <c r="I355" s="170">
        <v>13.39</v>
      </c>
    </row>
    <row r="356" spans="1:11">
      <c r="A356" t="s">
        <v>1733</v>
      </c>
      <c r="B356" s="1">
        <v>41711</v>
      </c>
      <c r="C356" t="s">
        <v>1734</v>
      </c>
      <c r="D356">
        <v>1</v>
      </c>
      <c r="E356" t="s">
        <v>1735</v>
      </c>
      <c r="F356" t="s">
        <v>763</v>
      </c>
      <c r="G356" t="s">
        <v>814</v>
      </c>
      <c r="H356" s="175">
        <f t="shared" ref="H356:H358" si="15">I356/0.16</f>
        <v>153.4375</v>
      </c>
      <c r="I356" s="176">
        <v>24.55</v>
      </c>
    </row>
    <row r="357" spans="1:11">
      <c r="A357" t="s">
        <v>1733</v>
      </c>
      <c r="B357" s="1">
        <v>41711</v>
      </c>
      <c r="C357" t="s">
        <v>1734</v>
      </c>
      <c r="D357">
        <v>1</v>
      </c>
      <c r="E357" t="s">
        <v>1735</v>
      </c>
      <c r="F357" t="s">
        <v>763</v>
      </c>
      <c r="G357" t="s">
        <v>900</v>
      </c>
      <c r="H357" s="175">
        <f t="shared" si="15"/>
        <v>56.0625</v>
      </c>
      <c r="I357" s="176">
        <v>8.9700000000000006</v>
      </c>
      <c r="J357" s="13">
        <f>357.81-H354-H355-H356-H357</f>
        <v>-2.4999999999977263E-3</v>
      </c>
      <c r="K357" s="13">
        <f>57.25-I354-I355-I356-I357</f>
        <v>0</v>
      </c>
    </row>
    <row r="358" spans="1:11">
      <c r="A358" t="s">
        <v>2090</v>
      </c>
      <c r="B358" s="1">
        <v>41729</v>
      </c>
      <c r="C358" t="s">
        <v>2091</v>
      </c>
      <c r="D358">
        <v>1</v>
      </c>
      <c r="E358" t="s">
        <v>2092</v>
      </c>
      <c r="F358" s="158" t="s">
        <v>1553</v>
      </c>
      <c r="G358" t="s">
        <v>900</v>
      </c>
      <c r="H358" s="176">
        <f t="shared" si="15"/>
        <v>176.8125</v>
      </c>
      <c r="I358" s="176">
        <v>28.29</v>
      </c>
      <c r="J358" s="3"/>
      <c r="K358" s="3"/>
    </row>
    <row r="359" spans="1:11">
      <c r="A359" t="s">
        <v>2090</v>
      </c>
      <c r="B359" s="1">
        <v>41729</v>
      </c>
      <c r="C359" t="s">
        <v>2091</v>
      </c>
      <c r="D359">
        <v>1</v>
      </c>
      <c r="E359" t="s">
        <v>2092</v>
      </c>
      <c r="F359" s="151" t="s">
        <v>903</v>
      </c>
      <c r="G359" s="149" t="s">
        <v>2319</v>
      </c>
      <c r="H359" s="170">
        <f>I359/0.16</f>
        <v>73.25</v>
      </c>
      <c r="I359" s="170">
        <v>11.72</v>
      </c>
      <c r="J359" s="3"/>
      <c r="K359" s="3"/>
    </row>
    <row r="360" spans="1:11">
      <c r="A360" t="s">
        <v>2090</v>
      </c>
      <c r="B360" s="1">
        <v>41729</v>
      </c>
      <c r="C360" t="s">
        <v>2091</v>
      </c>
      <c r="D360">
        <v>1</v>
      </c>
      <c r="E360" t="s">
        <v>2092</v>
      </c>
      <c r="F360" s="151" t="s">
        <v>923</v>
      </c>
      <c r="G360" s="149" t="s">
        <v>924</v>
      </c>
      <c r="H360" s="170">
        <f>I360/0.16</f>
        <v>200</v>
      </c>
      <c r="I360" s="170">
        <v>32</v>
      </c>
      <c r="J360" s="3"/>
      <c r="K360" s="3"/>
    </row>
    <row r="361" spans="1:11">
      <c r="A361" t="s">
        <v>2090</v>
      </c>
      <c r="B361" s="1">
        <v>41729</v>
      </c>
      <c r="C361" t="s">
        <v>2091</v>
      </c>
      <c r="D361">
        <v>1</v>
      </c>
      <c r="E361" t="s">
        <v>2092</v>
      </c>
      <c r="F361" s="164" t="s">
        <v>905</v>
      </c>
      <c r="G361" s="137" t="s">
        <v>1599</v>
      </c>
      <c r="H361" s="174">
        <f>I361/0.16</f>
        <v>376.75</v>
      </c>
      <c r="I361" s="174">
        <v>60.28</v>
      </c>
      <c r="J361" s="3">
        <f>826.81-H358-H359-H361-H360</f>
        <v>-2.5000000000545697E-3</v>
      </c>
      <c r="K361" s="3">
        <f>132.29-I358-I359-I360-I361</f>
        <v>0</v>
      </c>
    </row>
    <row r="362" spans="1:11">
      <c r="A362" t="s">
        <v>2093</v>
      </c>
      <c r="B362" s="1">
        <v>41729</v>
      </c>
      <c r="C362" t="s">
        <v>2094</v>
      </c>
      <c r="D362">
        <v>1</v>
      </c>
      <c r="E362" t="s">
        <v>2092</v>
      </c>
      <c r="F362" s="158" t="s">
        <v>763</v>
      </c>
      <c r="G362" t="s">
        <v>900</v>
      </c>
      <c r="H362" s="176">
        <f t="shared" ref="H362" si="16">I362/0.16</f>
        <v>120.75</v>
      </c>
      <c r="I362" s="176">
        <v>19.32</v>
      </c>
      <c r="J362" s="3"/>
      <c r="K362" s="3"/>
    </row>
    <row r="363" spans="1:11">
      <c r="A363" t="s">
        <v>2093</v>
      </c>
      <c r="B363" s="1">
        <v>41729</v>
      </c>
      <c r="C363" t="s">
        <v>2094</v>
      </c>
      <c r="D363">
        <v>1</v>
      </c>
      <c r="E363" t="s">
        <v>2092</v>
      </c>
      <c r="F363" s="151" t="s">
        <v>897</v>
      </c>
      <c r="G363" s="149" t="s">
        <v>898</v>
      </c>
      <c r="H363" s="170">
        <f>I363/0.16</f>
        <v>62.9375</v>
      </c>
      <c r="I363" s="170">
        <v>10.07</v>
      </c>
      <c r="J363" s="3"/>
      <c r="K363" s="3"/>
    </row>
    <row r="364" spans="1:11">
      <c r="A364" t="s">
        <v>2093</v>
      </c>
      <c r="B364" s="1">
        <v>41729</v>
      </c>
      <c r="C364" t="s">
        <v>2094</v>
      </c>
      <c r="D364">
        <v>1</v>
      </c>
      <c r="E364" t="s">
        <v>2092</v>
      </c>
      <c r="F364" s="151" t="s">
        <v>2340</v>
      </c>
      <c r="G364" s="149" t="s">
        <v>2341</v>
      </c>
      <c r="H364" s="170">
        <f>I364/0.16</f>
        <v>334.875</v>
      </c>
      <c r="I364" s="170">
        <v>53.58</v>
      </c>
      <c r="J364" s="3">
        <f>518.56-H362-H363-H364</f>
        <v>-2.5000000000545697E-3</v>
      </c>
      <c r="K364" s="3">
        <f>82.97-I362-I363-I364</f>
        <v>0</v>
      </c>
    </row>
    <row r="365" spans="1:11">
      <c r="A365" t="s">
        <v>2098</v>
      </c>
      <c r="B365" s="1">
        <v>41729</v>
      </c>
      <c r="C365" t="s">
        <v>2099</v>
      </c>
      <c r="D365">
        <v>1</v>
      </c>
      <c r="E365" t="s">
        <v>2092</v>
      </c>
      <c r="F365" s="158" t="s">
        <v>1553</v>
      </c>
      <c r="G365" t="s">
        <v>900</v>
      </c>
      <c r="H365" s="176">
        <f t="shared" ref="H365" si="17">I365/0.16</f>
        <v>176.8125</v>
      </c>
      <c r="I365" s="176">
        <v>28.29</v>
      </c>
      <c r="J365" s="3"/>
      <c r="K365" s="3"/>
    </row>
    <row r="366" spans="1:11">
      <c r="A366" t="s">
        <v>2098</v>
      </c>
      <c r="B366" s="1">
        <v>41729</v>
      </c>
      <c r="C366" t="s">
        <v>2099</v>
      </c>
      <c r="D366">
        <v>1</v>
      </c>
      <c r="E366" t="s">
        <v>2092</v>
      </c>
      <c r="F366" s="151" t="s">
        <v>923</v>
      </c>
      <c r="G366" s="149" t="s">
        <v>924</v>
      </c>
      <c r="H366" s="170">
        <f>I366/0.16</f>
        <v>298.25</v>
      </c>
      <c r="I366" s="170">
        <v>47.72</v>
      </c>
    </row>
    <row r="367" spans="1:11">
      <c r="A367" t="s">
        <v>2098</v>
      </c>
      <c r="B367" s="1">
        <v>41729</v>
      </c>
      <c r="C367" t="s">
        <v>2099</v>
      </c>
      <c r="D367">
        <v>1</v>
      </c>
      <c r="E367" t="s">
        <v>2092</v>
      </c>
      <c r="F367" s="151" t="s">
        <v>2338</v>
      </c>
      <c r="G367" s="149" t="s">
        <v>2339</v>
      </c>
      <c r="H367" s="170">
        <f>I367/0.16</f>
        <v>334.875</v>
      </c>
      <c r="I367" s="170">
        <v>53.58</v>
      </c>
    </row>
    <row r="368" spans="1:11">
      <c r="A368" t="s">
        <v>2098</v>
      </c>
      <c r="B368" s="1">
        <v>41729</v>
      </c>
      <c r="C368" t="s">
        <v>2099</v>
      </c>
      <c r="D368">
        <v>1</v>
      </c>
      <c r="E368" t="s">
        <v>2092</v>
      </c>
      <c r="F368" s="151" t="s">
        <v>2342</v>
      </c>
      <c r="G368" s="149" t="s">
        <v>2343</v>
      </c>
      <c r="H368" s="170">
        <f>I368/0.16</f>
        <v>86.187499999999986</v>
      </c>
      <c r="I368" s="170">
        <v>13.79</v>
      </c>
      <c r="J368" s="13">
        <f>896.13-H365-H366-H367-H368</f>
        <v>5.0000000000096634E-3</v>
      </c>
      <c r="K368" s="13">
        <f>143.38-I365-I366-I367-I368</f>
        <v>0</v>
      </c>
    </row>
    <row r="369" spans="1:12">
      <c r="A369" t="s">
        <v>2100</v>
      </c>
      <c r="B369" s="1">
        <v>41729</v>
      </c>
      <c r="C369" t="s">
        <v>2101</v>
      </c>
      <c r="D369">
        <v>1</v>
      </c>
      <c r="E369" t="s">
        <v>2092</v>
      </c>
      <c r="F369" s="158" t="s">
        <v>1553</v>
      </c>
      <c r="G369" t="s">
        <v>843</v>
      </c>
      <c r="H369" s="176">
        <f t="shared" ref="H369" si="18">I369/0.16</f>
        <v>120.12499999999999</v>
      </c>
      <c r="I369" s="176">
        <v>19.22</v>
      </c>
      <c r="J369" s="3"/>
      <c r="K369" s="3"/>
    </row>
    <row r="370" spans="1:12">
      <c r="A370" t="s">
        <v>2100</v>
      </c>
      <c r="B370" s="1">
        <v>41729</v>
      </c>
      <c r="C370" t="s">
        <v>2101</v>
      </c>
      <c r="D370">
        <v>1</v>
      </c>
      <c r="E370" t="s">
        <v>2092</v>
      </c>
      <c r="F370" s="151" t="s">
        <v>923</v>
      </c>
      <c r="G370" s="149" t="s">
        <v>927</v>
      </c>
      <c r="H370" s="170">
        <f t="shared" ref="H370:H375" si="19">I370/0.16</f>
        <v>200</v>
      </c>
      <c r="I370" s="170">
        <v>32</v>
      </c>
    </row>
    <row r="371" spans="1:12">
      <c r="A371" t="s">
        <v>2100</v>
      </c>
      <c r="B371" s="1">
        <v>41729</v>
      </c>
      <c r="C371" t="s">
        <v>2101</v>
      </c>
      <c r="D371">
        <v>1</v>
      </c>
      <c r="E371" t="s">
        <v>2092</v>
      </c>
      <c r="F371" s="151" t="s">
        <v>2338</v>
      </c>
      <c r="G371" s="149" t="s">
        <v>2339</v>
      </c>
      <c r="H371" s="170">
        <f t="shared" si="19"/>
        <v>427.0625</v>
      </c>
      <c r="I371" s="170">
        <v>68.33</v>
      </c>
    </row>
    <row r="372" spans="1:12">
      <c r="A372" t="s">
        <v>2100</v>
      </c>
      <c r="B372" s="1">
        <v>41729</v>
      </c>
      <c r="C372" t="s">
        <v>2101</v>
      </c>
      <c r="D372">
        <v>1</v>
      </c>
      <c r="E372" t="s">
        <v>2092</v>
      </c>
      <c r="F372" s="151" t="s">
        <v>2342</v>
      </c>
      <c r="G372" s="149" t="s">
        <v>2343</v>
      </c>
      <c r="H372" s="170">
        <f t="shared" si="19"/>
        <v>86.187499999999986</v>
      </c>
      <c r="I372" s="170">
        <v>13.79</v>
      </c>
      <c r="J372" s="13">
        <f>834-H369-H370-H371-H372</f>
        <v>0.62500000000001421</v>
      </c>
      <c r="K372" s="13">
        <f>133.44-I369-I370-I371-I372</f>
        <v>0.10000000000000142</v>
      </c>
      <c r="L372" t="s">
        <v>850</v>
      </c>
    </row>
    <row r="373" spans="1:12">
      <c r="A373" t="s">
        <v>1745</v>
      </c>
      <c r="B373" s="1">
        <v>41711</v>
      </c>
      <c r="C373">
        <v>9796</v>
      </c>
      <c r="D373">
        <v>1</v>
      </c>
      <c r="E373" t="s">
        <v>1746</v>
      </c>
      <c r="F373" s="149" t="s">
        <v>733</v>
      </c>
      <c r="G373" s="149" t="s">
        <v>734</v>
      </c>
      <c r="H373" s="170">
        <f t="shared" si="19"/>
        <v>93.375</v>
      </c>
      <c r="I373" s="170">
        <v>14.94</v>
      </c>
      <c r="J373" s="3"/>
      <c r="K373" s="3"/>
    </row>
    <row r="374" spans="1:12">
      <c r="A374" t="s">
        <v>1745</v>
      </c>
      <c r="B374" s="1">
        <v>41711</v>
      </c>
      <c r="C374">
        <v>9796</v>
      </c>
      <c r="D374">
        <v>1</v>
      </c>
      <c r="E374" t="s">
        <v>1746</v>
      </c>
      <c r="F374" s="137" t="s">
        <v>2344</v>
      </c>
      <c r="G374" s="137" t="s">
        <v>2345</v>
      </c>
      <c r="H374" s="174">
        <f t="shared" si="19"/>
        <v>344.8125</v>
      </c>
      <c r="I374" s="174">
        <v>55.17</v>
      </c>
      <c r="J374" s="3"/>
      <c r="K374" s="3"/>
    </row>
    <row r="375" spans="1:12">
      <c r="A375" t="s">
        <v>1745</v>
      </c>
      <c r="B375" s="1">
        <v>41711</v>
      </c>
      <c r="C375">
        <v>9796</v>
      </c>
      <c r="D375">
        <v>1</v>
      </c>
      <c r="E375" t="s">
        <v>1746</v>
      </c>
      <c r="F375" s="149" t="s">
        <v>2342</v>
      </c>
      <c r="G375" s="149" t="s">
        <v>2346</v>
      </c>
      <c r="H375" s="170">
        <f t="shared" si="19"/>
        <v>86.187499999999986</v>
      </c>
      <c r="I375" s="170">
        <v>13.79</v>
      </c>
      <c r="J375" s="3"/>
      <c r="K375" s="3"/>
    </row>
    <row r="376" spans="1:12">
      <c r="A376" t="s">
        <v>1745</v>
      </c>
      <c r="B376" s="1">
        <v>41711</v>
      </c>
      <c r="C376">
        <v>9796</v>
      </c>
      <c r="D376">
        <v>1</v>
      </c>
      <c r="E376" t="s">
        <v>1746</v>
      </c>
      <c r="F376" t="s">
        <v>763</v>
      </c>
      <c r="G376" t="s">
        <v>814</v>
      </c>
      <c r="H376" s="176">
        <f t="shared" ref="H376:H377" si="20">I376/0.16</f>
        <v>200</v>
      </c>
      <c r="I376" s="176">
        <v>32</v>
      </c>
      <c r="J376" s="3"/>
      <c r="K376" s="3"/>
    </row>
    <row r="377" spans="1:12">
      <c r="A377" t="s">
        <v>1745</v>
      </c>
      <c r="B377" s="1">
        <v>41711</v>
      </c>
      <c r="C377">
        <v>9796</v>
      </c>
      <c r="D377">
        <v>1</v>
      </c>
      <c r="E377" t="s">
        <v>1746</v>
      </c>
      <c r="F377" t="s">
        <v>763</v>
      </c>
      <c r="G377" t="s">
        <v>900</v>
      </c>
      <c r="H377" s="176">
        <f t="shared" si="20"/>
        <v>176.8125</v>
      </c>
      <c r="I377" s="176">
        <v>28.29</v>
      </c>
      <c r="J377" s="3">
        <f>901.19-H373-H374-H375-H376-H377</f>
        <v>2.5000000000545697E-3</v>
      </c>
      <c r="K377" s="3">
        <f>144.19-I373-I374-I375-I376-I377</f>
        <v>0</v>
      </c>
    </row>
    <row r="378" spans="1:12">
      <c r="A378" t="s">
        <v>2095</v>
      </c>
      <c r="B378" s="1">
        <v>41729</v>
      </c>
      <c r="C378" t="s">
        <v>2096</v>
      </c>
      <c r="D378">
        <v>1</v>
      </c>
      <c r="E378" t="s">
        <v>2097</v>
      </c>
      <c r="F378" s="151" t="s">
        <v>1649</v>
      </c>
      <c r="G378" s="149" t="s">
        <v>2318</v>
      </c>
      <c r="H378" s="170">
        <f>I378/0.16</f>
        <v>293.125</v>
      </c>
      <c r="I378" s="170">
        <v>46.9</v>
      </c>
      <c r="J378" s="3"/>
      <c r="K378" s="3"/>
    </row>
    <row r="379" spans="1:12">
      <c r="A379" t="s">
        <v>2095</v>
      </c>
      <c r="B379" s="1">
        <v>41729</v>
      </c>
      <c r="C379" t="s">
        <v>2096</v>
      </c>
      <c r="D379">
        <v>1</v>
      </c>
      <c r="E379" t="s">
        <v>2097</v>
      </c>
      <c r="F379" s="151" t="s">
        <v>923</v>
      </c>
      <c r="G379" s="149" t="s">
        <v>927</v>
      </c>
      <c r="H379" s="170">
        <f>I379/0.16</f>
        <v>53.4375</v>
      </c>
      <c r="I379" s="170">
        <v>8.5500000000000007</v>
      </c>
      <c r="J379" s="3"/>
      <c r="K379" s="3"/>
    </row>
    <row r="380" spans="1:12">
      <c r="A380" t="s">
        <v>2095</v>
      </c>
      <c r="B380" s="1">
        <v>41729</v>
      </c>
      <c r="C380" t="s">
        <v>2096</v>
      </c>
      <c r="D380">
        <v>1</v>
      </c>
      <c r="E380" t="s">
        <v>2097</v>
      </c>
      <c r="F380" s="151" t="s">
        <v>2342</v>
      </c>
      <c r="G380" s="149" t="s">
        <v>2343</v>
      </c>
      <c r="H380" s="170">
        <f>I380/0.16</f>
        <v>86.187499999999986</v>
      </c>
      <c r="I380" s="170">
        <v>13.79</v>
      </c>
      <c r="J380" s="3"/>
      <c r="K380" s="3"/>
    </row>
    <row r="381" spans="1:12">
      <c r="A381" t="s">
        <v>2095</v>
      </c>
      <c r="B381" s="1">
        <v>41729</v>
      </c>
      <c r="C381" t="s">
        <v>2096</v>
      </c>
      <c r="D381">
        <v>1</v>
      </c>
      <c r="E381" t="s">
        <v>2097</v>
      </c>
      <c r="F381" s="151" t="s">
        <v>2347</v>
      </c>
      <c r="G381" s="149" t="s">
        <v>2348</v>
      </c>
      <c r="H381" s="170">
        <f>I381/0.16</f>
        <v>418.625</v>
      </c>
      <c r="I381" s="170">
        <v>66.98</v>
      </c>
      <c r="J381" s="3"/>
      <c r="K381" s="3"/>
    </row>
    <row r="382" spans="1:12">
      <c r="A382" t="s">
        <v>2095</v>
      </c>
      <c r="B382" s="1">
        <v>41729</v>
      </c>
      <c r="C382" t="s">
        <v>2096</v>
      </c>
      <c r="D382">
        <v>1</v>
      </c>
      <c r="E382" t="s">
        <v>2097</v>
      </c>
      <c r="F382" s="158" t="s">
        <v>763</v>
      </c>
      <c r="G382" t="s">
        <v>900</v>
      </c>
      <c r="H382" s="176">
        <f t="shared" ref="H382" si="21">I382/0.16</f>
        <v>202.625</v>
      </c>
      <c r="I382" s="176">
        <v>32.42</v>
      </c>
      <c r="J382" s="3">
        <f>1054-H378-H379-H380-H381-H382</f>
        <v>0</v>
      </c>
      <c r="K382" s="3">
        <f>168.64-I378-I379-I380-I381-I382</f>
        <v>0</v>
      </c>
    </row>
    <row r="383" spans="1:12">
      <c r="A383" t="s">
        <v>2087</v>
      </c>
      <c r="B383" s="1">
        <v>41729</v>
      </c>
      <c r="C383" t="s">
        <v>2088</v>
      </c>
      <c r="D383">
        <v>1</v>
      </c>
      <c r="E383" t="s">
        <v>2089</v>
      </c>
      <c r="F383" s="164" t="s">
        <v>2349</v>
      </c>
      <c r="G383" s="137" t="s">
        <v>2350</v>
      </c>
      <c r="H383" s="174">
        <f>I383/0.16</f>
        <v>251.25</v>
      </c>
      <c r="I383" s="174">
        <v>40.200000000000003</v>
      </c>
      <c r="J383" s="3"/>
      <c r="K383" s="3"/>
    </row>
    <row r="384" spans="1:12">
      <c r="A384" t="s">
        <v>2087</v>
      </c>
      <c r="B384" s="1">
        <v>41729</v>
      </c>
      <c r="C384" t="s">
        <v>2088</v>
      </c>
      <c r="D384">
        <v>1</v>
      </c>
      <c r="E384" t="s">
        <v>2089</v>
      </c>
      <c r="F384" s="151" t="s">
        <v>1605</v>
      </c>
      <c r="G384" s="149" t="s">
        <v>2351</v>
      </c>
      <c r="H384" s="170">
        <f>I384/0.16</f>
        <v>702.5625</v>
      </c>
      <c r="I384" s="170">
        <v>112.41</v>
      </c>
      <c r="J384" s="3"/>
      <c r="K384" s="3"/>
    </row>
    <row r="385" spans="1:11">
      <c r="A385" t="s">
        <v>2087</v>
      </c>
      <c r="B385" s="1">
        <v>41729</v>
      </c>
      <c r="C385" t="s">
        <v>2088</v>
      </c>
      <c r="D385">
        <v>1</v>
      </c>
      <c r="E385" t="s">
        <v>2089</v>
      </c>
      <c r="F385" s="151" t="s">
        <v>2352</v>
      </c>
      <c r="G385" s="149" t="s">
        <v>2353</v>
      </c>
      <c r="H385" s="170">
        <f>I385/0.16</f>
        <v>502.37499999999994</v>
      </c>
      <c r="I385" s="170">
        <v>80.38</v>
      </c>
      <c r="J385" s="3"/>
      <c r="K385" s="3"/>
    </row>
    <row r="386" spans="1:11">
      <c r="A386" t="s">
        <v>2087</v>
      </c>
      <c r="B386" s="1">
        <v>41729</v>
      </c>
      <c r="C386" t="s">
        <v>2088</v>
      </c>
      <c r="D386">
        <v>1</v>
      </c>
      <c r="E386" t="s">
        <v>2089</v>
      </c>
      <c r="F386" s="151" t="s">
        <v>2354</v>
      </c>
      <c r="G386" s="149" t="s">
        <v>2355</v>
      </c>
      <c r="H386" s="170">
        <f>I386/0.16</f>
        <v>102.5625</v>
      </c>
      <c r="I386" s="170">
        <v>16.41</v>
      </c>
      <c r="J386" s="3"/>
      <c r="K386" s="3"/>
    </row>
    <row r="387" spans="1:11">
      <c r="A387" t="s">
        <v>2087</v>
      </c>
      <c r="B387" s="1">
        <v>41729</v>
      </c>
      <c r="C387" t="s">
        <v>2088</v>
      </c>
      <c r="D387">
        <v>1</v>
      </c>
      <c r="E387" t="s">
        <v>2089</v>
      </c>
      <c r="F387" s="158" t="s">
        <v>763</v>
      </c>
      <c r="G387" t="s">
        <v>900</v>
      </c>
      <c r="H387" s="176">
        <f t="shared" ref="H387" si="22">I387/0.16</f>
        <v>124.1875</v>
      </c>
      <c r="I387" s="176">
        <v>19.87</v>
      </c>
      <c r="J387" s="3">
        <f>1682.94-H383-H384-H385-H386-H387</f>
        <v>2.5000000001114131E-3</v>
      </c>
      <c r="K387" s="3">
        <f>269.27-I383-I384-I385-I386-I387</f>
        <v>0</v>
      </c>
    </row>
    <row r="388" spans="1:11">
      <c r="A388" t="s">
        <v>1892</v>
      </c>
      <c r="B388" s="1">
        <v>41719</v>
      </c>
      <c r="C388" t="s">
        <v>1893</v>
      </c>
      <c r="D388">
        <v>1</v>
      </c>
      <c r="E388" t="s">
        <v>1894</v>
      </c>
      <c r="F388" s="149" t="s">
        <v>901</v>
      </c>
      <c r="G388" s="149" t="s">
        <v>902</v>
      </c>
      <c r="H388" s="170">
        <f>I388/0.16</f>
        <v>99.125</v>
      </c>
      <c r="I388" s="170">
        <v>15.86</v>
      </c>
      <c r="J388" s="3"/>
      <c r="K388" s="3"/>
    </row>
    <row r="389" spans="1:11">
      <c r="A389" t="s">
        <v>1892</v>
      </c>
      <c r="B389" s="1">
        <v>41719</v>
      </c>
      <c r="C389" t="s">
        <v>1893</v>
      </c>
      <c r="D389">
        <v>1</v>
      </c>
      <c r="E389" t="s">
        <v>1894</v>
      </c>
      <c r="F389" s="137" t="s">
        <v>2349</v>
      </c>
      <c r="G389" s="137" t="s">
        <v>2350</v>
      </c>
      <c r="H389" s="174">
        <f>I389/0.16</f>
        <v>335.0625</v>
      </c>
      <c r="I389" s="174">
        <v>53.61</v>
      </c>
      <c r="J389" s="3"/>
      <c r="K389" s="3"/>
    </row>
    <row r="390" spans="1:11">
      <c r="A390" t="s">
        <v>1892</v>
      </c>
      <c r="B390" s="1">
        <v>41719</v>
      </c>
      <c r="C390" t="s">
        <v>1893</v>
      </c>
      <c r="D390">
        <v>1</v>
      </c>
      <c r="E390" t="s">
        <v>1894</v>
      </c>
      <c r="F390" s="149" t="s">
        <v>1605</v>
      </c>
      <c r="G390" s="149" t="s">
        <v>2351</v>
      </c>
      <c r="H390" s="170">
        <f>I390/0.16</f>
        <v>702.5625</v>
      </c>
      <c r="I390" s="170">
        <v>112.41</v>
      </c>
    </row>
    <row r="391" spans="1:11">
      <c r="A391" t="s">
        <v>1892</v>
      </c>
      <c r="B391" s="1">
        <v>41719</v>
      </c>
      <c r="C391" t="s">
        <v>1893</v>
      </c>
      <c r="D391">
        <v>1</v>
      </c>
      <c r="E391" t="s">
        <v>1894</v>
      </c>
      <c r="F391" t="s">
        <v>763</v>
      </c>
      <c r="G391" t="s">
        <v>900</v>
      </c>
      <c r="H391" s="175">
        <f t="shared" ref="H391:H396" si="23">I391/0.16</f>
        <v>124.1875</v>
      </c>
      <c r="I391" s="176">
        <v>19.87</v>
      </c>
    </row>
    <row r="392" spans="1:11">
      <c r="A392" t="s">
        <v>1892</v>
      </c>
      <c r="B392" s="1">
        <v>41719</v>
      </c>
      <c r="C392" t="s">
        <v>1893</v>
      </c>
      <c r="D392">
        <v>1</v>
      </c>
      <c r="E392" t="s">
        <v>1894</v>
      </c>
      <c r="F392" s="137" t="s">
        <v>1553</v>
      </c>
      <c r="G392" s="137" t="s">
        <v>2356</v>
      </c>
      <c r="H392" s="174">
        <f t="shared" si="23"/>
        <v>795.375</v>
      </c>
      <c r="I392" s="174">
        <v>127.26</v>
      </c>
      <c r="J392" s="13">
        <f>2056.31-H389-H388-H390-H391-H392</f>
        <v>-2.5000000000545697E-3</v>
      </c>
      <c r="K392" s="13">
        <f>329.01-I388-I389-I390-I391-I392</f>
        <v>0</v>
      </c>
    </row>
    <row r="393" spans="1:11">
      <c r="A393" t="s">
        <v>1736</v>
      </c>
      <c r="B393" s="1">
        <v>41711</v>
      </c>
      <c r="C393" t="s">
        <v>1737</v>
      </c>
      <c r="D393">
        <v>1</v>
      </c>
      <c r="E393" t="s">
        <v>1738</v>
      </c>
      <c r="F393" t="s">
        <v>763</v>
      </c>
      <c r="G393" t="s">
        <v>1548</v>
      </c>
      <c r="H393" s="176">
        <f t="shared" si="23"/>
        <v>298.25</v>
      </c>
      <c r="I393" s="176">
        <v>47.72</v>
      </c>
      <c r="J393" s="3"/>
      <c r="K393" s="3"/>
    </row>
    <row r="394" spans="1:11">
      <c r="A394" t="s">
        <v>1736</v>
      </c>
      <c r="B394" s="1">
        <v>41711</v>
      </c>
      <c r="C394" t="s">
        <v>1737</v>
      </c>
      <c r="D394">
        <v>1</v>
      </c>
      <c r="E394" t="s">
        <v>1738</v>
      </c>
      <c r="F394" t="s">
        <v>763</v>
      </c>
      <c r="G394" t="s">
        <v>900</v>
      </c>
      <c r="H394" s="176">
        <f t="shared" si="23"/>
        <v>133.6875</v>
      </c>
      <c r="I394" s="176">
        <v>21.39</v>
      </c>
      <c r="J394" s="3"/>
      <c r="K394" s="3"/>
    </row>
    <row r="395" spans="1:11">
      <c r="A395" t="s">
        <v>1736</v>
      </c>
      <c r="B395" s="1">
        <v>41711</v>
      </c>
      <c r="C395" t="s">
        <v>1737</v>
      </c>
      <c r="D395">
        <v>1</v>
      </c>
      <c r="E395" t="s">
        <v>1738</v>
      </c>
      <c r="F395" t="s">
        <v>763</v>
      </c>
      <c r="G395" t="s">
        <v>2357</v>
      </c>
      <c r="H395" s="176">
        <f t="shared" si="23"/>
        <v>584.5</v>
      </c>
      <c r="I395" s="176">
        <v>93.52</v>
      </c>
      <c r="J395" s="3"/>
      <c r="K395" s="3"/>
    </row>
    <row r="396" spans="1:11">
      <c r="A396" t="s">
        <v>1736</v>
      </c>
      <c r="B396" s="1">
        <v>41711</v>
      </c>
      <c r="C396" t="s">
        <v>1737</v>
      </c>
      <c r="D396">
        <v>1</v>
      </c>
      <c r="E396" t="s">
        <v>1738</v>
      </c>
      <c r="F396" t="s">
        <v>763</v>
      </c>
      <c r="G396" t="s">
        <v>900</v>
      </c>
      <c r="H396" s="176">
        <f t="shared" si="23"/>
        <v>474.24999999999994</v>
      </c>
      <c r="I396" s="176">
        <v>75.88</v>
      </c>
      <c r="J396" s="3"/>
      <c r="K396" s="3"/>
    </row>
    <row r="397" spans="1:11">
      <c r="A397" t="s">
        <v>1736</v>
      </c>
      <c r="B397" s="1">
        <v>41711</v>
      </c>
      <c r="C397" t="s">
        <v>1737</v>
      </c>
      <c r="D397">
        <v>1</v>
      </c>
      <c r="E397" t="s">
        <v>1738</v>
      </c>
      <c r="F397" s="149" t="s">
        <v>1617</v>
      </c>
      <c r="G397" s="149" t="s">
        <v>2358</v>
      </c>
      <c r="H397" s="170">
        <f>I397/0.16</f>
        <v>527.375</v>
      </c>
      <c r="I397" s="170">
        <v>84.38</v>
      </c>
      <c r="J397" s="3"/>
      <c r="K397" s="3"/>
    </row>
    <row r="398" spans="1:11">
      <c r="A398" t="s">
        <v>1736</v>
      </c>
      <c r="B398" s="1">
        <v>41711</v>
      </c>
      <c r="C398" t="s">
        <v>1737</v>
      </c>
      <c r="D398">
        <v>1</v>
      </c>
      <c r="E398" t="s">
        <v>1738</v>
      </c>
      <c r="F398" s="137" t="s">
        <v>919</v>
      </c>
      <c r="G398" s="137" t="s">
        <v>2359</v>
      </c>
      <c r="H398" s="174">
        <f>I398/0.16</f>
        <v>209.24999999999997</v>
      </c>
      <c r="I398" s="174">
        <v>33.479999999999997</v>
      </c>
      <c r="J398" s="3"/>
      <c r="K398" s="3"/>
    </row>
    <row r="399" spans="1:11">
      <c r="A399" t="s">
        <v>1736</v>
      </c>
      <c r="B399" s="1">
        <v>41711</v>
      </c>
      <c r="C399" t="s">
        <v>1737</v>
      </c>
      <c r="D399">
        <v>1</v>
      </c>
      <c r="E399" t="s">
        <v>1738</v>
      </c>
      <c r="F399" s="149" t="s">
        <v>2342</v>
      </c>
      <c r="G399" s="149" t="s">
        <v>2346</v>
      </c>
      <c r="H399" s="170">
        <f>I399/0.16</f>
        <v>86.187499999999986</v>
      </c>
      <c r="I399" s="170">
        <v>13.79</v>
      </c>
      <c r="J399" s="3">
        <f>2313.5-H393-H394-H395-H396-H397-H398-H399</f>
        <v>0</v>
      </c>
      <c r="K399" s="3">
        <f>370.16-I393-I394-I395-I396-I397-I398-I399</f>
        <v>9.9475983006414026E-14</v>
      </c>
    </row>
    <row r="400" spans="1:11">
      <c r="A400" t="s">
        <v>2072</v>
      </c>
      <c r="B400" s="1">
        <v>41729</v>
      </c>
      <c r="C400" t="s">
        <v>2073</v>
      </c>
      <c r="D400">
        <v>1</v>
      </c>
      <c r="E400" t="s">
        <v>2074</v>
      </c>
      <c r="F400" s="158" t="s">
        <v>763</v>
      </c>
      <c r="G400" t="s">
        <v>900</v>
      </c>
      <c r="H400" s="175">
        <f t="shared" ref="H400" si="24">I400/0.16</f>
        <v>396.5625</v>
      </c>
      <c r="I400" s="176">
        <v>63.45</v>
      </c>
      <c r="J400" s="3"/>
      <c r="K400" s="3"/>
    </row>
    <row r="401" spans="1:12">
      <c r="A401" t="s">
        <v>2072</v>
      </c>
      <c r="B401" s="1">
        <v>41729</v>
      </c>
      <c r="C401" t="s">
        <v>2073</v>
      </c>
      <c r="D401">
        <v>1</v>
      </c>
      <c r="E401" t="s">
        <v>2074</v>
      </c>
      <c r="F401" s="151" t="s">
        <v>1649</v>
      </c>
      <c r="G401" s="149" t="s">
        <v>2318</v>
      </c>
      <c r="H401" s="170">
        <f>I401/0.16</f>
        <v>426.75</v>
      </c>
      <c r="I401" s="170">
        <v>68.28</v>
      </c>
      <c r="J401" s="3"/>
      <c r="K401" s="3"/>
    </row>
    <row r="402" spans="1:12">
      <c r="A402" t="s">
        <v>2072</v>
      </c>
      <c r="B402" s="1">
        <v>41729</v>
      </c>
      <c r="C402" t="s">
        <v>2073</v>
      </c>
      <c r="D402">
        <v>1</v>
      </c>
      <c r="E402" t="s">
        <v>2074</v>
      </c>
      <c r="F402" s="151" t="s">
        <v>903</v>
      </c>
      <c r="G402" s="149" t="s">
        <v>2319</v>
      </c>
      <c r="H402" s="170">
        <f>I402/0.16</f>
        <v>90.5</v>
      </c>
      <c r="I402" s="170">
        <v>14.48</v>
      </c>
      <c r="J402" s="3"/>
      <c r="K402" s="3"/>
    </row>
    <row r="403" spans="1:12">
      <c r="A403" t="s">
        <v>2072</v>
      </c>
      <c r="B403" s="1">
        <v>41729</v>
      </c>
      <c r="C403" t="s">
        <v>2073</v>
      </c>
      <c r="D403">
        <v>1</v>
      </c>
      <c r="E403" t="s">
        <v>2074</v>
      </c>
      <c r="F403" s="151" t="s">
        <v>923</v>
      </c>
      <c r="G403" s="149" t="s">
        <v>924</v>
      </c>
      <c r="H403" s="170">
        <f>I403/0.16</f>
        <v>53.4375</v>
      </c>
      <c r="I403" s="170">
        <v>8.5500000000000007</v>
      </c>
      <c r="J403" s="3"/>
      <c r="K403" s="3"/>
    </row>
    <row r="404" spans="1:12">
      <c r="A404" t="s">
        <v>2072</v>
      </c>
      <c r="B404" s="1">
        <v>41729</v>
      </c>
      <c r="C404" t="s">
        <v>2073</v>
      </c>
      <c r="D404">
        <v>1</v>
      </c>
      <c r="E404" t="s">
        <v>2074</v>
      </c>
      <c r="F404" s="164" t="s">
        <v>2360</v>
      </c>
      <c r="G404" s="137" t="s">
        <v>2361</v>
      </c>
      <c r="H404" s="174">
        <f>I404/0.16</f>
        <v>459.25</v>
      </c>
      <c r="I404" s="174">
        <v>73.48</v>
      </c>
      <c r="J404" s="3">
        <f>1427.81-H400-H401-H402-H403-H404</f>
        <v>1.3099999999999454</v>
      </c>
      <c r="K404" s="3">
        <f>228.45-I400-I401-I402-I403-I404</f>
        <v>0.20999999999999375</v>
      </c>
      <c r="L404" t="s">
        <v>850</v>
      </c>
    </row>
    <row r="405" spans="1:12">
      <c r="A405" t="s">
        <v>1907</v>
      </c>
      <c r="B405" s="1">
        <v>41719</v>
      </c>
      <c r="C405" t="s">
        <v>1908</v>
      </c>
      <c r="D405">
        <v>1</v>
      </c>
      <c r="E405" t="s">
        <v>1909</v>
      </c>
      <c r="F405" t="s">
        <v>763</v>
      </c>
      <c r="G405" t="s">
        <v>900</v>
      </c>
      <c r="H405" s="176">
        <f t="shared" ref="H405" si="25">I405/0.16</f>
        <v>396.625</v>
      </c>
      <c r="I405" s="176">
        <v>63.46</v>
      </c>
      <c r="J405" s="3"/>
      <c r="K405" s="3"/>
    </row>
    <row r="406" spans="1:12">
      <c r="A406" t="s">
        <v>1907</v>
      </c>
      <c r="B406" s="1">
        <v>41719</v>
      </c>
      <c r="C406" t="s">
        <v>1908</v>
      </c>
      <c r="D406">
        <v>1</v>
      </c>
      <c r="E406" t="s">
        <v>1909</v>
      </c>
      <c r="F406" s="149" t="s">
        <v>1649</v>
      </c>
      <c r="G406" s="149" t="s">
        <v>2318</v>
      </c>
      <c r="H406" s="170">
        <f t="shared" ref="H406:H411" si="26">I406/0.16</f>
        <v>426.75</v>
      </c>
      <c r="I406" s="170">
        <v>68.28</v>
      </c>
    </row>
    <row r="407" spans="1:12">
      <c r="A407" t="s">
        <v>1907</v>
      </c>
      <c r="B407" s="1">
        <v>41719</v>
      </c>
      <c r="C407" t="s">
        <v>1908</v>
      </c>
      <c r="D407">
        <v>1</v>
      </c>
      <c r="E407" t="s">
        <v>1909</v>
      </c>
      <c r="F407" s="149" t="s">
        <v>903</v>
      </c>
      <c r="G407" s="149" t="s">
        <v>2319</v>
      </c>
      <c r="H407" s="170">
        <f t="shared" si="26"/>
        <v>73.25</v>
      </c>
      <c r="I407" s="170">
        <v>11.72</v>
      </c>
    </row>
    <row r="408" spans="1:12">
      <c r="A408" t="s">
        <v>1907</v>
      </c>
      <c r="B408" s="1">
        <v>41719</v>
      </c>
      <c r="C408" t="s">
        <v>1908</v>
      </c>
      <c r="D408">
        <v>1</v>
      </c>
      <c r="E408" t="s">
        <v>1909</v>
      </c>
      <c r="F408" s="137" t="s">
        <v>2360</v>
      </c>
      <c r="G408" s="137" t="s">
        <v>2362</v>
      </c>
      <c r="H408" s="174">
        <f t="shared" si="26"/>
        <v>313.9375</v>
      </c>
      <c r="I408" s="174">
        <v>50.23</v>
      </c>
    </row>
    <row r="409" spans="1:12">
      <c r="A409" t="s">
        <v>1907</v>
      </c>
      <c r="B409" s="1">
        <v>41719</v>
      </c>
      <c r="C409" t="s">
        <v>1908</v>
      </c>
      <c r="D409">
        <v>1</v>
      </c>
      <c r="E409" t="s">
        <v>1909</v>
      </c>
      <c r="F409" s="137" t="s">
        <v>2363</v>
      </c>
      <c r="G409" s="137" t="s">
        <v>2364</v>
      </c>
      <c r="H409" s="174">
        <f t="shared" si="26"/>
        <v>50.249999999999993</v>
      </c>
      <c r="I409" s="174">
        <v>8.0399999999999991</v>
      </c>
      <c r="J409" s="13">
        <f>1260.81-H405-H406-H407-H408-H409</f>
        <v>-2.5000000000474643E-3</v>
      </c>
      <c r="K409" s="13">
        <f>201.73-I405-I406-I407-I408-I409</f>
        <v>-1.4210854715202004E-14</v>
      </c>
    </row>
    <row r="410" spans="1:12">
      <c r="A410" t="s">
        <v>2102</v>
      </c>
      <c r="B410" s="1">
        <v>41729</v>
      </c>
      <c r="C410">
        <v>9943</v>
      </c>
      <c r="D410">
        <v>1</v>
      </c>
      <c r="E410" t="s">
        <v>2103</v>
      </c>
      <c r="F410" s="151" t="s">
        <v>923</v>
      </c>
      <c r="G410" s="149" t="s">
        <v>927</v>
      </c>
      <c r="H410" s="170">
        <f t="shared" si="26"/>
        <v>44.8125</v>
      </c>
      <c r="I410" s="170">
        <v>7.17</v>
      </c>
      <c r="J410" s="3"/>
      <c r="K410" s="3"/>
    </row>
    <row r="411" spans="1:12">
      <c r="A411" t="s">
        <v>2102</v>
      </c>
      <c r="B411" s="1">
        <v>41729</v>
      </c>
      <c r="C411">
        <v>9943</v>
      </c>
      <c r="D411">
        <v>1</v>
      </c>
      <c r="E411" t="s">
        <v>2103</v>
      </c>
      <c r="F411" s="164" t="s">
        <v>2365</v>
      </c>
      <c r="G411" s="137" t="s">
        <v>2366</v>
      </c>
      <c r="H411" s="174">
        <f t="shared" si="26"/>
        <v>50.249999999999993</v>
      </c>
      <c r="I411" s="174">
        <v>8.0399999999999991</v>
      </c>
      <c r="J411" s="3"/>
      <c r="K411" s="3"/>
    </row>
    <row r="412" spans="1:12">
      <c r="A412" t="s">
        <v>2102</v>
      </c>
      <c r="B412" s="1">
        <v>41729</v>
      </c>
      <c r="C412">
        <v>9943</v>
      </c>
      <c r="D412">
        <v>1</v>
      </c>
      <c r="E412" t="s">
        <v>2103</v>
      </c>
      <c r="F412" s="158" t="s">
        <v>763</v>
      </c>
      <c r="G412" t="s">
        <v>900</v>
      </c>
      <c r="H412" s="176">
        <f t="shared" ref="H412" si="27">I412/0.16</f>
        <v>56.0625</v>
      </c>
      <c r="I412" s="176">
        <v>8.9700000000000006</v>
      </c>
      <c r="J412" s="3">
        <f>151.13-H410-H411-H412</f>
        <v>5.000000000002558E-3</v>
      </c>
      <c r="K412" s="3">
        <f>24.18-I410-I411-I412</f>
        <v>0</v>
      </c>
    </row>
    <row r="413" spans="1:12">
      <c r="A413" t="s">
        <v>1895</v>
      </c>
      <c r="B413" s="1">
        <v>41719</v>
      </c>
      <c r="C413" t="s">
        <v>1896</v>
      </c>
      <c r="D413">
        <v>1</v>
      </c>
      <c r="E413" t="s">
        <v>1897</v>
      </c>
      <c r="F413" s="164" t="s">
        <v>2365</v>
      </c>
      <c r="G413" s="137" t="s">
        <v>2366</v>
      </c>
      <c r="H413" s="174">
        <f>I413/0.16</f>
        <v>125.5625</v>
      </c>
      <c r="I413" s="174">
        <v>20.09</v>
      </c>
      <c r="J413" s="3"/>
      <c r="K413" s="3"/>
    </row>
    <row r="414" spans="1:12">
      <c r="A414" t="s">
        <v>1895</v>
      </c>
      <c r="B414" s="1">
        <v>41719</v>
      </c>
      <c r="C414" t="s">
        <v>1896</v>
      </c>
      <c r="D414">
        <v>1</v>
      </c>
      <c r="E414" t="s">
        <v>1897</v>
      </c>
      <c r="F414" t="s">
        <v>763</v>
      </c>
      <c r="G414" t="s">
        <v>900</v>
      </c>
      <c r="H414" s="175">
        <f t="shared" ref="H414" si="28">I414/0.16</f>
        <v>56.0625</v>
      </c>
      <c r="I414" s="176">
        <v>8.9700000000000006</v>
      </c>
      <c r="J414" s="3">
        <f>181.63-H413-H414</f>
        <v>4.9999999999954525E-3</v>
      </c>
      <c r="K414" s="3">
        <f>29.06-I413-I414</f>
        <v>0</v>
      </c>
    </row>
    <row r="415" spans="1:12">
      <c r="A415" t="s">
        <v>1915</v>
      </c>
      <c r="B415" s="1">
        <v>41719</v>
      </c>
      <c r="C415">
        <v>9879</v>
      </c>
      <c r="D415">
        <v>1</v>
      </c>
      <c r="E415" t="s">
        <v>1916</v>
      </c>
      <c r="F415" s="149" t="s">
        <v>923</v>
      </c>
      <c r="G415" s="149" t="s">
        <v>927</v>
      </c>
      <c r="H415" s="170">
        <f>I415/0.16</f>
        <v>53.4375</v>
      </c>
      <c r="I415" s="170">
        <v>8.5500000000000007</v>
      </c>
      <c r="J415" s="3"/>
      <c r="K415" s="3"/>
    </row>
    <row r="416" spans="1:12">
      <c r="A416" t="s">
        <v>1915</v>
      </c>
      <c r="B416" s="1">
        <v>41719</v>
      </c>
      <c r="C416">
        <v>9879</v>
      </c>
      <c r="D416">
        <v>1</v>
      </c>
      <c r="E416" t="s">
        <v>1916</v>
      </c>
      <c r="F416" t="s">
        <v>1553</v>
      </c>
      <c r="G416" t="s">
        <v>843</v>
      </c>
      <c r="H416" s="176">
        <f t="shared" ref="H416" si="29">I416/0.16</f>
        <v>56.0625</v>
      </c>
      <c r="I416" s="176">
        <v>8.9700000000000006</v>
      </c>
      <c r="J416" s="13">
        <f>109.5-H415-H416</f>
        <v>0</v>
      </c>
      <c r="K416" s="13">
        <f>17.52-I415-I416</f>
        <v>0</v>
      </c>
    </row>
    <row r="417" spans="1:12">
      <c r="A417" t="s">
        <v>1726</v>
      </c>
      <c r="B417" s="1">
        <v>41711</v>
      </c>
      <c r="C417" t="s">
        <v>1727</v>
      </c>
      <c r="D417">
        <v>1</v>
      </c>
      <c r="E417" t="s">
        <v>1728</v>
      </c>
      <c r="F417" s="137" t="s">
        <v>2365</v>
      </c>
      <c r="G417" s="137" t="s">
        <v>2366</v>
      </c>
      <c r="H417" s="174">
        <f>I417/0.16</f>
        <v>83.6875</v>
      </c>
      <c r="I417" s="174">
        <v>13.39</v>
      </c>
      <c r="J417" s="3"/>
      <c r="K417" s="3"/>
    </row>
    <row r="418" spans="1:12">
      <c r="A418" t="s">
        <v>1726</v>
      </c>
      <c r="B418" s="1">
        <v>41711</v>
      </c>
      <c r="C418" t="s">
        <v>1727</v>
      </c>
      <c r="D418">
        <v>1</v>
      </c>
      <c r="E418" t="s">
        <v>1728</v>
      </c>
      <c r="F418" t="s">
        <v>763</v>
      </c>
      <c r="G418" t="s">
        <v>900</v>
      </c>
      <c r="H418" s="176">
        <f t="shared" ref="H418:H420" si="30">I418/0.16</f>
        <v>56.0625</v>
      </c>
      <c r="I418" s="176">
        <v>8.9700000000000006</v>
      </c>
      <c r="J418" s="3">
        <f>137.25-H417-H418</f>
        <v>-2.5</v>
      </c>
      <c r="K418" s="3">
        <f>21.96-I417-I418</f>
        <v>-0.40000000000000036</v>
      </c>
      <c r="L418" t="s">
        <v>850</v>
      </c>
    </row>
    <row r="419" spans="1:12">
      <c r="A419" t="s">
        <v>1729</v>
      </c>
      <c r="B419" s="1">
        <v>41711</v>
      </c>
      <c r="C419">
        <v>9792</v>
      </c>
      <c r="D419">
        <v>1</v>
      </c>
      <c r="E419" t="s">
        <v>1730</v>
      </c>
      <c r="F419" s="9" t="s">
        <v>763</v>
      </c>
      <c r="G419" s="9" t="s">
        <v>814</v>
      </c>
      <c r="H419" s="175">
        <f t="shared" si="30"/>
        <v>823.25</v>
      </c>
      <c r="I419" s="176">
        <v>131.72</v>
      </c>
      <c r="J419" s="3"/>
      <c r="K419" s="3"/>
    </row>
    <row r="420" spans="1:12">
      <c r="A420" t="s">
        <v>1729</v>
      </c>
      <c r="B420" s="1">
        <v>41711</v>
      </c>
      <c r="C420">
        <v>9792</v>
      </c>
      <c r="D420">
        <v>1</v>
      </c>
      <c r="E420" t="s">
        <v>1730</v>
      </c>
      <c r="F420" s="9" t="s">
        <v>763</v>
      </c>
      <c r="G420" s="9" t="s">
        <v>900</v>
      </c>
      <c r="H420" s="175">
        <f t="shared" si="30"/>
        <v>323.375</v>
      </c>
      <c r="I420" s="176">
        <v>51.74</v>
      </c>
      <c r="J420" s="3"/>
      <c r="K420" s="3"/>
    </row>
    <row r="421" spans="1:12">
      <c r="A421" t="s">
        <v>1729</v>
      </c>
      <c r="B421" s="1">
        <v>41711</v>
      </c>
      <c r="C421">
        <v>9792</v>
      </c>
      <c r="D421">
        <v>1</v>
      </c>
      <c r="E421" t="s">
        <v>1730</v>
      </c>
      <c r="F421" s="137" t="s">
        <v>2373</v>
      </c>
      <c r="G421" s="137" t="s">
        <v>2374</v>
      </c>
      <c r="H421" s="174">
        <f>I421/0.16</f>
        <v>770.1875</v>
      </c>
      <c r="I421" s="174">
        <v>123.23</v>
      </c>
      <c r="J421" s="3"/>
      <c r="K421" s="3"/>
    </row>
    <row r="422" spans="1:12">
      <c r="A422" t="s">
        <v>1729</v>
      </c>
      <c r="B422" s="1">
        <v>41711</v>
      </c>
      <c r="C422">
        <v>9792</v>
      </c>
      <c r="D422">
        <v>1</v>
      </c>
      <c r="E422" t="s">
        <v>1730</v>
      </c>
      <c r="F422" s="149" t="s">
        <v>2375</v>
      </c>
      <c r="G422" s="149" t="s">
        <v>2376</v>
      </c>
      <c r="H422" s="170">
        <f>I422/0.16</f>
        <v>78.5</v>
      </c>
      <c r="I422" s="170">
        <v>12.56</v>
      </c>
      <c r="J422" s="3"/>
      <c r="K422" s="3"/>
    </row>
    <row r="423" spans="1:12">
      <c r="A423" t="s">
        <v>1729</v>
      </c>
      <c r="B423" s="1">
        <v>41711</v>
      </c>
      <c r="C423">
        <v>9792</v>
      </c>
      <c r="D423">
        <v>1</v>
      </c>
      <c r="E423" t="s">
        <v>1730</v>
      </c>
      <c r="F423" s="149" t="s">
        <v>2377</v>
      </c>
      <c r="G423" s="149" t="s">
        <v>2378</v>
      </c>
      <c r="H423" s="170">
        <f>I423/0.16</f>
        <v>827.9375</v>
      </c>
      <c r="I423" s="170">
        <v>132.47</v>
      </c>
      <c r="J423" s="3">
        <f>2823.25-H419-H420-H421-H422-H423</f>
        <v>0</v>
      </c>
      <c r="K423" s="3">
        <f>451.72-I419-I420-I421-I422-I423</f>
        <v>0</v>
      </c>
    </row>
    <row r="424" spans="1:12">
      <c r="A424" t="s">
        <v>1712</v>
      </c>
      <c r="B424" s="1">
        <v>41711</v>
      </c>
      <c r="C424" t="s">
        <v>1601</v>
      </c>
      <c r="D424">
        <v>1</v>
      </c>
      <c r="E424" t="s">
        <v>1713</v>
      </c>
      <c r="F424" t="s">
        <v>763</v>
      </c>
      <c r="G424" t="s">
        <v>900</v>
      </c>
      <c r="H424" s="176">
        <f t="shared" ref="H424" si="31">I424/0.16</f>
        <v>176.8125</v>
      </c>
      <c r="I424" s="176">
        <v>28.29</v>
      </c>
      <c r="J424" s="3"/>
      <c r="K424" s="3"/>
    </row>
    <row r="425" spans="1:12">
      <c r="A425" t="s">
        <v>1712</v>
      </c>
      <c r="B425" s="1">
        <v>41711</v>
      </c>
      <c r="C425" t="s">
        <v>1601</v>
      </c>
      <c r="D425">
        <v>1</v>
      </c>
      <c r="E425" t="s">
        <v>1713</v>
      </c>
      <c r="F425" s="149" t="s">
        <v>903</v>
      </c>
      <c r="G425" s="149" t="s">
        <v>2319</v>
      </c>
      <c r="H425" s="170">
        <f t="shared" ref="H425:H432" si="32">I425/0.16</f>
        <v>94.8125</v>
      </c>
      <c r="I425" s="170">
        <v>15.17</v>
      </c>
      <c r="J425" s="3"/>
      <c r="K425" s="3"/>
    </row>
    <row r="426" spans="1:12">
      <c r="A426" t="s">
        <v>1712</v>
      </c>
      <c r="B426" s="1">
        <v>41711</v>
      </c>
      <c r="C426" t="s">
        <v>1601</v>
      </c>
      <c r="D426">
        <v>1</v>
      </c>
      <c r="E426" t="s">
        <v>1713</v>
      </c>
      <c r="F426" s="149" t="s">
        <v>923</v>
      </c>
      <c r="G426" s="149" t="s">
        <v>924</v>
      </c>
      <c r="H426" s="170">
        <f t="shared" si="32"/>
        <v>200</v>
      </c>
      <c r="I426" s="170">
        <v>32</v>
      </c>
      <c r="J426" s="3"/>
      <c r="K426" s="3"/>
    </row>
    <row r="427" spans="1:12">
      <c r="A427" t="s">
        <v>1712</v>
      </c>
      <c r="B427" s="1">
        <v>41711</v>
      </c>
      <c r="C427" t="s">
        <v>1601</v>
      </c>
      <c r="D427">
        <v>1</v>
      </c>
      <c r="E427" t="s">
        <v>1713</v>
      </c>
      <c r="F427" s="137" t="s">
        <v>905</v>
      </c>
      <c r="G427" s="137" t="s">
        <v>1599</v>
      </c>
      <c r="H427" s="174">
        <f t="shared" si="32"/>
        <v>293.125</v>
      </c>
      <c r="I427" s="174">
        <v>46.9</v>
      </c>
      <c r="J427" s="3">
        <f>764.75-H424-H425-H426-H427</f>
        <v>0</v>
      </c>
      <c r="K427" s="3">
        <f>122.36-I424-I425-I426-I427</f>
        <v>0</v>
      </c>
    </row>
    <row r="428" spans="1:12">
      <c r="A428" t="s">
        <v>2078</v>
      </c>
      <c r="B428" s="1">
        <v>41729</v>
      </c>
      <c r="C428" t="s">
        <v>2079</v>
      </c>
      <c r="D428">
        <v>1</v>
      </c>
      <c r="E428" t="s">
        <v>2080</v>
      </c>
      <c r="F428" s="151" t="s">
        <v>923</v>
      </c>
      <c r="G428" s="149" t="s">
        <v>924</v>
      </c>
      <c r="H428" s="170">
        <f t="shared" si="32"/>
        <v>286.1875</v>
      </c>
      <c r="I428" s="170">
        <v>45.79</v>
      </c>
      <c r="J428" s="3"/>
      <c r="K428" s="3"/>
    </row>
    <row r="429" spans="1:12">
      <c r="A429" t="s">
        <v>2078</v>
      </c>
      <c r="B429" s="1">
        <v>41729</v>
      </c>
      <c r="C429" t="s">
        <v>2079</v>
      </c>
      <c r="D429">
        <v>1</v>
      </c>
      <c r="E429" t="s">
        <v>2080</v>
      </c>
      <c r="F429" s="151" t="s">
        <v>907</v>
      </c>
      <c r="G429" s="149" t="s">
        <v>908</v>
      </c>
      <c r="H429" s="170">
        <f t="shared" si="32"/>
        <v>102.5625</v>
      </c>
      <c r="I429" s="170">
        <v>16.41</v>
      </c>
      <c r="J429" s="3"/>
      <c r="K429" s="3"/>
    </row>
    <row r="430" spans="1:12" ht="15.75" customHeight="1">
      <c r="A430" t="s">
        <v>2078</v>
      </c>
      <c r="B430" s="1">
        <v>41729</v>
      </c>
      <c r="C430" t="s">
        <v>2079</v>
      </c>
      <c r="D430">
        <v>1</v>
      </c>
      <c r="E430" t="s">
        <v>2080</v>
      </c>
      <c r="F430" s="151" t="s">
        <v>2379</v>
      </c>
      <c r="G430" s="151" t="s">
        <v>2380</v>
      </c>
      <c r="H430" s="170">
        <f t="shared" si="32"/>
        <v>389.625</v>
      </c>
      <c r="I430" s="170">
        <v>62.34</v>
      </c>
      <c r="J430" s="3">
        <f>778.38-H428-H429-H430</f>
        <v>4.9999999999954525E-3</v>
      </c>
      <c r="K430" s="3">
        <f>124.54-I428-I429-I430</f>
        <v>0</v>
      </c>
    </row>
    <row r="431" spans="1:12">
      <c r="A431" t="s">
        <v>32</v>
      </c>
      <c r="B431" s="1">
        <v>41711</v>
      </c>
      <c r="C431" t="s">
        <v>1743</v>
      </c>
      <c r="D431">
        <v>1</v>
      </c>
      <c r="E431" t="s">
        <v>1744</v>
      </c>
      <c r="F431" s="149" t="s">
        <v>907</v>
      </c>
      <c r="G431" s="149" t="s">
        <v>908</v>
      </c>
      <c r="H431" s="170">
        <f t="shared" si="32"/>
        <v>68.125</v>
      </c>
      <c r="I431" s="170">
        <v>10.9</v>
      </c>
      <c r="J431" s="3"/>
      <c r="K431" s="3"/>
    </row>
    <row r="432" spans="1:12">
      <c r="A432" t="s">
        <v>32</v>
      </c>
      <c r="B432" s="1">
        <v>41711</v>
      </c>
      <c r="C432" t="s">
        <v>1743</v>
      </c>
      <c r="D432">
        <v>1</v>
      </c>
      <c r="E432" t="s">
        <v>1744</v>
      </c>
      <c r="F432" s="149" t="s">
        <v>909</v>
      </c>
      <c r="G432" s="149" t="s">
        <v>2381</v>
      </c>
      <c r="H432" s="170">
        <f t="shared" si="32"/>
        <v>334.8125</v>
      </c>
      <c r="I432" s="170">
        <v>53.57</v>
      </c>
      <c r="J432" s="3"/>
      <c r="K432" s="3"/>
    </row>
    <row r="433" spans="1:11">
      <c r="A433" t="s">
        <v>32</v>
      </c>
      <c r="B433" s="1">
        <v>41711</v>
      </c>
      <c r="C433" t="s">
        <v>1743</v>
      </c>
      <c r="D433">
        <v>1</v>
      </c>
      <c r="E433" t="s">
        <v>1744</v>
      </c>
      <c r="F433" t="s">
        <v>763</v>
      </c>
      <c r="G433" t="s">
        <v>814</v>
      </c>
      <c r="H433" s="176">
        <f t="shared" ref="H433:H434" si="33">I433/0.16</f>
        <v>286.1875</v>
      </c>
      <c r="I433" s="176">
        <v>45.79</v>
      </c>
      <c r="J433" s="3"/>
      <c r="K433" s="3"/>
    </row>
    <row r="434" spans="1:11">
      <c r="A434" t="s">
        <v>32</v>
      </c>
      <c r="B434" s="1">
        <v>41711</v>
      </c>
      <c r="C434" t="s">
        <v>1743</v>
      </c>
      <c r="D434">
        <v>1</v>
      </c>
      <c r="E434" t="s">
        <v>1744</v>
      </c>
      <c r="F434" t="s">
        <v>763</v>
      </c>
      <c r="G434" t="s">
        <v>900</v>
      </c>
      <c r="H434" s="176">
        <f t="shared" si="33"/>
        <v>47.4375</v>
      </c>
      <c r="I434" s="176">
        <v>7.59</v>
      </c>
      <c r="J434" s="3">
        <f>736.56-H431-H432-H433-H434</f>
        <v>-2.5000000000545697E-3</v>
      </c>
      <c r="K434" s="3">
        <f>117.85-I431-I432-I434-I433</f>
        <v>0</v>
      </c>
    </row>
    <row r="435" spans="1:11">
      <c r="A435" t="s">
        <v>2084</v>
      </c>
      <c r="B435" s="1">
        <v>41729</v>
      </c>
      <c r="C435" t="s">
        <v>2085</v>
      </c>
      <c r="D435">
        <v>1</v>
      </c>
      <c r="E435" t="s">
        <v>2086</v>
      </c>
      <c r="F435" s="151" t="s">
        <v>903</v>
      </c>
      <c r="G435" s="149" t="s">
        <v>2319</v>
      </c>
      <c r="H435" s="170">
        <f>I435/0.16</f>
        <v>90.5</v>
      </c>
      <c r="I435" s="170">
        <v>14.48</v>
      </c>
      <c r="J435" s="3"/>
      <c r="K435" s="3"/>
    </row>
    <row r="436" spans="1:11">
      <c r="A436" t="s">
        <v>2084</v>
      </c>
      <c r="B436" s="1">
        <v>41729</v>
      </c>
      <c r="C436" t="s">
        <v>2085</v>
      </c>
      <c r="D436">
        <v>1</v>
      </c>
      <c r="E436" t="s">
        <v>2086</v>
      </c>
      <c r="F436" s="151" t="s">
        <v>923</v>
      </c>
      <c r="G436" s="149" t="s">
        <v>927</v>
      </c>
      <c r="H436" s="170">
        <f>I436/0.16</f>
        <v>301.75</v>
      </c>
      <c r="I436" s="170">
        <v>48.28</v>
      </c>
      <c r="J436" s="3"/>
      <c r="K436" s="3"/>
    </row>
    <row r="437" spans="1:11">
      <c r="A437" t="s">
        <v>2084</v>
      </c>
      <c r="B437" s="1">
        <v>41729</v>
      </c>
      <c r="C437" t="s">
        <v>2085</v>
      </c>
      <c r="D437">
        <v>1</v>
      </c>
      <c r="E437" t="s">
        <v>2086</v>
      </c>
      <c r="F437" s="164" t="s">
        <v>905</v>
      </c>
      <c r="G437" s="137" t="s">
        <v>1599</v>
      </c>
      <c r="H437" s="174">
        <f>I437/0.16</f>
        <v>293.0625</v>
      </c>
      <c r="I437" s="174">
        <v>46.89</v>
      </c>
      <c r="J437" s="3"/>
      <c r="K437" s="3"/>
    </row>
    <row r="438" spans="1:11">
      <c r="A438" t="s">
        <v>2084</v>
      </c>
      <c r="B438" s="1">
        <v>41729</v>
      </c>
      <c r="C438" t="s">
        <v>2085</v>
      </c>
      <c r="D438">
        <v>1</v>
      </c>
      <c r="E438" t="s">
        <v>2086</v>
      </c>
      <c r="F438" s="158" t="s">
        <v>763</v>
      </c>
      <c r="G438" t="s">
        <v>900</v>
      </c>
      <c r="H438" s="176">
        <f t="shared" ref="H438" si="34">I438/0.16</f>
        <v>275.0625</v>
      </c>
      <c r="I438" s="176">
        <v>44.01</v>
      </c>
      <c r="J438" s="3">
        <f>960.38-H435-H436-H438-H437</f>
        <v>4.9999999999954525E-3</v>
      </c>
      <c r="K438" s="3">
        <f>153.66-I435-I436-I437-I438</f>
        <v>0</v>
      </c>
    </row>
    <row r="439" spans="1:11">
      <c r="A439" t="s">
        <v>1717</v>
      </c>
      <c r="B439" s="1">
        <v>41711</v>
      </c>
      <c r="C439" t="s">
        <v>1718</v>
      </c>
      <c r="D439">
        <v>1</v>
      </c>
      <c r="E439" t="s">
        <v>1719</v>
      </c>
      <c r="F439" s="149" t="s">
        <v>930</v>
      </c>
      <c r="G439" s="149" t="s">
        <v>931</v>
      </c>
      <c r="H439" s="170">
        <f>I439/0.16</f>
        <v>86.25</v>
      </c>
      <c r="I439" s="170">
        <v>13.8</v>
      </c>
      <c r="J439" s="3"/>
      <c r="K439" s="3"/>
    </row>
    <row r="440" spans="1:11">
      <c r="A440" t="s">
        <v>1717</v>
      </c>
      <c r="B440" s="1">
        <v>41711</v>
      </c>
      <c r="C440" t="s">
        <v>1718</v>
      </c>
      <c r="D440">
        <v>1</v>
      </c>
      <c r="E440" t="s">
        <v>1719</v>
      </c>
      <c r="F440" s="137" t="s">
        <v>932</v>
      </c>
      <c r="G440" s="137" t="s">
        <v>933</v>
      </c>
      <c r="H440" s="174">
        <f>I440/0.16</f>
        <v>292.9375</v>
      </c>
      <c r="I440" s="174">
        <v>46.87</v>
      </c>
      <c r="J440" s="3"/>
      <c r="K440" s="3"/>
    </row>
    <row r="441" spans="1:11">
      <c r="A441" t="s">
        <v>1717</v>
      </c>
      <c r="B441" s="1">
        <v>41711</v>
      </c>
      <c r="C441" t="s">
        <v>1718</v>
      </c>
      <c r="D441">
        <v>1</v>
      </c>
      <c r="E441" t="s">
        <v>1719</v>
      </c>
      <c r="F441" t="s">
        <v>763</v>
      </c>
      <c r="G441" s="9" t="s">
        <v>900</v>
      </c>
      <c r="H441" s="176">
        <f t="shared" ref="H441" si="35">I441/0.16</f>
        <v>114.6875</v>
      </c>
      <c r="I441" s="176">
        <v>18.350000000000001</v>
      </c>
      <c r="J441" s="3">
        <f>493.88-H439-H440-H441</f>
        <v>4.9999999999954525E-3</v>
      </c>
      <c r="K441" s="3">
        <f>79.02-I439-I440-I441</f>
        <v>0</v>
      </c>
    </row>
    <row r="442" spans="1:11">
      <c r="A442" t="s">
        <v>1901</v>
      </c>
      <c r="B442" s="1">
        <v>41719</v>
      </c>
      <c r="C442" t="s">
        <v>1902</v>
      </c>
      <c r="D442">
        <v>1</v>
      </c>
      <c r="E442" t="s">
        <v>1903</v>
      </c>
      <c r="F442" s="149" t="s">
        <v>923</v>
      </c>
      <c r="G442" s="149" t="s">
        <v>927</v>
      </c>
      <c r="H442" s="170">
        <f>I442/0.16</f>
        <v>53.4375</v>
      </c>
      <c r="I442" s="170">
        <v>8.5500000000000007</v>
      </c>
      <c r="J442" s="3"/>
      <c r="K442" s="3"/>
    </row>
    <row r="443" spans="1:11">
      <c r="A443" t="s">
        <v>1901</v>
      </c>
      <c r="B443" s="1">
        <v>41719</v>
      </c>
      <c r="C443" t="s">
        <v>1902</v>
      </c>
      <c r="D443">
        <v>1</v>
      </c>
      <c r="E443" t="s">
        <v>1903</v>
      </c>
      <c r="F443" s="149" t="s">
        <v>1654</v>
      </c>
      <c r="G443" s="149" t="s">
        <v>2382</v>
      </c>
      <c r="H443" s="170">
        <f>I443/0.16</f>
        <v>211.1875</v>
      </c>
      <c r="I443" s="170">
        <v>33.79</v>
      </c>
      <c r="J443" s="3"/>
      <c r="K443" s="3"/>
    </row>
    <row r="444" spans="1:11">
      <c r="A444" t="s">
        <v>1901</v>
      </c>
      <c r="B444" s="1">
        <v>41719</v>
      </c>
      <c r="C444" t="s">
        <v>1902</v>
      </c>
      <c r="D444">
        <v>1</v>
      </c>
      <c r="E444" t="s">
        <v>1903</v>
      </c>
      <c r="F444" s="137" t="s">
        <v>932</v>
      </c>
      <c r="G444" s="137" t="s">
        <v>933</v>
      </c>
      <c r="H444" s="174">
        <f>I444/0.16</f>
        <v>293</v>
      </c>
      <c r="I444" s="174">
        <v>46.88</v>
      </c>
      <c r="J444" s="3"/>
      <c r="K444" s="3"/>
    </row>
    <row r="445" spans="1:11">
      <c r="A445" t="s">
        <v>1901</v>
      </c>
      <c r="B445" s="1">
        <v>41719</v>
      </c>
      <c r="C445" t="s">
        <v>1902</v>
      </c>
      <c r="D445">
        <v>1</v>
      </c>
      <c r="E445" t="s">
        <v>1903</v>
      </c>
      <c r="F445" s="149" t="s">
        <v>2383</v>
      </c>
      <c r="G445" s="149" t="s">
        <v>2384</v>
      </c>
      <c r="H445" s="170">
        <f>I445/0.16</f>
        <v>111.18749999999999</v>
      </c>
      <c r="I445" s="170">
        <v>17.79</v>
      </c>
      <c r="J445" s="3"/>
      <c r="K445" s="3"/>
    </row>
    <row r="446" spans="1:11">
      <c r="A446" t="s">
        <v>1901</v>
      </c>
      <c r="B446" s="1">
        <v>41719</v>
      </c>
      <c r="C446" t="s">
        <v>1902</v>
      </c>
      <c r="D446">
        <v>1</v>
      </c>
      <c r="E446" t="s">
        <v>1903</v>
      </c>
      <c r="F446" t="s">
        <v>763</v>
      </c>
      <c r="G446" s="9" t="s">
        <v>900</v>
      </c>
      <c r="H446" s="176">
        <f t="shared" ref="H446:H447" si="36">I446/0.16</f>
        <v>114.6875</v>
      </c>
      <c r="I446" s="176">
        <v>18.350000000000001</v>
      </c>
      <c r="J446" s="3">
        <f>783.5-H442-H443-H444-H445-H446</f>
        <v>0</v>
      </c>
      <c r="K446" s="3">
        <f>125.36-I443-I444-I445-I446-I442</f>
        <v>0</v>
      </c>
    </row>
    <row r="447" spans="1:11">
      <c r="A447" t="s">
        <v>1904</v>
      </c>
      <c r="B447" s="1">
        <v>41719</v>
      </c>
      <c r="C447" t="s">
        <v>1905</v>
      </c>
      <c r="D447">
        <v>1</v>
      </c>
      <c r="E447" t="s">
        <v>1906</v>
      </c>
      <c r="F447" t="s">
        <v>763</v>
      </c>
      <c r="G447" t="s">
        <v>900</v>
      </c>
      <c r="H447" s="176">
        <f t="shared" si="36"/>
        <v>114.6875</v>
      </c>
      <c r="I447" s="176">
        <v>18.350000000000001</v>
      </c>
      <c r="J447" s="3"/>
      <c r="K447" s="3"/>
    </row>
    <row r="448" spans="1:11">
      <c r="A448" t="s">
        <v>1904</v>
      </c>
      <c r="B448" s="1">
        <v>41719</v>
      </c>
      <c r="C448" t="s">
        <v>1905</v>
      </c>
      <c r="D448">
        <v>1</v>
      </c>
      <c r="E448" t="s">
        <v>1906</v>
      </c>
      <c r="F448" s="149" t="s">
        <v>901</v>
      </c>
      <c r="G448" s="149" t="s">
        <v>902</v>
      </c>
      <c r="H448" s="170">
        <f t="shared" ref="H448:H453" si="37">I448/0.16</f>
        <v>88.8125</v>
      </c>
      <c r="I448" s="170">
        <v>14.21</v>
      </c>
      <c r="J448" s="3"/>
      <c r="K448" s="3"/>
    </row>
    <row r="449" spans="1:11">
      <c r="A449" t="s">
        <v>1904</v>
      </c>
      <c r="B449" s="1">
        <v>41719</v>
      </c>
      <c r="C449" t="s">
        <v>1905</v>
      </c>
      <c r="D449">
        <v>1</v>
      </c>
      <c r="E449" t="s">
        <v>1906</v>
      </c>
      <c r="F449" s="149" t="s">
        <v>923</v>
      </c>
      <c r="G449" s="149" t="s">
        <v>924</v>
      </c>
      <c r="H449" s="170">
        <f t="shared" si="37"/>
        <v>44.8125</v>
      </c>
      <c r="I449" s="170">
        <v>7.17</v>
      </c>
      <c r="J449" s="3"/>
      <c r="K449" s="3"/>
    </row>
    <row r="450" spans="1:11">
      <c r="A450" t="s">
        <v>1904</v>
      </c>
      <c r="B450" s="1">
        <v>41719</v>
      </c>
      <c r="C450" t="s">
        <v>1905</v>
      </c>
      <c r="D450">
        <v>1</v>
      </c>
      <c r="E450" t="s">
        <v>1906</v>
      </c>
      <c r="F450" s="149" t="s">
        <v>923</v>
      </c>
      <c r="G450" s="149" t="s">
        <v>924</v>
      </c>
      <c r="H450" s="170">
        <f t="shared" si="37"/>
        <v>210.37499999999997</v>
      </c>
      <c r="I450" s="170">
        <v>33.659999999999997</v>
      </c>
      <c r="J450" s="3"/>
      <c r="K450" s="3"/>
    </row>
    <row r="451" spans="1:11">
      <c r="A451" t="s">
        <v>1904</v>
      </c>
      <c r="B451" s="1">
        <v>41719</v>
      </c>
      <c r="C451" t="s">
        <v>1905</v>
      </c>
      <c r="D451">
        <v>1</v>
      </c>
      <c r="E451" t="s">
        <v>1906</v>
      </c>
      <c r="F451" s="149" t="s">
        <v>2385</v>
      </c>
      <c r="G451" s="149" t="s">
        <v>2386</v>
      </c>
      <c r="H451" s="170">
        <f t="shared" si="37"/>
        <v>276.3125</v>
      </c>
      <c r="I451" s="170">
        <v>44.21</v>
      </c>
      <c r="J451" s="3">
        <f>735-H447-H448-H449-H450-H451</f>
        <v>0</v>
      </c>
      <c r="K451" s="3">
        <f>117.6-I447-I448-I449-I450-I451</f>
        <v>0</v>
      </c>
    </row>
    <row r="452" spans="1:11">
      <c r="A452" t="s">
        <v>1739</v>
      </c>
      <c r="B452" s="1">
        <v>41711</v>
      </c>
      <c r="C452" t="s">
        <v>1740</v>
      </c>
      <c r="D452">
        <v>1</v>
      </c>
      <c r="E452" t="s">
        <v>1284</v>
      </c>
      <c r="F452" s="149" t="s">
        <v>930</v>
      </c>
      <c r="G452" s="149" t="s">
        <v>931</v>
      </c>
      <c r="H452" s="170">
        <f t="shared" si="37"/>
        <v>90</v>
      </c>
      <c r="I452" s="170">
        <v>14.4</v>
      </c>
      <c r="J452" s="3"/>
      <c r="K452" s="3"/>
    </row>
    <row r="453" spans="1:11">
      <c r="A453" t="s">
        <v>1739</v>
      </c>
      <c r="B453" s="1">
        <v>41711</v>
      </c>
      <c r="C453" t="s">
        <v>1740</v>
      </c>
      <c r="D453">
        <v>1</v>
      </c>
      <c r="E453" t="s">
        <v>1284</v>
      </c>
      <c r="F453" s="137" t="s">
        <v>932</v>
      </c>
      <c r="G453" s="137" t="s">
        <v>933</v>
      </c>
      <c r="H453" s="174">
        <f t="shared" si="37"/>
        <v>167.375</v>
      </c>
      <c r="I453" s="174">
        <v>26.78</v>
      </c>
      <c r="J453" s="3"/>
      <c r="K453" s="3"/>
    </row>
    <row r="454" spans="1:11">
      <c r="A454" t="s">
        <v>1739</v>
      </c>
      <c r="B454" s="1">
        <v>41711</v>
      </c>
      <c r="C454" t="s">
        <v>1740</v>
      </c>
      <c r="D454">
        <v>1</v>
      </c>
      <c r="E454" t="s">
        <v>1284</v>
      </c>
      <c r="F454" t="s">
        <v>763</v>
      </c>
      <c r="G454" t="s">
        <v>900</v>
      </c>
      <c r="H454" s="176">
        <f t="shared" ref="H454" si="38">I454/0.16</f>
        <v>325.875</v>
      </c>
      <c r="I454" s="176">
        <v>52.14</v>
      </c>
      <c r="J454" s="3">
        <f>583.25-H452-H453-H454</f>
        <v>0</v>
      </c>
      <c r="K454" s="3">
        <f>93.32-I452-I453-I454</f>
        <v>0</v>
      </c>
    </row>
    <row r="455" spans="1:11">
      <c r="A455" t="s">
        <v>1714</v>
      </c>
      <c r="B455" s="1">
        <v>41711</v>
      </c>
      <c r="C455" t="s">
        <v>1715</v>
      </c>
      <c r="D455">
        <v>1</v>
      </c>
      <c r="E455" t="s">
        <v>1716</v>
      </c>
      <c r="F455" s="137" t="s">
        <v>914</v>
      </c>
      <c r="G455" s="137" t="s">
        <v>915</v>
      </c>
      <c r="H455" s="174">
        <f>I455/0.16</f>
        <v>209.24999999999997</v>
      </c>
      <c r="I455" s="174">
        <v>33.479999999999997</v>
      </c>
      <c r="J455" s="3"/>
      <c r="K455" s="3"/>
    </row>
    <row r="456" spans="1:11">
      <c r="A456" t="s">
        <v>1714</v>
      </c>
      <c r="B456" s="1">
        <v>41711</v>
      </c>
      <c r="C456" t="s">
        <v>1715</v>
      </c>
      <c r="D456">
        <v>1</v>
      </c>
      <c r="E456" t="s">
        <v>1716</v>
      </c>
      <c r="F456" s="149" t="s">
        <v>923</v>
      </c>
      <c r="G456" s="149" t="s">
        <v>924</v>
      </c>
      <c r="H456" s="170">
        <f>I456/0.16</f>
        <v>766.375</v>
      </c>
      <c r="I456" s="170">
        <v>122.62</v>
      </c>
      <c r="J456" s="3"/>
      <c r="K456" s="3"/>
    </row>
    <row r="457" spans="1:11">
      <c r="A457" t="s">
        <v>1714</v>
      </c>
      <c r="B457" s="1">
        <v>41711</v>
      </c>
      <c r="C457" t="s">
        <v>1715</v>
      </c>
      <c r="D457">
        <v>1</v>
      </c>
      <c r="E457" t="s">
        <v>1716</v>
      </c>
      <c r="F457" s="149" t="s">
        <v>1594</v>
      </c>
      <c r="G457" s="149" t="s">
        <v>2387</v>
      </c>
      <c r="H457" s="170">
        <f>I457/0.16</f>
        <v>93.125</v>
      </c>
      <c r="I457" s="170">
        <v>14.9</v>
      </c>
      <c r="J457" s="3"/>
      <c r="K457" s="3"/>
    </row>
    <row r="458" spans="1:11">
      <c r="A458" t="s">
        <v>1714</v>
      </c>
      <c r="B458" s="1">
        <v>41711</v>
      </c>
      <c r="C458" t="s">
        <v>1715</v>
      </c>
      <c r="D458">
        <v>1</v>
      </c>
      <c r="E458" t="s">
        <v>1716</v>
      </c>
      <c r="F458" s="149" t="s">
        <v>2388</v>
      </c>
      <c r="G458" s="149" t="s">
        <v>2389</v>
      </c>
      <c r="H458" s="170">
        <f>I458/0.16</f>
        <v>436.3125</v>
      </c>
      <c r="I458" s="170">
        <v>69.81</v>
      </c>
      <c r="J458" s="3"/>
      <c r="K458" s="3"/>
    </row>
    <row r="459" spans="1:11">
      <c r="A459" t="s">
        <v>1714</v>
      </c>
      <c r="B459" s="1">
        <v>41711</v>
      </c>
      <c r="C459" t="s">
        <v>1715</v>
      </c>
      <c r="D459">
        <v>1</v>
      </c>
      <c r="E459" t="s">
        <v>1716</v>
      </c>
      <c r="F459" t="s">
        <v>763</v>
      </c>
      <c r="G459" t="s">
        <v>900</v>
      </c>
      <c r="H459" s="176">
        <f t="shared" ref="H459" si="39">I459/0.16</f>
        <v>729.375</v>
      </c>
      <c r="I459" s="176">
        <v>116.7</v>
      </c>
      <c r="J459" s="3">
        <f>2234.44-H455-H456-H457-H458-H459</f>
        <v>2.5000000000545697E-3</v>
      </c>
      <c r="K459" s="3">
        <f>357.51-I455-I456-I457-I458-I459</f>
        <v>0</v>
      </c>
    </row>
    <row r="460" spans="1:11">
      <c r="A460" t="s">
        <v>1723</v>
      </c>
      <c r="B460" s="1">
        <v>41711</v>
      </c>
      <c r="C460" t="s">
        <v>1724</v>
      </c>
      <c r="D460">
        <v>1</v>
      </c>
      <c r="E460" t="s">
        <v>1725</v>
      </c>
      <c r="F460" s="137" t="s">
        <v>914</v>
      </c>
      <c r="G460" s="137" t="s">
        <v>915</v>
      </c>
      <c r="H460" s="174">
        <f>I460/0.16</f>
        <v>251.125</v>
      </c>
      <c r="I460" s="174">
        <v>40.18</v>
      </c>
      <c r="J460" s="3"/>
      <c r="K460" s="3"/>
    </row>
    <row r="461" spans="1:11">
      <c r="A461" t="s">
        <v>1723</v>
      </c>
      <c r="B461" s="1">
        <v>41711</v>
      </c>
      <c r="C461" t="s">
        <v>1724</v>
      </c>
      <c r="D461">
        <v>1</v>
      </c>
      <c r="E461" t="s">
        <v>1725</v>
      </c>
      <c r="F461" s="149" t="s">
        <v>936</v>
      </c>
      <c r="G461" s="149" t="s">
        <v>2390</v>
      </c>
      <c r="H461" s="170">
        <f>I461/0.16</f>
        <v>100</v>
      </c>
      <c r="I461" s="170">
        <v>16</v>
      </c>
      <c r="J461" s="3"/>
      <c r="K461" s="3"/>
    </row>
    <row r="462" spans="1:11">
      <c r="A462" t="s">
        <v>1723</v>
      </c>
      <c r="B462" s="1">
        <v>41711</v>
      </c>
      <c r="C462" t="s">
        <v>1724</v>
      </c>
      <c r="D462">
        <v>1</v>
      </c>
      <c r="E462" t="s">
        <v>1725</v>
      </c>
      <c r="F462" s="137" t="s">
        <v>938</v>
      </c>
      <c r="G462" s="137" t="s">
        <v>2391</v>
      </c>
      <c r="H462" s="174">
        <f>I462/0.16</f>
        <v>473.87499999999994</v>
      </c>
      <c r="I462" s="174">
        <v>75.819999999999993</v>
      </c>
      <c r="J462" s="3"/>
      <c r="K462" s="3"/>
    </row>
    <row r="463" spans="1:11">
      <c r="A463" t="s">
        <v>1723</v>
      </c>
      <c r="B463" s="1">
        <v>41711</v>
      </c>
      <c r="C463" t="s">
        <v>1724</v>
      </c>
      <c r="D463">
        <v>1</v>
      </c>
      <c r="E463" t="s">
        <v>1725</v>
      </c>
      <c r="F463" t="s">
        <v>763</v>
      </c>
      <c r="G463" t="s">
        <v>814</v>
      </c>
      <c r="H463" s="176">
        <f t="shared" ref="H463:H464" si="40">I463/0.16</f>
        <v>766.375</v>
      </c>
      <c r="I463" s="176">
        <v>122.62</v>
      </c>
      <c r="J463" s="3"/>
      <c r="K463" s="3"/>
    </row>
    <row r="464" spans="1:11">
      <c r="A464" t="s">
        <v>1723</v>
      </c>
      <c r="B464" s="1">
        <v>41711</v>
      </c>
      <c r="C464" t="s">
        <v>1724</v>
      </c>
      <c r="D464">
        <v>1</v>
      </c>
      <c r="E464" t="s">
        <v>1725</v>
      </c>
      <c r="F464" t="s">
        <v>763</v>
      </c>
      <c r="G464" t="s">
        <v>900</v>
      </c>
      <c r="H464" s="176">
        <f t="shared" si="40"/>
        <v>706.9375</v>
      </c>
      <c r="I464" s="176">
        <v>113.11</v>
      </c>
      <c r="J464" s="3">
        <f>2298.31-H460-H461-H462-H463-H464</f>
        <v>-2.5000000000545697E-3</v>
      </c>
      <c r="K464" s="3">
        <f>367.73-I460-I461-I462-I463-I464</f>
        <v>0</v>
      </c>
    </row>
    <row r="465" spans="1:12">
      <c r="A465" t="s">
        <v>1720</v>
      </c>
      <c r="B465" s="1">
        <v>41711</v>
      </c>
      <c r="C465" t="s">
        <v>1721</v>
      </c>
      <c r="D465">
        <v>1</v>
      </c>
      <c r="E465" t="s">
        <v>1722</v>
      </c>
      <c r="F465" s="149" t="s">
        <v>901</v>
      </c>
      <c r="G465" s="149" t="s">
        <v>902</v>
      </c>
      <c r="H465" s="170">
        <f>I465/0.16</f>
        <v>92.25</v>
      </c>
      <c r="I465" s="170">
        <v>14.76</v>
      </c>
      <c r="J465" s="3"/>
      <c r="K465" s="3"/>
    </row>
    <row r="466" spans="1:12">
      <c r="A466" t="s">
        <v>1720</v>
      </c>
      <c r="B466" s="1">
        <v>41711</v>
      </c>
      <c r="C466" t="s">
        <v>1721</v>
      </c>
      <c r="D466">
        <v>1</v>
      </c>
      <c r="E466" t="s">
        <v>1722</v>
      </c>
      <c r="F466" s="137" t="s">
        <v>2392</v>
      </c>
      <c r="G466" s="137" t="s">
        <v>2393</v>
      </c>
      <c r="H466" s="174">
        <f>I466/0.16</f>
        <v>418.5625</v>
      </c>
      <c r="I466" s="174">
        <v>66.97</v>
      </c>
      <c r="J466" s="3"/>
      <c r="K466" s="3"/>
    </row>
    <row r="467" spans="1:12">
      <c r="A467" t="s">
        <v>1720</v>
      </c>
      <c r="B467" s="1">
        <v>41711</v>
      </c>
      <c r="C467" t="s">
        <v>1721</v>
      </c>
      <c r="D467">
        <v>1</v>
      </c>
      <c r="E467" t="s">
        <v>1722</v>
      </c>
      <c r="F467" t="s">
        <v>763</v>
      </c>
      <c r="G467" t="s">
        <v>814</v>
      </c>
      <c r="H467" s="175">
        <f t="shared" ref="H467:H470" si="41">I467/0.16</f>
        <v>298.25</v>
      </c>
      <c r="I467" s="176">
        <v>47.72</v>
      </c>
      <c r="J467" s="3"/>
      <c r="K467" s="3"/>
    </row>
    <row r="468" spans="1:12">
      <c r="A468" t="s">
        <v>1720</v>
      </c>
      <c r="B468" s="1">
        <v>41711</v>
      </c>
      <c r="C468" t="s">
        <v>1721</v>
      </c>
      <c r="D468">
        <v>1</v>
      </c>
      <c r="E468" t="s">
        <v>1722</v>
      </c>
      <c r="F468" t="s">
        <v>763</v>
      </c>
      <c r="G468" t="s">
        <v>900</v>
      </c>
      <c r="H468" s="175">
        <f t="shared" si="41"/>
        <v>176.8125</v>
      </c>
      <c r="I468" s="176">
        <v>28.29</v>
      </c>
      <c r="J468" s="3">
        <f>985.81-H465-H466-H467-H468</f>
        <v>-6.500000000005457E-2</v>
      </c>
      <c r="K468" s="3">
        <f>157.73-I465-I466-I467-I468</f>
        <v>-9.9999999999980105E-3</v>
      </c>
      <c r="L468" t="s">
        <v>850</v>
      </c>
    </row>
    <row r="469" spans="1:12">
      <c r="A469" t="s">
        <v>1038</v>
      </c>
      <c r="B469" s="1">
        <v>41711</v>
      </c>
      <c r="C469">
        <v>9810</v>
      </c>
      <c r="D469">
        <v>1</v>
      </c>
      <c r="E469" t="s">
        <v>1748</v>
      </c>
      <c r="F469" t="s">
        <v>763</v>
      </c>
      <c r="G469" s="9" t="s">
        <v>900</v>
      </c>
      <c r="H469" s="176">
        <f t="shared" si="41"/>
        <v>177.3125</v>
      </c>
      <c r="I469" s="176">
        <v>28.37</v>
      </c>
      <c r="J469" s="3"/>
      <c r="K469" s="3"/>
    </row>
    <row r="470" spans="1:12">
      <c r="A470" t="s">
        <v>1038</v>
      </c>
      <c r="B470" s="1">
        <v>41711</v>
      </c>
      <c r="C470">
        <v>9810</v>
      </c>
      <c r="D470">
        <v>1</v>
      </c>
      <c r="E470" t="s">
        <v>1748</v>
      </c>
      <c r="F470" t="s">
        <v>763</v>
      </c>
      <c r="G470" t="s">
        <v>1548</v>
      </c>
      <c r="H470" s="176">
        <f t="shared" si="41"/>
        <v>298.25</v>
      </c>
      <c r="I470" s="176">
        <v>47.72</v>
      </c>
      <c r="J470" s="3">
        <f>475.06-H469-H470</f>
        <v>-0.50249999999999773</v>
      </c>
      <c r="K470" s="3">
        <f>76.01-I469-I470</f>
        <v>-7.9999999999998295E-2</v>
      </c>
      <c r="L470" t="s">
        <v>850</v>
      </c>
    </row>
    <row r="471" spans="1:12">
      <c r="A471" t="s">
        <v>2081</v>
      </c>
      <c r="B471" s="1">
        <v>41729</v>
      </c>
      <c r="C471" t="s">
        <v>2082</v>
      </c>
      <c r="D471">
        <v>1</v>
      </c>
      <c r="E471" t="s">
        <v>2083</v>
      </c>
      <c r="F471" s="151" t="s">
        <v>923</v>
      </c>
      <c r="G471" s="149" t="s">
        <v>927</v>
      </c>
      <c r="H471" s="170">
        <f>I471/0.16</f>
        <v>153.4375</v>
      </c>
      <c r="I471" s="170">
        <v>24.55</v>
      </c>
      <c r="J471" s="3"/>
      <c r="K471" s="3"/>
    </row>
    <row r="472" spans="1:12">
      <c r="A472" t="s">
        <v>2081</v>
      </c>
      <c r="B472" s="1">
        <v>41729</v>
      </c>
      <c r="C472" t="s">
        <v>2082</v>
      </c>
      <c r="D472">
        <v>1</v>
      </c>
      <c r="E472" t="s">
        <v>2083</v>
      </c>
      <c r="F472" s="151" t="s">
        <v>923</v>
      </c>
      <c r="G472" s="149" t="s">
        <v>927</v>
      </c>
      <c r="H472" s="170">
        <f>I472/0.16</f>
        <v>143.125</v>
      </c>
      <c r="I472" s="170">
        <v>22.9</v>
      </c>
    </row>
    <row r="473" spans="1:12">
      <c r="A473" t="s">
        <v>2081</v>
      </c>
      <c r="B473" s="1">
        <v>41729</v>
      </c>
      <c r="C473" t="s">
        <v>2082</v>
      </c>
      <c r="D473">
        <v>1</v>
      </c>
      <c r="E473" t="s">
        <v>2083</v>
      </c>
      <c r="F473" s="151" t="s">
        <v>2394</v>
      </c>
      <c r="G473" s="149" t="s">
        <v>2395</v>
      </c>
      <c r="H473" s="170">
        <f>I473/0.16</f>
        <v>69.8125</v>
      </c>
      <c r="I473" s="170">
        <v>11.17</v>
      </c>
    </row>
    <row r="474" spans="1:12">
      <c r="A474" t="s">
        <v>2081</v>
      </c>
      <c r="B474" s="1">
        <v>41729</v>
      </c>
      <c r="C474" t="s">
        <v>2082</v>
      </c>
      <c r="D474">
        <v>1</v>
      </c>
      <c r="E474" t="s">
        <v>2083</v>
      </c>
      <c r="F474" s="151" t="s">
        <v>2396</v>
      </c>
      <c r="G474" s="149" t="s">
        <v>2397</v>
      </c>
      <c r="H474" s="170">
        <f>I474/0.16</f>
        <v>418.625</v>
      </c>
      <c r="I474" s="170">
        <v>66.98</v>
      </c>
    </row>
    <row r="475" spans="1:12">
      <c r="A475" t="s">
        <v>2081</v>
      </c>
      <c r="B475" s="1">
        <v>41729</v>
      </c>
      <c r="C475" t="s">
        <v>2082</v>
      </c>
      <c r="D475">
        <v>1</v>
      </c>
      <c r="E475" t="s">
        <v>2083</v>
      </c>
      <c r="F475" s="158" t="s">
        <v>763</v>
      </c>
      <c r="G475" t="s">
        <v>900</v>
      </c>
      <c r="H475" s="176">
        <f t="shared" ref="H475" si="42">I475/0.16</f>
        <v>295.75</v>
      </c>
      <c r="I475" s="176">
        <v>47.32</v>
      </c>
      <c r="J475" s="13">
        <f>1080.75-H471-H472-H473-H474-H475</f>
        <v>0</v>
      </c>
      <c r="K475" s="13">
        <f>172.92-I471-I472-I473-I474-I475</f>
        <v>0</v>
      </c>
    </row>
    <row r="476" spans="1:12">
      <c r="A476" t="s">
        <v>1697</v>
      </c>
      <c r="B476" s="1">
        <v>41708</v>
      </c>
      <c r="C476" t="s">
        <v>1698</v>
      </c>
      <c r="D476">
        <v>1</v>
      </c>
      <c r="E476" t="s">
        <v>1699</v>
      </c>
      <c r="F476" s="150" t="s">
        <v>2367</v>
      </c>
      <c r="G476" s="149" t="s">
        <v>2368</v>
      </c>
      <c r="H476" s="3">
        <f t="shared" ref="H476:H479" si="43">+I476/0.16</f>
        <v>297961.625</v>
      </c>
      <c r="I476" s="3">
        <v>47673.86</v>
      </c>
    </row>
    <row r="477" spans="1:12">
      <c r="A477" t="s">
        <v>1922</v>
      </c>
      <c r="B477" s="1">
        <v>41720</v>
      </c>
      <c r="C477" t="s">
        <v>1923</v>
      </c>
      <c r="D477">
        <v>1</v>
      </c>
      <c r="E477" t="s">
        <v>1924</v>
      </c>
      <c r="F477" s="178" t="s">
        <v>2369</v>
      </c>
      <c r="G477" s="149" t="s">
        <v>2370</v>
      </c>
      <c r="H477" s="3">
        <f t="shared" si="43"/>
        <v>170461.625</v>
      </c>
      <c r="I477" s="3">
        <v>27273.86</v>
      </c>
    </row>
    <row r="478" spans="1:12">
      <c r="A478" t="s">
        <v>1848</v>
      </c>
      <c r="B478" s="1">
        <v>41717</v>
      </c>
      <c r="C478" t="s">
        <v>1849</v>
      </c>
      <c r="D478">
        <v>1</v>
      </c>
      <c r="E478" t="s">
        <v>1154</v>
      </c>
      <c r="F478" s="179" t="s">
        <v>2371</v>
      </c>
      <c r="G478" s="154" t="s">
        <v>2372</v>
      </c>
      <c r="H478" s="3">
        <f t="shared" si="43"/>
        <v>182289.6875</v>
      </c>
      <c r="I478" s="3">
        <v>29166.35</v>
      </c>
    </row>
    <row r="479" spans="1:12">
      <c r="A479" t="s">
        <v>2135</v>
      </c>
      <c r="B479" s="1">
        <v>41708</v>
      </c>
      <c r="C479" t="s">
        <v>2136</v>
      </c>
      <c r="D479">
        <v>1</v>
      </c>
      <c r="E479" t="s">
        <v>1319</v>
      </c>
      <c r="F479" s="149" t="s">
        <v>1662</v>
      </c>
      <c r="G479" s="149" t="s">
        <v>1319</v>
      </c>
      <c r="H479" s="3">
        <f t="shared" si="43"/>
        <v>562.5</v>
      </c>
      <c r="I479" s="3">
        <v>90</v>
      </c>
    </row>
    <row r="482" spans="8:9">
      <c r="H482" s="3">
        <f>SUM(H7:H481)</f>
        <v>24023610.8125</v>
      </c>
      <c r="I482" s="3">
        <f>SUM(I7:I481)</f>
        <v>3843777.7300000046</v>
      </c>
    </row>
    <row r="483" spans="8:9">
      <c r="H483" s="3">
        <f>4179348.17-335544.86</f>
        <v>3843803.31</v>
      </c>
      <c r="I483" s="3">
        <f>+H483-I482</f>
        <v>25.579999995417893</v>
      </c>
    </row>
  </sheetData>
  <sortState ref="A1:K484">
    <sortCondition ref="E1:E48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2"/>
  <sheetViews>
    <sheetView workbookViewId="0">
      <pane ySplit="6" topLeftCell="A7" activePane="bottomLeft" state="frozen"/>
      <selection pane="bottomLeft" activeCell="A7" sqref="A7:XFD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" bestFit="1" customWidth="1"/>
    <col min="4" max="4" width="2" bestFit="1" customWidth="1"/>
    <col min="5" max="5" width="39.7109375" bestFit="1" customWidth="1"/>
    <col min="6" max="6" width="18.140625" customWidth="1"/>
    <col min="7" max="7" width="13.7109375" customWidth="1"/>
    <col min="8" max="8" width="17.85546875" style="3" customWidth="1"/>
    <col min="9" max="9" width="13.140625" style="3" bestFit="1" customWidth="1"/>
    <col min="10" max="10" width="18.7109375" bestFit="1" customWidth="1"/>
    <col min="11" max="11" width="17.42578125" style="3" bestFit="1" customWidth="1"/>
  </cols>
  <sheetData>
    <row r="1" spans="1:9">
      <c r="A1" t="s">
        <v>707</v>
      </c>
    </row>
    <row r="2" spans="1:9">
      <c r="A2" t="s">
        <v>2895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508</v>
      </c>
      <c r="B7" s="1">
        <v>41739</v>
      </c>
      <c r="C7" t="s">
        <v>2734</v>
      </c>
      <c r="D7">
        <v>1</v>
      </c>
      <c r="E7" t="s">
        <v>1401</v>
      </c>
      <c r="F7" s="180" t="s">
        <v>1532</v>
      </c>
      <c r="G7" s="149" t="s">
        <v>1401</v>
      </c>
      <c r="H7" s="3">
        <f t="shared" ref="H7:H70" si="0">+I7/0.16</f>
        <v>6614.6874999999991</v>
      </c>
      <c r="I7" s="3">
        <v>1058.3499999999999</v>
      </c>
    </row>
    <row r="8" spans="1:9">
      <c r="A8" t="s">
        <v>2816</v>
      </c>
      <c r="B8" s="1">
        <v>41754</v>
      </c>
      <c r="C8" t="s">
        <v>2817</v>
      </c>
      <c r="D8">
        <v>1</v>
      </c>
      <c r="E8" t="s">
        <v>1401</v>
      </c>
      <c r="F8" s="180" t="s">
        <v>1532</v>
      </c>
      <c r="G8" s="149" t="s">
        <v>1401</v>
      </c>
      <c r="H8" s="3">
        <f t="shared" si="0"/>
        <v>6614.6874999999991</v>
      </c>
      <c r="I8" s="3">
        <v>1058.3499999999999</v>
      </c>
    </row>
    <row r="9" spans="1:9">
      <c r="A9" t="s">
        <v>2608</v>
      </c>
      <c r="B9" s="1">
        <v>41759</v>
      </c>
      <c r="C9">
        <v>10054</v>
      </c>
      <c r="D9">
        <v>1</v>
      </c>
      <c r="E9" t="s">
        <v>2609</v>
      </c>
      <c r="F9" s="151" t="s">
        <v>2863</v>
      </c>
      <c r="G9" s="149" t="s">
        <v>2609</v>
      </c>
      <c r="H9" s="3">
        <f t="shared" si="0"/>
        <v>501.75</v>
      </c>
      <c r="I9" s="3">
        <v>80.28</v>
      </c>
    </row>
    <row r="10" spans="1:9">
      <c r="A10" t="s">
        <v>2553</v>
      </c>
      <c r="B10" s="1">
        <v>41754</v>
      </c>
      <c r="C10" t="s">
        <v>2554</v>
      </c>
      <c r="D10">
        <v>1</v>
      </c>
      <c r="E10" t="s">
        <v>2555</v>
      </c>
      <c r="F10" s="150" t="s">
        <v>787</v>
      </c>
      <c r="G10" s="149" t="s">
        <v>788</v>
      </c>
      <c r="H10" s="3">
        <f t="shared" si="0"/>
        <v>411420.75000000006</v>
      </c>
      <c r="I10" s="3">
        <v>65827.320000000007</v>
      </c>
    </row>
    <row r="11" spans="1:9">
      <c r="A11" t="s">
        <v>2411</v>
      </c>
      <c r="B11" s="1">
        <v>41736</v>
      </c>
      <c r="C11" t="s">
        <v>2410</v>
      </c>
      <c r="D11">
        <v>1</v>
      </c>
      <c r="E11" t="s">
        <v>2412</v>
      </c>
      <c r="F11" s="150" t="s">
        <v>1533</v>
      </c>
      <c r="G11" s="149" t="s">
        <v>1534</v>
      </c>
      <c r="H11" s="3">
        <f t="shared" si="0"/>
        <v>320437.1875</v>
      </c>
      <c r="I11" s="3">
        <v>51269.95</v>
      </c>
    </row>
    <row r="12" spans="1:9">
      <c r="A12" t="s">
        <v>2544</v>
      </c>
      <c r="B12" s="1">
        <v>41754</v>
      </c>
      <c r="C12">
        <v>9995</v>
      </c>
      <c r="D12">
        <v>1</v>
      </c>
      <c r="E12" t="s">
        <v>272</v>
      </c>
      <c r="F12" s="180" t="s">
        <v>719</v>
      </c>
      <c r="G12" s="149" t="s">
        <v>272</v>
      </c>
      <c r="H12" s="3">
        <f t="shared" si="0"/>
        <v>169.625</v>
      </c>
      <c r="I12" s="3">
        <v>27.14</v>
      </c>
    </row>
    <row r="13" spans="1:9">
      <c r="A13" t="s">
        <v>2637</v>
      </c>
      <c r="B13" s="1">
        <v>41759</v>
      </c>
      <c r="C13" t="s">
        <v>2638</v>
      </c>
      <c r="D13">
        <v>1</v>
      </c>
      <c r="E13" t="s">
        <v>123</v>
      </c>
      <c r="F13" s="180" t="s">
        <v>721</v>
      </c>
      <c r="G13" s="149" t="s">
        <v>123</v>
      </c>
      <c r="H13" s="3">
        <f t="shared" si="0"/>
        <v>215.49999999999997</v>
      </c>
      <c r="I13" s="3">
        <v>34.479999999999997</v>
      </c>
    </row>
    <row r="14" spans="1:9">
      <c r="A14" t="s">
        <v>2641</v>
      </c>
      <c r="B14" s="1">
        <v>41759</v>
      </c>
      <c r="C14" t="s">
        <v>2642</v>
      </c>
      <c r="D14">
        <v>1</v>
      </c>
      <c r="E14" t="s">
        <v>123</v>
      </c>
      <c r="F14" s="180" t="s">
        <v>721</v>
      </c>
      <c r="G14" s="149" t="s">
        <v>123</v>
      </c>
      <c r="H14" s="3">
        <f t="shared" si="0"/>
        <v>344.8125</v>
      </c>
      <c r="I14" s="3">
        <v>55.17</v>
      </c>
    </row>
    <row r="15" spans="1:9">
      <c r="A15" t="s">
        <v>253</v>
      </c>
      <c r="B15" s="1">
        <v>41759</v>
      </c>
      <c r="C15" t="s">
        <v>2652</v>
      </c>
      <c r="D15">
        <v>1</v>
      </c>
      <c r="E15" t="s">
        <v>123</v>
      </c>
      <c r="F15" s="180" t="s">
        <v>721</v>
      </c>
      <c r="G15" s="149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2665</v>
      </c>
      <c r="B16" s="1">
        <v>41759</v>
      </c>
      <c r="C16" t="s">
        <v>2666</v>
      </c>
      <c r="D16">
        <v>1</v>
      </c>
      <c r="E16" t="s">
        <v>123</v>
      </c>
      <c r="F16" s="180" t="s">
        <v>721</v>
      </c>
      <c r="G16" s="149" t="s">
        <v>123</v>
      </c>
      <c r="H16" s="3">
        <f t="shared" si="0"/>
        <v>431.0625</v>
      </c>
      <c r="I16" s="3">
        <v>68.97</v>
      </c>
    </row>
    <row r="17" spans="1:9">
      <c r="A17" t="s">
        <v>1302</v>
      </c>
      <c r="B17" s="1">
        <v>41759</v>
      </c>
      <c r="C17">
        <v>10052</v>
      </c>
      <c r="D17">
        <v>1</v>
      </c>
      <c r="E17" t="s">
        <v>282</v>
      </c>
      <c r="F17" s="151" t="s">
        <v>722</v>
      </c>
      <c r="G17" s="149" t="s">
        <v>282</v>
      </c>
      <c r="H17" s="3">
        <f t="shared" si="0"/>
        <v>81.375</v>
      </c>
      <c r="I17" s="3">
        <v>13.02</v>
      </c>
    </row>
    <row r="18" spans="1:9">
      <c r="A18" t="s">
        <v>2841</v>
      </c>
      <c r="B18" s="1">
        <v>41759</v>
      </c>
      <c r="C18" t="s">
        <v>2842</v>
      </c>
      <c r="D18">
        <v>1</v>
      </c>
      <c r="E18" t="s">
        <v>1667</v>
      </c>
      <c r="F18" s="149" t="s">
        <v>1666</v>
      </c>
      <c r="G18" s="149" t="s">
        <v>1667</v>
      </c>
      <c r="H18" s="3">
        <f t="shared" si="0"/>
        <v>198.125</v>
      </c>
      <c r="I18" s="3">
        <v>31.7</v>
      </c>
    </row>
    <row r="19" spans="1:9">
      <c r="A19" t="s">
        <v>2506</v>
      </c>
      <c r="B19" s="1">
        <v>41753</v>
      </c>
      <c r="C19" t="s">
        <v>2507</v>
      </c>
      <c r="D19">
        <v>1</v>
      </c>
      <c r="E19" t="s">
        <v>2508</v>
      </c>
      <c r="F19" s="154" t="s">
        <v>785</v>
      </c>
      <c r="G19" s="149" t="s">
        <v>786</v>
      </c>
      <c r="H19" s="3">
        <f t="shared" si="0"/>
        <v>150134.0625</v>
      </c>
      <c r="I19" s="3">
        <v>24021.45</v>
      </c>
    </row>
    <row r="20" spans="1:9">
      <c r="A20" t="s">
        <v>2439</v>
      </c>
      <c r="B20" s="1">
        <v>41739</v>
      </c>
      <c r="C20" t="s">
        <v>2440</v>
      </c>
      <c r="D20">
        <v>1</v>
      </c>
      <c r="E20" t="s">
        <v>2441</v>
      </c>
      <c r="F20" s="152" t="s">
        <v>785</v>
      </c>
      <c r="G20" s="153" t="s">
        <v>786</v>
      </c>
      <c r="H20" s="3">
        <f t="shared" si="0"/>
        <v>183525.5625</v>
      </c>
      <c r="I20" s="3">
        <v>29364.09</v>
      </c>
    </row>
    <row r="21" spans="1:9">
      <c r="A21" t="s">
        <v>2402</v>
      </c>
      <c r="B21" s="1">
        <v>41730</v>
      </c>
      <c r="C21" t="s">
        <v>2403</v>
      </c>
      <c r="D21">
        <v>1</v>
      </c>
      <c r="E21" t="s">
        <v>2404</v>
      </c>
      <c r="F21" s="181" t="s">
        <v>2864</v>
      </c>
      <c r="G21" s="181" t="s">
        <v>2865</v>
      </c>
      <c r="H21" s="3">
        <f t="shared" si="0"/>
        <v>237511</v>
      </c>
      <c r="I21" s="3">
        <v>38001.760000000002</v>
      </c>
    </row>
    <row r="22" spans="1:9">
      <c r="A22" t="s">
        <v>46</v>
      </c>
      <c r="B22" s="1">
        <v>41740</v>
      </c>
      <c r="C22" t="s">
        <v>2444</v>
      </c>
      <c r="D22">
        <v>1</v>
      </c>
      <c r="E22" t="s">
        <v>2445</v>
      </c>
      <c r="F22" s="149" t="s">
        <v>2282</v>
      </c>
      <c r="G22" s="149" t="s">
        <v>2283</v>
      </c>
      <c r="H22" s="3">
        <f t="shared" si="0"/>
        <v>210177.81249999997</v>
      </c>
      <c r="I22" s="3">
        <v>33628.449999999997</v>
      </c>
    </row>
    <row r="23" spans="1:9">
      <c r="A23" t="s">
        <v>1291</v>
      </c>
      <c r="B23" s="1">
        <v>41759</v>
      </c>
      <c r="C23">
        <v>10019</v>
      </c>
      <c r="D23">
        <v>1</v>
      </c>
      <c r="E23" t="s">
        <v>264</v>
      </c>
      <c r="F23" s="151" t="s">
        <v>724</v>
      </c>
      <c r="G23" s="149" t="s">
        <v>264</v>
      </c>
      <c r="H23" s="3">
        <f t="shared" si="0"/>
        <v>34.4375</v>
      </c>
      <c r="I23" s="3">
        <v>5.51</v>
      </c>
    </row>
    <row r="24" spans="1:9">
      <c r="A24" t="s">
        <v>1647</v>
      </c>
      <c r="B24" s="1">
        <v>41759</v>
      </c>
      <c r="C24">
        <v>10020</v>
      </c>
      <c r="D24">
        <v>1</v>
      </c>
      <c r="E24" t="s">
        <v>264</v>
      </c>
      <c r="F24" s="151" t="s">
        <v>724</v>
      </c>
      <c r="G24" s="149" t="s">
        <v>264</v>
      </c>
      <c r="H24" s="3">
        <f t="shared" si="0"/>
        <v>25.8125</v>
      </c>
      <c r="I24" s="3">
        <v>4.13</v>
      </c>
    </row>
    <row r="25" spans="1:9">
      <c r="A25" t="s">
        <v>1990</v>
      </c>
      <c r="B25" s="1">
        <v>41759</v>
      </c>
      <c r="C25">
        <v>10051</v>
      </c>
      <c r="D25">
        <v>1</v>
      </c>
      <c r="E25" t="s">
        <v>2605</v>
      </c>
      <c r="F25" s="151" t="s">
        <v>724</v>
      </c>
      <c r="G25" s="149" t="s">
        <v>2605</v>
      </c>
      <c r="H25" s="3">
        <f t="shared" si="0"/>
        <v>193.75</v>
      </c>
      <c r="I25" s="3">
        <v>31</v>
      </c>
    </row>
    <row r="26" spans="1:9">
      <c r="A26" t="s">
        <v>2639</v>
      </c>
      <c r="B26" s="1">
        <v>41759</v>
      </c>
      <c r="C26" t="s">
        <v>2640</v>
      </c>
      <c r="D26">
        <v>1</v>
      </c>
      <c r="E26" t="s">
        <v>1271</v>
      </c>
      <c r="F26" s="180" t="s">
        <v>1537</v>
      </c>
      <c r="G26" s="149" t="s">
        <v>1271</v>
      </c>
      <c r="H26" s="3">
        <f t="shared" si="0"/>
        <v>254.31249999999997</v>
      </c>
      <c r="I26" s="3">
        <v>40.69</v>
      </c>
    </row>
    <row r="27" spans="1:9">
      <c r="A27" t="s">
        <v>1608</v>
      </c>
      <c r="B27" s="1">
        <v>41759</v>
      </c>
      <c r="C27">
        <v>10041</v>
      </c>
      <c r="D27">
        <v>1</v>
      </c>
      <c r="E27" t="s">
        <v>1142</v>
      </c>
      <c r="F27" s="180" t="s">
        <v>820</v>
      </c>
      <c r="G27" s="149" t="s">
        <v>1142</v>
      </c>
      <c r="H27" s="3">
        <f t="shared" si="0"/>
        <v>150</v>
      </c>
      <c r="I27" s="3">
        <v>24</v>
      </c>
    </row>
    <row r="28" spans="1:9">
      <c r="A28" t="s">
        <v>602</v>
      </c>
      <c r="B28" s="1">
        <v>41754</v>
      </c>
      <c r="C28" t="s">
        <v>2801</v>
      </c>
      <c r="D28">
        <v>1</v>
      </c>
      <c r="E28" t="s">
        <v>2802</v>
      </c>
      <c r="F28" s="180" t="s">
        <v>2866</v>
      </c>
      <c r="G28" s="149" t="s">
        <v>2802</v>
      </c>
      <c r="H28" s="3">
        <f t="shared" si="0"/>
        <v>8000</v>
      </c>
      <c r="I28" s="3">
        <v>1280</v>
      </c>
    </row>
    <row r="29" spans="1:9">
      <c r="A29" t="s">
        <v>2798</v>
      </c>
      <c r="B29" s="1">
        <v>41752</v>
      </c>
      <c r="C29" t="s">
        <v>2799</v>
      </c>
      <c r="D29">
        <v>1</v>
      </c>
      <c r="E29" t="s">
        <v>2800</v>
      </c>
      <c r="F29" s="180" t="s">
        <v>2867</v>
      </c>
      <c r="G29" s="149" t="s">
        <v>2800</v>
      </c>
      <c r="H29" s="3">
        <f t="shared" si="0"/>
        <v>7032.1875</v>
      </c>
      <c r="I29" s="3">
        <v>1125.1500000000001</v>
      </c>
    </row>
    <row r="30" spans="1:9">
      <c r="A30" t="s">
        <v>1494</v>
      </c>
      <c r="B30" s="1">
        <v>41759</v>
      </c>
      <c r="C30" t="s">
        <v>2855</v>
      </c>
      <c r="D30">
        <v>1</v>
      </c>
      <c r="E30" t="s">
        <v>2800</v>
      </c>
      <c r="F30" s="180" t="s">
        <v>2867</v>
      </c>
      <c r="G30" s="149" t="s">
        <v>2800</v>
      </c>
      <c r="H30" s="3">
        <f t="shared" si="0"/>
        <v>3914.3124999999995</v>
      </c>
      <c r="I30" s="3">
        <v>626.29</v>
      </c>
    </row>
    <row r="31" spans="1:9">
      <c r="A31" t="s">
        <v>489</v>
      </c>
      <c r="B31" s="1">
        <v>41739</v>
      </c>
      <c r="C31" t="s">
        <v>2718</v>
      </c>
      <c r="D31">
        <v>1</v>
      </c>
      <c r="E31" t="s">
        <v>459</v>
      </c>
      <c r="F31" s="180" t="s">
        <v>762</v>
      </c>
      <c r="G31" s="149" t="s">
        <v>459</v>
      </c>
      <c r="H31" s="3">
        <f t="shared" si="0"/>
        <v>34550</v>
      </c>
      <c r="I31" s="3">
        <v>5528</v>
      </c>
    </row>
    <row r="32" spans="1:9">
      <c r="A32" t="s">
        <v>2622</v>
      </c>
      <c r="B32" s="1">
        <v>41759</v>
      </c>
      <c r="C32">
        <v>10069</v>
      </c>
      <c r="D32">
        <v>1</v>
      </c>
      <c r="E32" t="s">
        <v>2623</v>
      </c>
      <c r="F32" s="187" t="s">
        <v>763</v>
      </c>
      <c r="G32" t="s">
        <v>900</v>
      </c>
      <c r="H32" s="3">
        <f t="shared" si="0"/>
        <v>651.75</v>
      </c>
      <c r="I32" s="3">
        <v>104.28</v>
      </c>
    </row>
    <row r="33" spans="1:9">
      <c r="A33" t="s">
        <v>1001</v>
      </c>
      <c r="B33" s="1">
        <v>41737</v>
      </c>
      <c r="C33" t="s">
        <v>2424</v>
      </c>
      <c r="D33">
        <v>1</v>
      </c>
      <c r="E33" t="s">
        <v>2425</v>
      </c>
      <c r="F33" s="150" t="s">
        <v>733</v>
      </c>
      <c r="G33" s="149" t="s">
        <v>734</v>
      </c>
      <c r="H33" s="3">
        <f t="shared" si="0"/>
        <v>260966.5</v>
      </c>
      <c r="I33" s="3">
        <v>41754.639999999999</v>
      </c>
    </row>
    <row r="34" spans="1:9">
      <c r="A34" t="s">
        <v>2572</v>
      </c>
      <c r="B34" s="1">
        <v>41758</v>
      </c>
      <c r="C34" t="s">
        <v>2573</v>
      </c>
      <c r="D34">
        <v>1</v>
      </c>
      <c r="E34" t="s">
        <v>2574</v>
      </c>
      <c r="F34" s="149" t="s">
        <v>731</v>
      </c>
      <c r="G34" s="149" t="s">
        <v>2288</v>
      </c>
      <c r="H34" s="3">
        <f t="shared" si="0"/>
        <v>170461.625</v>
      </c>
      <c r="I34" s="3">
        <v>27273.86</v>
      </c>
    </row>
    <row r="35" spans="1:9">
      <c r="A35" t="s">
        <v>479</v>
      </c>
      <c r="B35" s="1">
        <v>41739</v>
      </c>
      <c r="C35" t="s">
        <v>2705</v>
      </c>
      <c r="D35">
        <v>1</v>
      </c>
      <c r="E35" t="s">
        <v>1360</v>
      </c>
      <c r="F35" s="180" t="s">
        <v>1540</v>
      </c>
      <c r="G35" s="149" t="s">
        <v>1360</v>
      </c>
      <c r="H35" s="3">
        <f t="shared" si="0"/>
        <v>860.375</v>
      </c>
      <c r="I35" s="3">
        <v>137.66</v>
      </c>
    </row>
    <row r="36" spans="1:9">
      <c r="A36" t="s">
        <v>485</v>
      </c>
      <c r="B36" s="1">
        <v>41739</v>
      </c>
      <c r="C36" t="s">
        <v>2711</v>
      </c>
      <c r="D36">
        <v>1</v>
      </c>
      <c r="E36" t="s">
        <v>1360</v>
      </c>
      <c r="F36" s="180" t="s">
        <v>1540</v>
      </c>
      <c r="G36" s="149" t="s">
        <v>1360</v>
      </c>
      <c r="H36" s="3">
        <f t="shared" si="0"/>
        <v>6992.5</v>
      </c>
      <c r="I36" s="3">
        <v>1118.8</v>
      </c>
    </row>
    <row r="37" spans="1:9">
      <c r="A37" t="s">
        <v>2758</v>
      </c>
      <c r="B37" s="1">
        <v>41745</v>
      </c>
      <c r="C37" t="s">
        <v>2759</v>
      </c>
      <c r="D37">
        <v>2</v>
      </c>
      <c r="E37" t="s">
        <v>619</v>
      </c>
      <c r="F37" s="180" t="s">
        <v>791</v>
      </c>
      <c r="G37" s="149" t="s">
        <v>619</v>
      </c>
      <c r="H37" s="3">
        <f t="shared" si="0"/>
        <v>6827.625</v>
      </c>
      <c r="I37" s="3">
        <v>1092.42</v>
      </c>
    </row>
    <row r="38" spans="1:9">
      <c r="A38" t="s">
        <v>1486</v>
      </c>
      <c r="B38" s="1">
        <v>41759</v>
      </c>
      <c r="C38" t="s">
        <v>1528</v>
      </c>
      <c r="D38">
        <v>1</v>
      </c>
      <c r="E38" t="s">
        <v>2851</v>
      </c>
      <c r="F38" s="152" t="s">
        <v>798</v>
      </c>
      <c r="G38" s="154" t="s">
        <v>799</v>
      </c>
      <c r="H38" s="3">
        <f t="shared" si="0"/>
        <v>157.5</v>
      </c>
      <c r="I38" s="3">
        <v>25.2</v>
      </c>
    </row>
    <row r="39" spans="1:9">
      <c r="A39" t="s">
        <v>676</v>
      </c>
      <c r="B39" s="1">
        <v>41759</v>
      </c>
      <c r="C39" t="s">
        <v>1528</v>
      </c>
      <c r="D39">
        <v>1</v>
      </c>
      <c r="E39" t="s">
        <v>2854</v>
      </c>
      <c r="F39" s="152" t="s">
        <v>798</v>
      </c>
      <c r="G39" s="154" t="s">
        <v>799</v>
      </c>
      <c r="H39" s="3">
        <f t="shared" si="0"/>
        <v>142.5625</v>
      </c>
      <c r="I39" s="3">
        <v>22.81</v>
      </c>
    </row>
    <row r="40" spans="1:9">
      <c r="A40" t="s">
        <v>1502</v>
      </c>
      <c r="B40" s="1">
        <v>41759</v>
      </c>
      <c r="C40" t="s">
        <v>1525</v>
      </c>
      <c r="D40">
        <v>1</v>
      </c>
      <c r="E40" t="s">
        <v>2856</v>
      </c>
      <c r="F40" s="152" t="s">
        <v>804</v>
      </c>
      <c r="G40" s="154" t="s">
        <v>805</v>
      </c>
      <c r="H40" s="3">
        <f t="shared" si="0"/>
        <v>72</v>
      </c>
      <c r="I40" s="3">
        <v>11.52</v>
      </c>
    </row>
    <row r="41" spans="1:9">
      <c r="A41" t="s">
        <v>2694</v>
      </c>
      <c r="B41" s="1">
        <v>41738</v>
      </c>
      <c r="C41" t="s">
        <v>2695</v>
      </c>
      <c r="D41">
        <v>1</v>
      </c>
      <c r="E41" t="s">
        <v>563</v>
      </c>
      <c r="F41" s="180" t="s">
        <v>795</v>
      </c>
      <c r="G41" s="149" t="s">
        <v>563</v>
      </c>
      <c r="H41" s="3">
        <f t="shared" si="0"/>
        <v>25480.1875</v>
      </c>
      <c r="I41" s="3">
        <v>4076.83</v>
      </c>
    </row>
    <row r="42" spans="1:9">
      <c r="A42" t="s">
        <v>617</v>
      </c>
      <c r="B42" s="1">
        <v>41755</v>
      </c>
      <c r="C42" t="s">
        <v>2827</v>
      </c>
      <c r="D42">
        <v>1</v>
      </c>
      <c r="E42" t="s">
        <v>2828</v>
      </c>
      <c r="F42" s="15" t="s">
        <v>806</v>
      </c>
      <c r="G42" s="155" t="s">
        <v>807</v>
      </c>
      <c r="H42" s="3">
        <f t="shared" si="0"/>
        <v>95</v>
      </c>
      <c r="I42" s="3">
        <v>15.2</v>
      </c>
    </row>
    <row r="43" spans="1:9">
      <c r="A43" t="s">
        <v>2837</v>
      </c>
      <c r="B43" s="1">
        <v>41758</v>
      </c>
      <c r="C43" t="s">
        <v>2218</v>
      </c>
      <c r="D43">
        <v>1</v>
      </c>
      <c r="E43" t="s">
        <v>2838</v>
      </c>
      <c r="F43" s="152" t="s">
        <v>796</v>
      </c>
      <c r="G43" s="149" t="s">
        <v>797</v>
      </c>
      <c r="H43" s="3">
        <f t="shared" si="0"/>
        <v>400.3125</v>
      </c>
      <c r="I43" s="3">
        <v>64.05</v>
      </c>
    </row>
    <row r="44" spans="1:9">
      <c r="A44" t="s">
        <v>1490</v>
      </c>
      <c r="B44" s="1">
        <v>41759</v>
      </c>
      <c r="C44" t="s">
        <v>693</v>
      </c>
      <c r="D44">
        <v>1</v>
      </c>
      <c r="E44" t="s">
        <v>2853</v>
      </c>
      <c r="F44" s="153" t="s">
        <v>792</v>
      </c>
      <c r="G44" s="169" t="s">
        <v>793</v>
      </c>
      <c r="H44" s="3">
        <f t="shared" si="0"/>
        <v>1333.1875</v>
      </c>
      <c r="I44" s="3">
        <v>213.31</v>
      </c>
    </row>
    <row r="45" spans="1:9">
      <c r="A45" t="s">
        <v>1431</v>
      </c>
      <c r="B45" s="1">
        <v>41751</v>
      </c>
      <c r="C45" t="s">
        <v>1523</v>
      </c>
      <c r="D45">
        <v>1</v>
      </c>
      <c r="E45" t="s">
        <v>2787</v>
      </c>
      <c r="F45" s="150" t="s">
        <v>802</v>
      </c>
      <c r="G45" s="149" t="s">
        <v>1542</v>
      </c>
      <c r="H45" s="3">
        <f t="shared" si="0"/>
        <v>350</v>
      </c>
      <c r="I45" s="3">
        <v>56</v>
      </c>
    </row>
    <row r="46" spans="1:9">
      <c r="A46" t="s">
        <v>557</v>
      </c>
      <c r="B46" s="1">
        <v>41744</v>
      </c>
      <c r="C46" t="s">
        <v>2218</v>
      </c>
      <c r="D46">
        <v>1</v>
      </c>
      <c r="E46" t="s">
        <v>2754</v>
      </c>
      <c r="F46" s="152" t="s">
        <v>796</v>
      </c>
      <c r="G46" s="149" t="s">
        <v>797</v>
      </c>
      <c r="H46" s="3">
        <f t="shared" si="0"/>
        <v>8216.5625</v>
      </c>
      <c r="I46" s="3">
        <v>1314.65</v>
      </c>
    </row>
    <row r="47" spans="1:9">
      <c r="A47" t="s">
        <v>2779</v>
      </c>
      <c r="B47" s="1">
        <v>41750</v>
      </c>
      <c r="C47" t="s">
        <v>2218</v>
      </c>
      <c r="D47">
        <v>1</v>
      </c>
      <c r="E47" t="s">
        <v>2780</v>
      </c>
      <c r="F47" s="152" t="s">
        <v>796</v>
      </c>
      <c r="G47" s="149" t="s">
        <v>797</v>
      </c>
      <c r="H47" s="3">
        <f t="shared" si="0"/>
        <v>1256.4375</v>
      </c>
      <c r="I47" s="3">
        <v>201.03</v>
      </c>
    </row>
    <row r="48" spans="1:9">
      <c r="A48" t="s">
        <v>615</v>
      </c>
      <c r="B48" s="1">
        <v>41755</v>
      </c>
      <c r="C48" t="s">
        <v>2823</v>
      </c>
      <c r="D48">
        <v>1</v>
      </c>
      <c r="E48" t="s">
        <v>2824</v>
      </c>
      <c r="F48" s="152" t="s">
        <v>796</v>
      </c>
      <c r="G48" s="149" t="s">
        <v>797</v>
      </c>
      <c r="H48" s="3">
        <f t="shared" si="0"/>
        <v>1379.5</v>
      </c>
      <c r="I48" s="3">
        <v>220.72</v>
      </c>
    </row>
    <row r="49" spans="1:9">
      <c r="A49" t="s">
        <v>1488</v>
      </c>
      <c r="B49" s="1">
        <v>41759</v>
      </c>
      <c r="C49" t="s">
        <v>2218</v>
      </c>
      <c r="D49">
        <v>1</v>
      </c>
      <c r="E49" t="s">
        <v>2852</v>
      </c>
      <c r="F49" s="152" t="s">
        <v>796</v>
      </c>
      <c r="G49" s="149" t="s">
        <v>797</v>
      </c>
      <c r="H49" s="3">
        <f t="shared" si="0"/>
        <v>181.3125</v>
      </c>
      <c r="I49" s="3">
        <v>29.01</v>
      </c>
    </row>
    <row r="50" spans="1:9">
      <c r="A50" t="s">
        <v>2794</v>
      </c>
      <c r="B50" s="1">
        <v>41751</v>
      </c>
      <c r="C50" t="s">
        <v>1528</v>
      </c>
      <c r="D50">
        <v>1</v>
      </c>
      <c r="E50" t="s">
        <v>2795</v>
      </c>
      <c r="F50" s="152" t="s">
        <v>798</v>
      </c>
      <c r="G50" s="154" t="s">
        <v>799</v>
      </c>
      <c r="H50" s="3">
        <f t="shared" si="0"/>
        <v>3415.625</v>
      </c>
      <c r="I50" s="3">
        <v>546.5</v>
      </c>
    </row>
    <row r="51" spans="1:9">
      <c r="A51" t="s">
        <v>2825</v>
      </c>
      <c r="B51" s="1">
        <v>41755</v>
      </c>
      <c r="C51" t="s">
        <v>1528</v>
      </c>
      <c r="D51">
        <v>1</v>
      </c>
      <c r="E51" t="s">
        <v>2826</v>
      </c>
      <c r="F51" s="152" t="s">
        <v>798</v>
      </c>
      <c r="G51" s="154" t="s">
        <v>799</v>
      </c>
      <c r="H51" s="3">
        <f t="shared" si="0"/>
        <v>556.0625</v>
      </c>
      <c r="I51" s="3">
        <v>88.97</v>
      </c>
    </row>
    <row r="52" spans="1:9">
      <c r="A52" t="s">
        <v>2839</v>
      </c>
      <c r="B52" s="1">
        <v>41758</v>
      </c>
      <c r="C52" t="s">
        <v>1528</v>
      </c>
      <c r="D52">
        <v>1</v>
      </c>
      <c r="E52" t="s">
        <v>2840</v>
      </c>
      <c r="F52" s="152" t="s">
        <v>798</v>
      </c>
      <c r="G52" s="154" t="s">
        <v>799</v>
      </c>
      <c r="H52" s="3">
        <f t="shared" si="0"/>
        <v>302.75</v>
      </c>
      <c r="I52" s="3">
        <v>48.44</v>
      </c>
    </row>
    <row r="53" spans="1:9" ht="18" customHeight="1">
      <c r="A53" t="s">
        <v>2209</v>
      </c>
      <c r="B53" s="1">
        <v>41751</v>
      </c>
      <c r="C53" t="s">
        <v>1525</v>
      </c>
      <c r="D53">
        <v>1</v>
      </c>
      <c r="E53" t="s">
        <v>2786</v>
      </c>
      <c r="F53" s="152" t="s">
        <v>804</v>
      </c>
      <c r="G53" s="154" t="s">
        <v>805</v>
      </c>
      <c r="H53" s="3">
        <f t="shared" si="0"/>
        <v>150</v>
      </c>
      <c r="I53" s="3">
        <v>24</v>
      </c>
    </row>
    <row r="54" spans="1:9">
      <c r="A54" t="s">
        <v>2498</v>
      </c>
      <c r="B54" s="1">
        <v>41751</v>
      </c>
      <c r="C54" t="s">
        <v>1520</v>
      </c>
      <c r="D54">
        <v>1</v>
      </c>
      <c r="E54" t="s">
        <v>2499</v>
      </c>
      <c r="F54" s="152" t="s">
        <v>800</v>
      </c>
      <c r="G54" s="154" t="s">
        <v>801</v>
      </c>
      <c r="H54" s="3">
        <f t="shared" si="0"/>
        <v>100</v>
      </c>
      <c r="I54" s="3">
        <v>16</v>
      </c>
    </row>
    <row r="55" spans="1:9">
      <c r="A55" t="s">
        <v>2619</v>
      </c>
      <c r="B55" s="1">
        <v>41759</v>
      </c>
      <c r="C55">
        <v>10066</v>
      </c>
      <c r="D55">
        <v>1</v>
      </c>
      <c r="E55" t="s">
        <v>355</v>
      </c>
      <c r="F55" s="151" t="s">
        <v>815</v>
      </c>
      <c r="G55" s="149" t="s">
        <v>355</v>
      </c>
      <c r="H55" s="3">
        <f t="shared" si="0"/>
        <v>1086.4375</v>
      </c>
      <c r="I55" s="3">
        <v>173.83</v>
      </c>
    </row>
    <row r="56" spans="1:9">
      <c r="A56" t="s">
        <v>2669</v>
      </c>
      <c r="B56" s="1">
        <v>41731</v>
      </c>
      <c r="C56" t="s">
        <v>2670</v>
      </c>
      <c r="D56">
        <v>1</v>
      </c>
      <c r="E56" t="s">
        <v>429</v>
      </c>
      <c r="F56" s="150" t="s">
        <v>818</v>
      </c>
      <c r="G56" s="149" t="s">
        <v>429</v>
      </c>
      <c r="H56" s="3">
        <f t="shared" si="0"/>
        <v>208819.99999999997</v>
      </c>
      <c r="I56" s="3">
        <v>33411.199999999997</v>
      </c>
    </row>
    <row r="57" spans="1:9">
      <c r="A57" t="s">
        <v>2671</v>
      </c>
      <c r="B57" s="1">
        <v>41732</v>
      </c>
      <c r="C57" t="s">
        <v>2672</v>
      </c>
      <c r="D57">
        <v>1</v>
      </c>
      <c r="E57" t="s">
        <v>429</v>
      </c>
      <c r="F57" s="150" t="s">
        <v>818</v>
      </c>
      <c r="G57" s="149" t="s">
        <v>429</v>
      </c>
      <c r="H57" s="3">
        <f t="shared" si="0"/>
        <v>4981.75</v>
      </c>
      <c r="I57" s="3">
        <v>797.08</v>
      </c>
    </row>
    <row r="58" spans="1:9">
      <c r="A58" t="s">
        <v>2673</v>
      </c>
      <c r="B58" s="1">
        <v>41732</v>
      </c>
      <c r="C58" t="s">
        <v>2674</v>
      </c>
      <c r="D58">
        <v>1</v>
      </c>
      <c r="E58" t="s">
        <v>429</v>
      </c>
      <c r="F58" s="150" t="s">
        <v>818</v>
      </c>
      <c r="G58" s="149" t="s">
        <v>429</v>
      </c>
      <c r="H58" s="3">
        <f t="shared" si="0"/>
        <v>8755</v>
      </c>
      <c r="I58" s="3">
        <v>1400.8</v>
      </c>
    </row>
    <row r="59" spans="1:9">
      <c r="A59" t="s">
        <v>1310</v>
      </c>
      <c r="B59" s="1">
        <v>41732</v>
      </c>
      <c r="C59" t="s">
        <v>2675</v>
      </c>
      <c r="D59">
        <v>1</v>
      </c>
      <c r="E59" t="s">
        <v>429</v>
      </c>
      <c r="F59" s="150" t="s">
        <v>818</v>
      </c>
      <c r="G59" s="149" t="s">
        <v>429</v>
      </c>
      <c r="H59" s="3">
        <f t="shared" si="0"/>
        <v>51500</v>
      </c>
      <c r="I59" s="3">
        <v>8240</v>
      </c>
    </row>
    <row r="60" spans="1:9">
      <c r="A60" t="s">
        <v>2676</v>
      </c>
      <c r="B60" s="1">
        <v>41732</v>
      </c>
      <c r="C60" t="s">
        <v>2677</v>
      </c>
      <c r="D60">
        <v>1</v>
      </c>
      <c r="E60" t="s">
        <v>429</v>
      </c>
      <c r="F60" s="150" t="s">
        <v>818</v>
      </c>
      <c r="G60" s="149" t="s">
        <v>429</v>
      </c>
      <c r="H60" s="3">
        <f t="shared" si="0"/>
        <v>17397.8125</v>
      </c>
      <c r="I60" s="3">
        <v>2783.65</v>
      </c>
    </row>
    <row r="61" spans="1:9">
      <c r="A61" t="s">
        <v>2678</v>
      </c>
      <c r="B61" s="1">
        <v>41733</v>
      </c>
      <c r="C61" t="s">
        <v>2679</v>
      </c>
      <c r="D61">
        <v>1</v>
      </c>
      <c r="E61" t="s">
        <v>429</v>
      </c>
      <c r="F61" s="150" t="s">
        <v>818</v>
      </c>
      <c r="G61" s="149" t="s">
        <v>429</v>
      </c>
      <c r="H61" s="3">
        <f t="shared" si="0"/>
        <v>12768.25</v>
      </c>
      <c r="I61" s="3">
        <v>2042.92</v>
      </c>
    </row>
    <row r="62" spans="1:9">
      <c r="A62" t="s">
        <v>438</v>
      </c>
      <c r="B62" s="1">
        <v>41733</v>
      </c>
      <c r="C62" t="s">
        <v>2680</v>
      </c>
      <c r="D62">
        <v>1</v>
      </c>
      <c r="E62" t="s">
        <v>429</v>
      </c>
      <c r="F62" s="150" t="s">
        <v>818</v>
      </c>
      <c r="G62" s="149" t="s">
        <v>429</v>
      </c>
      <c r="H62" s="3">
        <f t="shared" si="0"/>
        <v>15080</v>
      </c>
      <c r="I62" s="3">
        <v>2412.8000000000002</v>
      </c>
    </row>
    <row r="63" spans="1:9">
      <c r="A63" t="s">
        <v>1313</v>
      </c>
      <c r="B63" s="1">
        <v>41733</v>
      </c>
      <c r="C63" t="s">
        <v>2681</v>
      </c>
      <c r="D63">
        <v>1</v>
      </c>
      <c r="E63" t="s">
        <v>429</v>
      </c>
      <c r="F63" s="150" t="s">
        <v>818</v>
      </c>
      <c r="G63" s="149" t="s">
        <v>429</v>
      </c>
      <c r="H63" s="3">
        <f t="shared" si="0"/>
        <v>11649.3125</v>
      </c>
      <c r="I63" s="3">
        <v>1863.89</v>
      </c>
    </row>
    <row r="64" spans="1:9">
      <c r="A64" t="s">
        <v>2682</v>
      </c>
      <c r="B64" s="1">
        <v>41733</v>
      </c>
      <c r="C64" t="s">
        <v>2683</v>
      </c>
      <c r="D64">
        <v>1</v>
      </c>
      <c r="E64" t="s">
        <v>429</v>
      </c>
      <c r="F64" s="150" t="s">
        <v>818</v>
      </c>
      <c r="G64" s="149" t="s">
        <v>429</v>
      </c>
      <c r="H64" s="3">
        <f t="shared" si="0"/>
        <v>109895</v>
      </c>
      <c r="I64" s="3">
        <v>17583.2</v>
      </c>
    </row>
    <row r="65" spans="1:9">
      <c r="A65" t="s">
        <v>2684</v>
      </c>
      <c r="B65" s="1">
        <v>41734</v>
      </c>
      <c r="C65" t="s">
        <v>2685</v>
      </c>
      <c r="D65">
        <v>1</v>
      </c>
      <c r="E65" t="s">
        <v>429</v>
      </c>
      <c r="F65" s="150" t="s">
        <v>818</v>
      </c>
      <c r="G65" s="149" t="s">
        <v>429</v>
      </c>
      <c r="H65" s="3">
        <f t="shared" si="0"/>
        <v>1400.8125</v>
      </c>
      <c r="I65" s="3">
        <v>224.13</v>
      </c>
    </row>
    <row r="66" spans="1:9">
      <c r="A66" t="s">
        <v>2123</v>
      </c>
      <c r="B66" s="1">
        <v>41734</v>
      </c>
      <c r="C66" t="s">
        <v>2686</v>
      </c>
      <c r="D66">
        <v>1</v>
      </c>
      <c r="E66" t="s">
        <v>429</v>
      </c>
      <c r="F66" s="150" t="s">
        <v>818</v>
      </c>
      <c r="G66" s="149" t="s">
        <v>429</v>
      </c>
      <c r="H66" s="3">
        <f t="shared" si="0"/>
        <v>6289</v>
      </c>
      <c r="I66" s="3">
        <v>1006.24</v>
      </c>
    </row>
    <row r="67" spans="1:9">
      <c r="A67" t="s">
        <v>2690</v>
      </c>
      <c r="B67" s="1">
        <v>41736</v>
      </c>
      <c r="C67" t="s">
        <v>2691</v>
      </c>
      <c r="D67">
        <v>1</v>
      </c>
      <c r="E67" t="s">
        <v>429</v>
      </c>
      <c r="F67" s="150" t="s">
        <v>818</v>
      </c>
      <c r="G67" s="149" t="s">
        <v>429</v>
      </c>
      <c r="H67" s="3">
        <f t="shared" si="0"/>
        <v>6794</v>
      </c>
      <c r="I67" s="3">
        <v>1087.04</v>
      </c>
    </row>
    <row r="68" spans="1:9">
      <c r="A68" t="s">
        <v>457</v>
      </c>
      <c r="B68" s="1">
        <v>41737</v>
      </c>
      <c r="C68" t="s">
        <v>2693</v>
      </c>
      <c r="D68">
        <v>1</v>
      </c>
      <c r="E68" t="s">
        <v>429</v>
      </c>
      <c r="F68" s="150" t="s">
        <v>818</v>
      </c>
      <c r="G68" s="149" t="s">
        <v>429</v>
      </c>
      <c r="H68" s="3">
        <f t="shared" si="0"/>
        <v>2011.6875</v>
      </c>
      <c r="I68" s="3">
        <v>321.87</v>
      </c>
    </row>
    <row r="69" spans="1:9">
      <c r="A69" t="s">
        <v>2696</v>
      </c>
      <c r="B69" s="1">
        <v>41739</v>
      </c>
      <c r="C69" t="s">
        <v>2697</v>
      </c>
      <c r="D69">
        <v>1</v>
      </c>
      <c r="E69" t="s">
        <v>429</v>
      </c>
      <c r="F69" s="150" t="s">
        <v>818</v>
      </c>
      <c r="G69" s="149" t="s">
        <v>429</v>
      </c>
      <c r="H69" s="3">
        <f t="shared" si="0"/>
        <v>51500</v>
      </c>
      <c r="I69" s="3">
        <v>8240</v>
      </c>
    </row>
    <row r="70" spans="1:9">
      <c r="A70" t="s">
        <v>463</v>
      </c>
      <c r="B70" s="1">
        <v>41739</v>
      </c>
      <c r="C70" t="s">
        <v>2698</v>
      </c>
      <c r="D70">
        <v>1</v>
      </c>
      <c r="E70" t="s">
        <v>429</v>
      </c>
      <c r="F70" s="150" t="s">
        <v>818</v>
      </c>
      <c r="G70" s="149" t="s">
        <v>429</v>
      </c>
      <c r="H70" s="3">
        <f t="shared" si="0"/>
        <v>35724.5</v>
      </c>
      <c r="I70" s="3">
        <v>5715.92</v>
      </c>
    </row>
    <row r="71" spans="1:9">
      <c r="A71" t="s">
        <v>2699</v>
      </c>
      <c r="B71" s="1">
        <v>41739</v>
      </c>
      <c r="C71" t="s">
        <v>2700</v>
      </c>
      <c r="D71">
        <v>1</v>
      </c>
      <c r="E71" t="s">
        <v>429</v>
      </c>
      <c r="F71" s="150" t="s">
        <v>818</v>
      </c>
      <c r="G71" s="149" t="s">
        <v>429</v>
      </c>
      <c r="H71" s="3">
        <f t="shared" ref="H71:H134" si="1">+I71/0.16</f>
        <v>71688</v>
      </c>
      <c r="I71" s="3">
        <v>11470.08</v>
      </c>
    </row>
    <row r="72" spans="1:9">
      <c r="A72" t="s">
        <v>471</v>
      </c>
      <c r="B72" s="1">
        <v>41739</v>
      </c>
      <c r="C72" t="s">
        <v>2702</v>
      </c>
      <c r="D72">
        <v>1</v>
      </c>
      <c r="E72" t="s">
        <v>429</v>
      </c>
      <c r="F72" s="150" t="s">
        <v>818</v>
      </c>
      <c r="G72" s="149" t="s">
        <v>429</v>
      </c>
      <c r="H72" s="3">
        <f t="shared" si="1"/>
        <v>8961</v>
      </c>
      <c r="I72" s="3">
        <v>1433.76</v>
      </c>
    </row>
    <row r="73" spans="1:9">
      <c r="A73" t="s">
        <v>474</v>
      </c>
      <c r="B73" s="1">
        <v>41739</v>
      </c>
      <c r="C73" t="s">
        <v>2703</v>
      </c>
      <c r="D73">
        <v>1</v>
      </c>
      <c r="E73" t="s">
        <v>429</v>
      </c>
      <c r="F73" s="150" t="s">
        <v>818</v>
      </c>
      <c r="G73" s="149" t="s">
        <v>429</v>
      </c>
      <c r="H73" s="3">
        <f t="shared" si="1"/>
        <v>7168.8125</v>
      </c>
      <c r="I73" s="3">
        <v>1147.01</v>
      </c>
    </row>
    <row r="74" spans="1:9">
      <c r="A74" t="s">
        <v>1363</v>
      </c>
      <c r="B74" s="1">
        <v>41740</v>
      </c>
      <c r="C74" t="s">
        <v>2738</v>
      </c>
      <c r="D74">
        <v>1</v>
      </c>
      <c r="E74" t="s">
        <v>429</v>
      </c>
      <c r="F74" s="150" t="s">
        <v>818</v>
      </c>
      <c r="G74" s="149" t="s">
        <v>429</v>
      </c>
      <c r="H74" s="3">
        <f t="shared" si="1"/>
        <v>34410.25</v>
      </c>
      <c r="I74" s="3">
        <v>5505.64</v>
      </c>
    </row>
    <row r="75" spans="1:9">
      <c r="A75" t="s">
        <v>1370</v>
      </c>
      <c r="B75" s="1">
        <v>41740</v>
      </c>
      <c r="C75" t="s">
        <v>2739</v>
      </c>
      <c r="D75">
        <v>1</v>
      </c>
      <c r="E75" t="s">
        <v>429</v>
      </c>
      <c r="F75" s="150" t="s">
        <v>818</v>
      </c>
      <c r="G75" s="149" t="s">
        <v>429</v>
      </c>
      <c r="H75" s="3">
        <f t="shared" si="1"/>
        <v>70004.5</v>
      </c>
      <c r="I75" s="3">
        <v>11200.72</v>
      </c>
    </row>
    <row r="76" spans="1:9">
      <c r="A76" t="s">
        <v>1374</v>
      </c>
      <c r="B76" s="1">
        <v>41741</v>
      </c>
      <c r="C76" t="s">
        <v>2740</v>
      </c>
      <c r="D76">
        <v>1</v>
      </c>
      <c r="E76" t="s">
        <v>429</v>
      </c>
      <c r="F76" s="150" t="s">
        <v>818</v>
      </c>
      <c r="G76" s="149" t="s">
        <v>429</v>
      </c>
      <c r="H76" s="3">
        <f t="shared" si="1"/>
        <v>862.37499999999989</v>
      </c>
      <c r="I76" s="3">
        <v>137.97999999999999</v>
      </c>
    </row>
    <row r="77" spans="1:9">
      <c r="A77" t="s">
        <v>516</v>
      </c>
      <c r="B77" s="1">
        <v>41743</v>
      </c>
      <c r="C77" t="s">
        <v>2742</v>
      </c>
      <c r="D77">
        <v>1</v>
      </c>
      <c r="E77" t="s">
        <v>429</v>
      </c>
      <c r="F77" s="150" t="s">
        <v>818</v>
      </c>
      <c r="G77" s="149" t="s">
        <v>429</v>
      </c>
      <c r="H77" s="3">
        <f t="shared" si="1"/>
        <v>1100</v>
      </c>
      <c r="I77" s="3">
        <v>176</v>
      </c>
    </row>
    <row r="78" spans="1:9">
      <c r="A78" t="s">
        <v>525</v>
      </c>
      <c r="B78" s="1">
        <v>41743</v>
      </c>
      <c r="C78" t="s">
        <v>2743</v>
      </c>
      <c r="D78">
        <v>1</v>
      </c>
      <c r="E78" t="s">
        <v>429</v>
      </c>
      <c r="F78" s="150" t="s">
        <v>818</v>
      </c>
      <c r="G78" s="149" t="s">
        <v>429</v>
      </c>
      <c r="H78" s="3">
        <f t="shared" si="1"/>
        <v>376283.6875</v>
      </c>
      <c r="I78" s="3">
        <v>60205.39</v>
      </c>
    </row>
    <row r="79" spans="1:9">
      <c r="A79" t="s">
        <v>534</v>
      </c>
      <c r="B79" s="1">
        <v>41743</v>
      </c>
      <c r="C79" t="s">
        <v>2744</v>
      </c>
      <c r="D79">
        <v>1</v>
      </c>
      <c r="E79" t="s">
        <v>429</v>
      </c>
      <c r="F79" s="150" t="s">
        <v>818</v>
      </c>
      <c r="G79" s="149" t="s">
        <v>429</v>
      </c>
      <c r="H79" s="3">
        <f t="shared" si="1"/>
        <v>2778.75</v>
      </c>
      <c r="I79" s="3">
        <v>444.6</v>
      </c>
    </row>
    <row r="80" spans="1:9">
      <c r="A80" t="s">
        <v>539</v>
      </c>
      <c r="B80" s="1">
        <v>41744</v>
      </c>
      <c r="C80" t="s">
        <v>2745</v>
      </c>
      <c r="D80">
        <v>1</v>
      </c>
      <c r="E80" t="s">
        <v>429</v>
      </c>
      <c r="F80" s="150" t="s">
        <v>818</v>
      </c>
      <c r="G80" s="149" t="s">
        <v>429</v>
      </c>
      <c r="H80" s="3">
        <f t="shared" si="1"/>
        <v>10872.6875</v>
      </c>
      <c r="I80" s="3">
        <v>1739.63</v>
      </c>
    </row>
    <row r="81" spans="1:9">
      <c r="A81" t="s">
        <v>542</v>
      </c>
      <c r="B81" s="1">
        <v>41744</v>
      </c>
      <c r="C81" t="s">
        <v>2746</v>
      </c>
      <c r="D81">
        <v>1</v>
      </c>
      <c r="E81" t="s">
        <v>429</v>
      </c>
      <c r="F81" s="150" t="s">
        <v>818</v>
      </c>
      <c r="G81" s="149" t="s">
        <v>429</v>
      </c>
      <c r="H81" s="3">
        <f t="shared" si="1"/>
        <v>9860</v>
      </c>
      <c r="I81" s="3">
        <v>1577.6</v>
      </c>
    </row>
    <row r="82" spans="1:9">
      <c r="A82" t="s">
        <v>545</v>
      </c>
      <c r="B82" s="1">
        <v>41744</v>
      </c>
      <c r="C82" t="s">
        <v>2747</v>
      </c>
      <c r="D82">
        <v>1</v>
      </c>
      <c r="E82" t="s">
        <v>429</v>
      </c>
      <c r="F82" s="150" t="s">
        <v>818</v>
      </c>
      <c r="G82" s="149" t="s">
        <v>429</v>
      </c>
      <c r="H82" s="3">
        <f t="shared" si="1"/>
        <v>51500</v>
      </c>
      <c r="I82" s="3">
        <v>8240</v>
      </c>
    </row>
    <row r="83" spans="1:9">
      <c r="A83" t="s">
        <v>551</v>
      </c>
      <c r="B83" s="1">
        <v>41744</v>
      </c>
      <c r="C83" t="s">
        <v>2750</v>
      </c>
      <c r="D83">
        <v>1</v>
      </c>
      <c r="E83" t="s">
        <v>429</v>
      </c>
      <c r="F83" s="150" t="s">
        <v>818</v>
      </c>
      <c r="G83" s="149" t="s">
        <v>429</v>
      </c>
      <c r="H83" s="3">
        <f t="shared" si="1"/>
        <v>22284.5625</v>
      </c>
      <c r="I83" s="3">
        <v>3565.53</v>
      </c>
    </row>
    <row r="84" spans="1:9">
      <c r="A84" t="s">
        <v>2186</v>
      </c>
      <c r="B84" s="1">
        <v>41744</v>
      </c>
      <c r="C84" t="s">
        <v>2751</v>
      </c>
      <c r="D84">
        <v>1</v>
      </c>
      <c r="E84" t="s">
        <v>429</v>
      </c>
      <c r="F84" s="150" t="s">
        <v>818</v>
      </c>
      <c r="G84" s="149" t="s">
        <v>429</v>
      </c>
      <c r="H84" s="3">
        <f t="shared" si="1"/>
        <v>18180.8125</v>
      </c>
      <c r="I84" s="3">
        <v>2908.93</v>
      </c>
    </row>
    <row r="85" spans="1:9">
      <c r="A85" t="s">
        <v>555</v>
      </c>
      <c r="B85" s="1">
        <v>41744</v>
      </c>
      <c r="C85" t="s">
        <v>2753</v>
      </c>
      <c r="D85">
        <v>1</v>
      </c>
      <c r="E85" t="s">
        <v>429</v>
      </c>
      <c r="F85" s="150" t="s">
        <v>818</v>
      </c>
      <c r="G85" s="149" t="s">
        <v>429</v>
      </c>
      <c r="H85" s="3">
        <f t="shared" si="1"/>
        <v>6830.9375</v>
      </c>
      <c r="I85" s="3">
        <v>1092.95</v>
      </c>
    </row>
    <row r="86" spans="1:9">
      <c r="A86" t="s">
        <v>561</v>
      </c>
      <c r="B86" s="1">
        <v>41745</v>
      </c>
      <c r="C86" t="s">
        <v>2755</v>
      </c>
      <c r="D86">
        <v>1</v>
      </c>
      <c r="E86" t="s">
        <v>429</v>
      </c>
      <c r="F86" s="150" t="s">
        <v>818</v>
      </c>
      <c r="G86" s="149" t="s">
        <v>429</v>
      </c>
      <c r="H86" s="3">
        <f t="shared" si="1"/>
        <v>44765.3125</v>
      </c>
      <c r="I86" s="3">
        <v>7162.45</v>
      </c>
    </row>
    <row r="87" spans="1:9">
      <c r="A87" t="s">
        <v>2756</v>
      </c>
      <c r="B87" s="1">
        <v>41745</v>
      </c>
      <c r="C87" t="s">
        <v>2757</v>
      </c>
      <c r="D87">
        <v>1</v>
      </c>
      <c r="E87" t="s">
        <v>429</v>
      </c>
      <c r="F87" s="150" t="s">
        <v>818</v>
      </c>
      <c r="G87" s="149" t="s">
        <v>429</v>
      </c>
      <c r="H87" s="3">
        <f t="shared" si="1"/>
        <v>5714.25</v>
      </c>
      <c r="I87" s="3">
        <v>914.28</v>
      </c>
    </row>
    <row r="88" spans="1:9">
      <c r="A88" t="s">
        <v>1425</v>
      </c>
      <c r="B88" s="1">
        <v>41750</v>
      </c>
      <c r="C88" t="s">
        <v>2777</v>
      </c>
      <c r="D88">
        <v>1</v>
      </c>
      <c r="E88" t="s">
        <v>429</v>
      </c>
      <c r="F88" s="150" t="s">
        <v>818</v>
      </c>
      <c r="G88" s="149" t="s">
        <v>429</v>
      </c>
      <c r="H88" s="3">
        <f t="shared" si="1"/>
        <v>653.6875</v>
      </c>
      <c r="I88" s="3">
        <v>104.59</v>
      </c>
    </row>
    <row r="89" spans="1:9">
      <c r="A89" t="s">
        <v>1427</v>
      </c>
      <c r="B89" s="1">
        <v>41750</v>
      </c>
      <c r="C89" t="s">
        <v>2778</v>
      </c>
      <c r="D89">
        <v>1</v>
      </c>
      <c r="E89" t="s">
        <v>429</v>
      </c>
      <c r="F89" s="150" t="s">
        <v>818</v>
      </c>
      <c r="G89" s="149" t="s">
        <v>429</v>
      </c>
      <c r="H89" s="3">
        <f t="shared" si="1"/>
        <v>32323.125</v>
      </c>
      <c r="I89" s="3">
        <v>5171.7</v>
      </c>
    </row>
    <row r="90" spans="1:9">
      <c r="A90" t="s">
        <v>2781</v>
      </c>
      <c r="B90" s="1">
        <v>41751</v>
      </c>
      <c r="C90" t="s">
        <v>2782</v>
      </c>
      <c r="D90">
        <v>1</v>
      </c>
      <c r="E90" t="s">
        <v>429</v>
      </c>
      <c r="F90" s="150" t="s">
        <v>818</v>
      </c>
      <c r="G90" s="149" t="s">
        <v>429</v>
      </c>
      <c r="H90" s="3">
        <f t="shared" si="1"/>
        <v>2721.625</v>
      </c>
      <c r="I90" s="3">
        <v>435.46</v>
      </c>
    </row>
    <row r="91" spans="1:9">
      <c r="A91" t="s">
        <v>583</v>
      </c>
      <c r="B91" s="1">
        <v>41751</v>
      </c>
      <c r="C91" t="s">
        <v>2783</v>
      </c>
      <c r="D91">
        <v>1</v>
      </c>
      <c r="E91" t="s">
        <v>429</v>
      </c>
      <c r="F91" s="150" t="s">
        <v>818</v>
      </c>
      <c r="G91" s="149" t="s">
        <v>429</v>
      </c>
      <c r="H91" s="3">
        <f t="shared" si="1"/>
        <v>38907.9375</v>
      </c>
      <c r="I91" s="3">
        <v>6225.27</v>
      </c>
    </row>
    <row r="92" spans="1:9">
      <c r="A92" t="s">
        <v>2796</v>
      </c>
      <c r="B92" s="1">
        <v>41752</v>
      </c>
      <c r="C92" t="s">
        <v>2797</v>
      </c>
      <c r="D92">
        <v>1</v>
      </c>
      <c r="E92" t="s">
        <v>429</v>
      </c>
      <c r="F92" s="150" t="s">
        <v>818</v>
      </c>
      <c r="G92" s="149" t="s">
        <v>429</v>
      </c>
      <c r="H92" s="3">
        <f t="shared" si="1"/>
        <v>12296.6875</v>
      </c>
      <c r="I92" s="3">
        <v>1967.47</v>
      </c>
    </row>
    <row r="93" spans="1:9">
      <c r="A93" t="s">
        <v>606</v>
      </c>
      <c r="B93" s="1">
        <v>41754</v>
      </c>
      <c r="C93" t="s">
        <v>2821</v>
      </c>
      <c r="D93">
        <v>1</v>
      </c>
      <c r="E93" t="s">
        <v>429</v>
      </c>
      <c r="F93" s="150" t="s">
        <v>818</v>
      </c>
      <c r="G93" s="149" t="s">
        <v>429</v>
      </c>
      <c r="H93" s="3">
        <f t="shared" si="1"/>
        <v>14812.375</v>
      </c>
      <c r="I93" s="3">
        <v>2369.98</v>
      </c>
    </row>
    <row r="94" spans="1:9">
      <c r="A94" t="s">
        <v>609</v>
      </c>
      <c r="B94" s="1">
        <v>41754</v>
      </c>
      <c r="C94" t="s">
        <v>2822</v>
      </c>
      <c r="D94">
        <v>1</v>
      </c>
      <c r="E94" t="s">
        <v>429</v>
      </c>
      <c r="F94" s="150" t="s">
        <v>818</v>
      </c>
      <c r="G94" s="149" t="s">
        <v>429</v>
      </c>
      <c r="H94" s="3">
        <f t="shared" si="1"/>
        <v>61850.1875</v>
      </c>
      <c r="I94" s="3">
        <v>9896.0300000000007</v>
      </c>
    </row>
    <row r="95" spans="1:9">
      <c r="A95" t="s">
        <v>2244</v>
      </c>
      <c r="B95" s="1">
        <v>41758</v>
      </c>
      <c r="C95" t="s">
        <v>2835</v>
      </c>
      <c r="D95">
        <v>1</v>
      </c>
      <c r="E95" t="s">
        <v>429</v>
      </c>
      <c r="F95" s="150" t="s">
        <v>818</v>
      </c>
      <c r="G95" s="149" t="s">
        <v>429</v>
      </c>
      <c r="H95" s="3">
        <f t="shared" si="1"/>
        <v>1500.1875</v>
      </c>
      <c r="I95" s="3">
        <v>240.03</v>
      </c>
    </row>
    <row r="96" spans="1:9">
      <c r="A96" t="s">
        <v>651</v>
      </c>
      <c r="B96" s="1">
        <v>41758</v>
      </c>
      <c r="C96" t="s">
        <v>2836</v>
      </c>
      <c r="D96">
        <v>1</v>
      </c>
      <c r="E96" t="s">
        <v>429</v>
      </c>
      <c r="F96" s="150" t="s">
        <v>818</v>
      </c>
      <c r="G96" s="149" t="s">
        <v>429</v>
      </c>
      <c r="H96" s="3">
        <f t="shared" si="1"/>
        <v>143665.625</v>
      </c>
      <c r="I96" s="3">
        <v>22986.5</v>
      </c>
    </row>
    <row r="97" spans="1:9">
      <c r="A97" t="s">
        <v>655</v>
      </c>
      <c r="B97" s="1">
        <v>41759</v>
      </c>
      <c r="C97" t="s">
        <v>2845</v>
      </c>
      <c r="D97">
        <v>1</v>
      </c>
      <c r="E97" t="s">
        <v>429</v>
      </c>
      <c r="F97" s="150" t="s">
        <v>818</v>
      </c>
      <c r="G97" s="149" t="s">
        <v>429</v>
      </c>
      <c r="H97" s="3">
        <f t="shared" si="1"/>
        <v>1100</v>
      </c>
      <c r="I97" s="3">
        <v>176</v>
      </c>
    </row>
    <row r="98" spans="1:9">
      <c r="A98" t="s">
        <v>657</v>
      </c>
      <c r="B98" s="1">
        <v>41759</v>
      </c>
      <c r="C98" t="s">
        <v>2846</v>
      </c>
      <c r="D98">
        <v>1</v>
      </c>
      <c r="E98" t="s">
        <v>429</v>
      </c>
      <c r="F98" s="150" t="s">
        <v>818</v>
      </c>
      <c r="G98" s="149" t="s">
        <v>429</v>
      </c>
      <c r="H98" s="3">
        <f t="shared" si="1"/>
        <v>1955.2499999999998</v>
      </c>
      <c r="I98" s="3">
        <v>312.83999999999997</v>
      </c>
    </row>
    <row r="99" spans="1:9">
      <c r="A99" t="s">
        <v>659</v>
      </c>
      <c r="B99" s="1">
        <v>41759</v>
      </c>
      <c r="C99" t="s">
        <v>2847</v>
      </c>
      <c r="D99">
        <v>1</v>
      </c>
      <c r="E99" t="s">
        <v>429</v>
      </c>
      <c r="F99" s="150" t="s">
        <v>818</v>
      </c>
      <c r="G99" s="149" t="s">
        <v>429</v>
      </c>
      <c r="H99" s="3">
        <f t="shared" si="1"/>
        <v>4400</v>
      </c>
      <c r="I99" s="3">
        <v>704</v>
      </c>
    </row>
    <row r="100" spans="1:9">
      <c r="A100" t="s">
        <v>1477</v>
      </c>
      <c r="B100" s="1">
        <v>41759</v>
      </c>
      <c r="C100" t="s">
        <v>2848</v>
      </c>
      <c r="D100">
        <v>1</v>
      </c>
      <c r="E100" t="s">
        <v>429</v>
      </c>
      <c r="F100" s="150" t="s">
        <v>818</v>
      </c>
      <c r="G100" s="149" t="s">
        <v>429</v>
      </c>
      <c r="H100" s="3">
        <f t="shared" si="1"/>
        <v>15544.999999999998</v>
      </c>
      <c r="I100" s="3">
        <v>2487.1999999999998</v>
      </c>
    </row>
    <row r="101" spans="1:9">
      <c r="A101" t="s">
        <v>2546</v>
      </c>
      <c r="B101" s="1">
        <v>41754</v>
      </c>
      <c r="C101">
        <v>10000</v>
      </c>
      <c r="D101">
        <v>1</v>
      </c>
      <c r="E101" t="s">
        <v>268</v>
      </c>
      <c r="F101" s="180" t="s">
        <v>819</v>
      </c>
      <c r="G101" s="149" t="s">
        <v>268</v>
      </c>
      <c r="H101" s="3">
        <f t="shared" si="1"/>
        <v>142.25</v>
      </c>
      <c r="I101" s="3">
        <v>22.76</v>
      </c>
    </row>
    <row r="102" spans="1:9">
      <c r="A102" t="s">
        <v>1299</v>
      </c>
      <c r="B102" s="1">
        <v>41759</v>
      </c>
      <c r="C102">
        <v>10025</v>
      </c>
      <c r="D102">
        <v>1</v>
      </c>
      <c r="E102" t="s">
        <v>268</v>
      </c>
      <c r="F102" s="180" t="s">
        <v>819</v>
      </c>
      <c r="G102" s="149" t="s">
        <v>268</v>
      </c>
      <c r="H102" s="3">
        <f t="shared" si="1"/>
        <v>515.5</v>
      </c>
      <c r="I102" s="3">
        <v>82.48</v>
      </c>
    </row>
    <row r="103" spans="1:9">
      <c r="A103" t="s">
        <v>2601</v>
      </c>
      <c r="B103" s="1">
        <v>41759</v>
      </c>
      <c r="C103">
        <v>10047</v>
      </c>
      <c r="D103">
        <v>1</v>
      </c>
      <c r="E103" t="s">
        <v>268</v>
      </c>
      <c r="F103" s="151" t="s">
        <v>819</v>
      </c>
      <c r="G103" s="149" t="s">
        <v>268</v>
      </c>
      <c r="H103" s="3">
        <f t="shared" si="1"/>
        <v>79.25</v>
      </c>
      <c r="I103" s="3">
        <v>12.68</v>
      </c>
    </row>
    <row r="104" spans="1:9">
      <c r="A104" t="s">
        <v>497</v>
      </c>
      <c r="B104" s="1">
        <v>41739</v>
      </c>
      <c r="C104" t="s">
        <v>2726</v>
      </c>
      <c r="D104">
        <v>2</v>
      </c>
      <c r="E104" t="s">
        <v>456</v>
      </c>
      <c r="F104" s="180" t="s">
        <v>824</v>
      </c>
      <c r="G104" s="149" t="s">
        <v>456</v>
      </c>
      <c r="H104" s="3">
        <f t="shared" si="1"/>
        <v>9000</v>
      </c>
      <c r="I104" s="3">
        <v>1440</v>
      </c>
    </row>
    <row r="105" spans="1:9">
      <c r="A105" t="s">
        <v>568</v>
      </c>
      <c r="B105" s="1">
        <v>41745</v>
      </c>
      <c r="C105" t="s">
        <v>2764</v>
      </c>
      <c r="D105">
        <v>1</v>
      </c>
      <c r="E105" t="s">
        <v>533</v>
      </c>
      <c r="F105" s="180" t="s">
        <v>825</v>
      </c>
      <c r="G105" s="149" t="s">
        <v>533</v>
      </c>
      <c r="H105" s="3">
        <f t="shared" si="1"/>
        <v>22420.8125</v>
      </c>
      <c r="I105" s="3">
        <v>3587.33</v>
      </c>
    </row>
    <row r="106" spans="1:9">
      <c r="A106" t="s">
        <v>2207</v>
      </c>
      <c r="B106" s="1">
        <v>41745</v>
      </c>
      <c r="C106" t="s">
        <v>2776</v>
      </c>
      <c r="D106">
        <v>1</v>
      </c>
      <c r="E106" t="s">
        <v>533</v>
      </c>
      <c r="F106" s="180" t="s">
        <v>825</v>
      </c>
      <c r="G106" s="149" t="s">
        <v>533</v>
      </c>
      <c r="H106" s="3">
        <f t="shared" si="1"/>
        <v>21000</v>
      </c>
      <c r="I106" s="3">
        <v>3360</v>
      </c>
    </row>
    <row r="107" spans="1:9">
      <c r="A107" t="s">
        <v>1285</v>
      </c>
      <c r="B107" s="1">
        <v>41759</v>
      </c>
      <c r="C107">
        <v>10015</v>
      </c>
      <c r="D107">
        <v>1</v>
      </c>
      <c r="E107" t="s">
        <v>2592</v>
      </c>
      <c r="F107" s="180" t="s">
        <v>827</v>
      </c>
      <c r="G107" s="149" t="s">
        <v>2592</v>
      </c>
      <c r="H107" s="3">
        <f t="shared" si="1"/>
        <v>34.5</v>
      </c>
      <c r="I107" s="3">
        <v>5.52</v>
      </c>
    </row>
    <row r="108" spans="1:9">
      <c r="A108" t="s">
        <v>1344</v>
      </c>
      <c r="B108" s="1">
        <v>41739</v>
      </c>
      <c r="C108" t="s">
        <v>2723</v>
      </c>
      <c r="D108">
        <v>1</v>
      </c>
      <c r="E108" t="s">
        <v>541</v>
      </c>
      <c r="F108" s="149" t="s">
        <v>826</v>
      </c>
      <c r="G108" s="149" t="s">
        <v>541</v>
      </c>
      <c r="H108" s="3">
        <f t="shared" si="1"/>
        <v>575</v>
      </c>
      <c r="I108" s="3">
        <v>92</v>
      </c>
    </row>
    <row r="109" spans="1:9">
      <c r="A109" t="s">
        <v>1282</v>
      </c>
      <c r="B109" s="1">
        <v>41759</v>
      </c>
      <c r="C109">
        <v>10013</v>
      </c>
      <c r="D109">
        <v>1</v>
      </c>
      <c r="E109" t="s">
        <v>345</v>
      </c>
      <c r="F109" s="180" t="s">
        <v>827</v>
      </c>
      <c r="G109" s="149" t="s">
        <v>345</v>
      </c>
      <c r="H109" s="3">
        <f t="shared" si="1"/>
        <v>86.187499999999986</v>
      </c>
      <c r="I109" s="3">
        <v>13.79</v>
      </c>
    </row>
    <row r="110" spans="1:9">
      <c r="A110" t="s">
        <v>1648</v>
      </c>
      <c r="B110" s="1">
        <v>41759</v>
      </c>
      <c r="C110">
        <v>10024</v>
      </c>
      <c r="D110">
        <v>1</v>
      </c>
      <c r="E110" t="s">
        <v>2593</v>
      </c>
      <c r="F110" s="180" t="s">
        <v>1559</v>
      </c>
      <c r="G110" s="149" t="s">
        <v>2593</v>
      </c>
      <c r="H110" s="3">
        <f t="shared" si="1"/>
        <v>1939</v>
      </c>
      <c r="I110" s="3">
        <v>310.24</v>
      </c>
    </row>
    <row r="111" spans="1:9">
      <c r="A111" t="s">
        <v>1293</v>
      </c>
      <c r="B111" s="1">
        <v>41759</v>
      </c>
      <c r="C111">
        <v>10021</v>
      </c>
      <c r="D111">
        <v>1</v>
      </c>
      <c r="E111" t="s">
        <v>367</v>
      </c>
      <c r="F111" s="151" t="s">
        <v>830</v>
      </c>
      <c r="G111" s="149" t="s">
        <v>367</v>
      </c>
      <c r="H111" s="3">
        <f t="shared" si="1"/>
        <v>56.0625</v>
      </c>
      <c r="I111" s="3">
        <v>8.9700000000000006</v>
      </c>
    </row>
    <row r="112" spans="1:9">
      <c r="A112" t="s">
        <v>2603</v>
      </c>
      <c r="B112" s="1">
        <v>41759</v>
      </c>
      <c r="C112">
        <v>10049</v>
      </c>
      <c r="D112">
        <v>1</v>
      </c>
      <c r="E112" t="s">
        <v>367</v>
      </c>
      <c r="F112" s="151" t="s">
        <v>830</v>
      </c>
      <c r="G112" s="149" t="s">
        <v>367</v>
      </c>
      <c r="H112" s="3">
        <f t="shared" si="1"/>
        <v>59.499999999999993</v>
      </c>
      <c r="I112" s="3">
        <v>9.52</v>
      </c>
    </row>
    <row r="113" spans="1:9">
      <c r="A113" t="s">
        <v>2633</v>
      </c>
      <c r="B113" s="1">
        <v>41759</v>
      </c>
      <c r="C113">
        <v>10073</v>
      </c>
      <c r="D113">
        <v>1</v>
      </c>
      <c r="E113" t="s">
        <v>2634</v>
      </c>
      <c r="F113" s="180" t="s">
        <v>2868</v>
      </c>
      <c r="G113" s="149" t="s">
        <v>2634</v>
      </c>
      <c r="H113" s="3">
        <f t="shared" si="1"/>
        <v>390</v>
      </c>
      <c r="I113" s="3">
        <v>62.4</v>
      </c>
    </row>
    <row r="114" spans="1:9">
      <c r="A114" t="s">
        <v>2656</v>
      </c>
      <c r="B114" s="1">
        <v>41759</v>
      </c>
      <c r="C114" t="s">
        <v>2657</v>
      </c>
      <c r="D114">
        <v>1</v>
      </c>
      <c r="E114" t="s">
        <v>2634</v>
      </c>
      <c r="F114" s="180" t="s">
        <v>2868</v>
      </c>
      <c r="G114" s="149" t="s">
        <v>2634</v>
      </c>
      <c r="H114" s="3">
        <f t="shared" si="1"/>
        <v>659.5625</v>
      </c>
      <c r="I114" s="3">
        <v>105.53</v>
      </c>
    </row>
    <row r="115" spans="1:9">
      <c r="A115" t="s">
        <v>2860</v>
      </c>
      <c r="B115" s="1">
        <v>41744</v>
      </c>
      <c r="C115" t="s">
        <v>2861</v>
      </c>
      <c r="D115">
        <v>1</v>
      </c>
      <c r="E115" t="s">
        <v>2862</v>
      </c>
      <c r="F115" s="72" t="s">
        <v>831</v>
      </c>
      <c r="G115" s="8" t="s">
        <v>467</v>
      </c>
      <c r="H115" s="3">
        <f t="shared" si="1"/>
        <v>358.375</v>
      </c>
      <c r="I115" s="3">
        <v>57.34</v>
      </c>
    </row>
    <row r="116" spans="1:9">
      <c r="A116" t="s">
        <v>1992</v>
      </c>
      <c r="B116" s="1">
        <v>41759</v>
      </c>
      <c r="C116">
        <v>10055</v>
      </c>
      <c r="D116">
        <v>1</v>
      </c>
      <c r="E116" t="s">
        <v>2610</v>
      </c>
      <c r="F116" s="180" t="s">
        <v>2869</v>
      </c>
      <c r="G116" s="149" t="s">
        <v>2610</v>
      </c>
      <c r="H116" s="3">
        <f t="shared" si="1"/>
        <v>411.125</v>
      </c>
      <c r="I116" s="3">
        <v>65.78</v>
      </c>
    </row>
    <row r="117" spans="1:9">
      <c r="A117" t="s">
        <v>2481</v>
      </c>
      <c r="B117" s="1">
        <v>41745</v>
      </c>
      <c r="C117" t="s">
        <v>2482</v>
      </c>
      <c r="D117">
        <v>1</v>
      </c>
      <c r="E117" t="s">
        <v>2483</v>
      </c>
      <c r="F117" s="153" t="s">
        <v>2893</v>
      </c>
      <c r="G117" s="149" t="s">
        <v>2894</v>
      </c>
      <c r="H117" s="3">
        <f t="shared" si="1"/>
        <v>246689.9375</v>
      </c>
      <c r="I117" s="3">
        <v>39470.39</v>
      </c>
    </row>
    <row r="118" spans="1:9">
      <c r="A118" t="s">
        <v>1274</v>
      </c>
      <c r="B118" s="1">
        <v>41759</v>
      </c>
      <c r="C118">
        <v>10007</v>
      </c>
      <c r="D118">
        <v>1</v>
      </c>
      <c r="E118" t="s">
        <v>2020</v>
      </c>
      <c r="F118" s="182" t="s">
        <v>2292</v>
      </c>
      <c r="G118" s="149" t="s">
        <v>2020</v>
      </c>
      <c r="H118" s="3">
        <f t="shared" si="1"/>
        <v>586.1875</v>
      </c>
      <c r="I118" s="3">
        <v>93.79</v>
      </c>
    </row>
    <row r="119" spans="1:9">
      <c r="A119" t="s">
        <v>2611</v>
      </c>
      <c r="B119" s="1">
        <v>41759</v>
      </c>
      <c r="C119">
        <v>10056</v>
      </c>
      <c r="D119">
        <v>1</v>
      </c>
      <c r="E119" t="s">
        <v>2020</v>
      </c>
      <c r="F119" s="180" t="s">
        <v>2292</v>
      </c>
      <c r="G119" s="149" t="s">
        <v>2020</v>
      </c>
      <c r="H119" s="3">
        <f t="shared" si="1"/>
        <v>448.25</v>
      </c>
      <c r="I119" s="3">
        <v>71.72</v>
      </c>
    </row>
    <row r="120" spans="1:9">
      <c r="A120" t="s">
        <v>1597</v>
      </c>
      <c r="B120" s="1">
        <v>41759</v>
      </c>
      <c r="C120">
        <v>10009</v>
      </c>
      <c r="D120">
        <v>1</v>
      </c>
      <c r="E120" t="s">
        <v>343</v>
      </c>
      <c r="F120" s="180" t="s">
        <v>835</v>
      </c>
      <c r="G120" s="149" t="s">
        <v>343</v>
      </c>
      <c r="H120" s="3">
        <f t="shared" si="1"/>
        <v>532.25</v>
      </c>
      <c r="I120" s="3">
        <v>85.16</v>
      </c>
    </row>
    <row r="121" spans="1:9">
      <c r="A121" t="s">
        <v>2589</v>
      </c>
      <c r="B121" s="1">
        <v>41759</v>
      </c>
      <c r="C121">
        <v>10010</v>
      </c>
      <c r="D121">
        <v>1</v>
      </c>
      <c r="E121" t="s">
        <v>270</v>
      </c>
      <c r="F121" s="151" t="s">
        <v>836</v>
      </c>
      <c r="G121" s="149" t="s">
        <v>270</v>
      </c>
      <c r="H121" s="3">
        <f t="shared" si="1"/>
        <v>170.8125</v>
      </c>
      <c r="I121" s="3">
        <v>27.33</v>
      </c>
    </row>
    <row r="122" spans="1:9">
      <c r="A122" t="s">
        <v>2620</v>
      </c>
      <c r="B122" s="1">
        <v>41759</v>
      </c>
      <c r="C122">
        <v>10067</v>
      </c>
      <c r="D122">
        <v>1</v>
      </c>
      <c r="E122" t="s">
        <v>270</v>
      </c>
      <c r="F122" s="180" t="s">
        <v>836</v>
      </c>
      <c r="G122" s="149" t="s">
        <v>270</v>
      </c>
      <c r="H122" s="3">
        <f t="shared" si="1"/>
        <v>38.375</v>
      </c>
      <c r="I122" s="3">
        <v>6.14</v>
      </c>
    </row>
    <row r="123" spans="1:9">
      <c r="A123" t="s">
        <v>2597</v>
      </c>
      <c r="B123" s="1">
        <v>41759</v>
      </c>
      <c r="C123">
        <v>10045</v>
      </c>
      <c r="D123">
        <v>1</v>
      </c>
      <c r="E123" t="s">
        <v>2598</v>
      </c>
      <c r="F123" s="180" t="s">
        <v>2870</v>
      </c>
      <c r="G123" s="149" t="s">
        <v>2598</v>
      </c>
      <c r="H123" s="3">
        <f t="shared" si="1"/>
        <v>350</v>
      </c>
      <c r="I123" s="3">
        <v>56</v>
      </c>
    </row>
    <row r="124" spans="1:9">
      <c r="A124" t="s">
        <v>2792</v>
      </c>
      <c r="B124" s="1">
        <v>41751</v>
      </c>
      <c r="C124" t="s">
        <v>2793</v>
      </c>
      <c r="D124">
        <v>1</v>
      </c>
      <c r="E124" t="s">
        <v>453</v>
      </c>
      <c r="F124" s="180" t="s">
        <v>838</v>
      </c>
      <c r="G124" s="149" t="s">
        <v>453</v>
      </c>
      <c r="H124" s="3">
        <f t="shared" si="1"/>
        <v>10898.375</v>
      </c>
      <c r="I124" s="3">
        <v>1743.74</v>
      </c>
    </row>
    <row r="125" spans="1:9">
      <c r="A125" t="s">
        <v>1272</v>
      </c>
      <c r="B125" s="1">
        <v>41759</v>
      </c>
      <c r="C125">
        <v>10006</v>
      </c>
      <c r="D125">
        <v>1</v>
      </c>
      <c r="E125" t="s">
        <v>2588</v>
      </c>
      <c r="F125" s="180" t="s">
        <v>823</v>
      </c>
      <c r="G125" s="149" t="s">
        <v>2588</v>
      </c>
      <c r="H125" s="3">
        <f t="shared" si="1"/>
        <v>1300</v>
      </c>
      <c r="I125" s="3">
        <v>208</v>
      </c>
    </row>
    <row r="126" spans="1:9">
      <c r="A126" t="s">
        <v>513</v>
      </c>
      <c r="B126" s="1">
        <v>41741</v>
      </c>
      <c r="C126" t="s">
        <v>2741</v>
      </c>
      <c r="D126">
        <v>2</v>
      </c>
      <c r="E126" t="s">
        <v>2701</v>
      </c>
      <c r="F126" s="180" t="s">
        <v>1587</v>
      </c>
      <c r="G126" s="149" t="s">
        <v>2871</v>
      </c>
      <c r="H126" s="3">
        <f t="shared" si="1"/>
        <v>3560</v>
      </c>
      <c r="I126" s="3">
        <v>569.6</v>
      </c>
    </row>
    <row r="127" spans="1:9">
      <c r="A127" t="s">
        <v>1308</v>
      </c>
      <c r="B127" s="1">
        <v>41731</v>
      </c>
      <c r="C127" t="s">
        <v>2668</v>
      </c>
      <c r="D127">
        <v>1</v>
      </c>
      <c r="E127" t="s">
        <v>450</v>
      </c>
      <c r="F127" s="180" t="s">
        <v>2872</v>
      </c>
      <c r="G127" s="149" t="s">
        <v>2873</v>
      </c>
      <c r="H127" s="3">
        <f t="shared" si="1"/>
        <v>6947.4374999999991</v>
      </c>
      <c r="I127" s="3">
        <v>1111.5899999999999</v>
      </c>
    </row>
    <row r="128" spans="1:9">
      <c r="A128" t="s">
        <v>2606</v>
      </c>
      <c r="B128" s="1">
        <v>41759</v>
      </c>
      <c r="C128">
        <v>10053</v>
      </c>
      <c r="D128">
        <v>1</v>
      </c>
      <c r="E128" t="s">
        <v>2607</v>
      </c>
      <c r="F128" s="180" t="s">
        <v>2874</v>
      </c>
      <c r="G128" s="149" t="s">
        <v>2607</v>
      </c>
      <c r="H128" s="3">
        <f t="shared" si="1"/>
        <v>375</v>
      </c>
      <c r="I128" s="3">
        <v>60</v>
      </c>
    </row>
    <row r="129" spans="1:9">
      <c r="A129" t="s">
        <v>2541</v>
      </c>
      <c r="B129" s="1">
        <v>41754</v>
      </c>
      <c r="C129">
        <v>9993</v>
      </c>
      <c r="D129">
        <v>1</v>
      </c>
      <c r="E129" t="s">
        <v>2542</v>
      </c>
      <c r="F129" s="151" t="s">
        <v>845</v>
      </c>
      <c r="G129" s="149" t="s">
        <v>2542</v>
      </c>
      <c r="H129" s="3">
        <f t="shared" si="1"/>
        <v>425</v>
      </c>
      <c r="I129" s="3">
        <v>68</v>
      </c>
    </row>
    <row r="130" spans="1:9">
      <c r="A130" t="s">
        <v>572</v>
      </c>
      <c r="B130" s="1">
        <v>41745</v>
      </c>
      <c r="C130" t="s">
        <v>2767</v>
      </c>
      <c r="D130">
        <v>2</v>
      </c>
      <c r="E130" t="s">
        <v>2768</v>
      </c>
      <c r="F130" s="180" t="s">
        <v>2875</v>
      </c>
      <c r="G130" s="149" t="s">
        <v>2768</v>
      </c>
      <c r="H130" s="3">
        <f t="shared" si="1"/>
        <v>7995</v>
      </c>
      <c r="I130" s="3">
        <v>1279.2</v>
      </c>
    </row>
    <row r="131" spans="1:9">
      <c r="A131" t="s">
        <v>1350</v>
      </c>
      <c r="B131" s="1">
        <v>41739</v>
      </c>
      <c r="C131" t="s">
        <v>2731</v>
      </c>
      <c r="D131">
        <v>1</v>
      </c>
      <c r="E131" t="s">
        <v>499</v>
      </c>
      <c r="F131" s="180" t="s">
        <v>845</v>
      </c>
      <c r="G131" s="149" t="s">
        <v>499</v>
      </c>
      <c r="H131" s="3">
        <f t="shared" si="1"/>
        <v>2711.375</v>
      </c>
      <c r="I131" s="3">
        <v>433.82</v>
      </c>
    </row>
    <row r="132" spans="1:9">
      <c r="A132" t="s">
        <v>1229</v>
      </c>
      <c r="B132" s="1">
        <v>41759</v>
      </c>
      <c r="C132" t="s">
        <v>2586</v>
      </c>
      <c r="D132">
        <v>1</v>
      </c>
      <c r="E132" t="s">
        <v>1063</v>
      </c>
      <c r="F132" s="149" t="s">
        <v>1573</v>
      </c>
      <c r="G132" s="149" t="s">
        <v>1574</v>
      </c>
      <c r="H132" s="3">
        <f t="shared" si="1"/>
        <v>175582.31249999997</v>
      </c>
      <c r="I132" s="3">
        <v>28093.17</v>
      </c>
    </row>
    <row r="133" spans="1:9">
      <c r="A133" t="s">
        <v>2426</v>
      </c>
      <c r="B133" s="1">
        <v>41737</v>
      </c>
      <c r="C133" t="s">
        <v>1999</v>
      </c>
      <c r="D133">
        <v>1</v>
      </c>
      <c r="E133" t="s">
        <v>2000</v>
      </c>
      <c r="F133" s="149" t="s">
        <v>1573</v>
      </c>
      <c r="G133" s="149" t="s">
        <v>1574</v>
      </c>
      <c r="H133" s="3">
        <f t="shared" si="1"/>
        <v>-237511</v>
      </c>
      <c r="I133" s="3">
        <v>-38001.760000000002</v>
      </c>
    </row>
    <row r="134" spans="1:9">
      <c r="A134" t="s">
        <v>2818</v>
      </c>
      <c r="B134" s="1">
        <v>41754</v>
      </c>
      <c r="C134" t="s">
        <v>2819</v>
      </c>
      <c r="D134">
        <v>1</v>
      </c>
      <c r="E134" t="s">
        <v>2820</v>
      </c>
      <c r="F134" s="180" t="s">
        <v>2876</v>
      </c>
      <c r="G134" s="149" t="s">
        <v>2820</v>
      </c>
      <c r="H134" s="3">
        <f t="shared" si="1"/>
        <v>6000</v>
      </c>
      <c r="I134" s="3">
        <v>960</v>
      </c>
    </row>
    <row r="135" spans="1:9">
      <c r="A135" t="s">
        <v>2599</v>
      </c>
      <c r="B135" s="1">
        <v>41759</v>
      </c>
      <c r="C135">
        <v>10046</v>
      </c>
      <c r="D135">
        <v>1</v>
      </c>
      <c r="E135" t="s">
        <v>2600</v>
      </c>
      <c r="F135" s="180" t="s">
        <v>2877</v>
      </c>
      <c r="G135" s="149" t="s">
        <v>2600</v>
      </c>
      <c r="H135" s="3">
        <f t="shared" ref="H135:H198" si="2">+I135/0.16</f>
        <v>267.25</v>
      </c>
      <c r="I135" s="3">
        <v>42.76</v>
      </c>
    </row>
    <row r="136" spans="1:9">
      <c r="A136" t="s">
        <v>2614</v>
      </c>
      <c r="B136" s="1">
        <v>41759</v>
      </c>
      <c r="C136">
        <v>10061</v>
      </c>
      <c r="D136">
        <v>1</v>
      </c>
      <c r="E136" t="s">
        <v>2615</v>
      </c>
      <c r="F136" s="180" t="s">
        <v>2878</v>
      </c>
      <c r="G136" s="149" t="s">
        <v>2615</v>
      </c>
      <c r="H136" s="3">
        <f t="shared" si="2"/>
        <v>284.5</v>
      </c>
      <c r="I136" s="3">
        <v>45.52</v>
      </c>
    </row>
    <row r="137" spans="1:9">
      <c r="A137" t="s">
        <v>267</v>
      </c>
      <c r="B137" s="1">
        <v>41759</v>
      </c>
      <c r="C137">
        <v>10095</v>
      </c>
      <c r="D137">
        <v>1</v>
      </c>
      <c r="E137" t="s">
        <v>2661</v>
      </c>
      <c r="F137" s="180" t="s">
        <v>2878</v>
      </c>
      <c r="G137" s="149" t="s">
        <v>2661</v>
      </c>
      <c r="H137" s="3">
        <f t="shared" si="2"/>
        <v>165.9375</v>
      </c>
      <c r="I137" s="3">
        <v>26.55</v>
      </c>
    </row>
    <row r="138" spans="1:9">
      <c r="A138" t="s">
        <v>494</v>
      </c>
      <c r="B138" s="1">
        <v>41739</v>
      </c>
      <c r="C138" t="s">
        <v>2725</v>
      </c>
      <c r="D138">
        <v>1</v>
      </c>
      <c r="E138" t="s">
        <v>1472</v>
      </c>
      <c r="F138" s="180" t="s">
        <v>1575</v>
      </c>
      <c r="G138" s="149" t="s">
        <v>1472</v>
      </c>
      <c r="H138" s="3">
        <f t="shared" si="2"/>
        <v>6750</v>
      </c>
      <c r="I138" s="3">
        <v>1080</v>
      </c>
    </row>
    <row r="139" spans="1:9">
      <c r="A139" t="s">
        <v>2612</v>
      </c>
      <c r="B139" s="1">
        <v>41759</v>
      </c>
      <c r="C139">
        <v>10057</v>
      </c>
      <c r="D139">
        <v>1</v>
      </c>
      <c r="E139" t="s">
        <v>1750</v>
      </c>
      <c r="F139" s="180" t="s">
        <v>848</v>
      </c>
      <c r="G139" s="149" t="s">
        <v>1750</v>
      </c>
      <c r="H139" s="3">
        <f t="shared" si="2"/>
        <v>344.8125</v>
      </c>
      <c r="I139" s="3">
        <v>55.17</v>
      </c>
    </row>
    <row r="140" spans="1:9">
      <c r="A140" t="s">
        <v>1610</v>
      </c>
      <c r="B140" s="1">
        <v>41759</v>
      </c>
      <c r="C140">
        <v>10044</v>
      </c>
      <c r="D140">
        <v>1</v>
      </c>
      <c r="E140" t="s">
        <v>2596</v>
      </c>
      <c r="F140" s="180" t="s">
        <v>848</v>
      </c>
      <c r="G140" s="149" t="s">
        <v>2596</v>
      </c>
      <c r="H140" s="3">
        <f t="shared" si="2"/>
        <v>344.8125</v>
      </c>
      <c r="I140" s="3">
        <v>55.17</v>
      </c>
    </row>
    <row r="141" spans="1:9">
      <c r="A141" t="s">
        <v>1296</v>
      </c>
      <c r="B141" s="1">
        <v>41759</v>
      </c>
      <c r="C141">
        <v>10023</v>
      </c>
      <c r="D141">
        <v>1</v>
      </c>
      <c r="E141" t="s">
        <v>2025</v>
      </c>
      <c r="F141" s="180" t="s">
        <v>848</v>
      </c>
      <c r="G141" s="149" t="s">
        <v>2025</v>
      </c>
      <c r="H141" s="3">
        <f t="shared" si="2"/>
        <v>344.8125</v>
      </c>
      <c r="I141" s="3">
        <v>55.17</v>
      </c>
    </row>
    <row r="142" spans="1:9">
      <c r="A142" t="s">
        <v>2729</v>
      </c>
      <c r="B142" s="1">
        <v>41739</v>
      </c>
      <c r="C142" t="s">
        <v>2730</v>
      </c>
      <c r="D142">
        <v>1</v>
      </c>
      <c r="E142" t="s">
        <v>1389</v>
      </c>
      <c r="F142" s="180" t="s">
        <v>1576</v>
      </c>
      <c r="G142" s="149" t="s">
        <v>1389</v>
      </c>
      <c r="H142" s="3">
        <f t="shared" si="2"/>
        <v>359.375</v>
      </c>
      <c r="I142" s="3">
        <v>57.5</v>
      </c>
    </row>
    <row r="143" spans="1:9">
      <c r="A143" t="s">
        <v>2773</v>
      </c>
      <c r="B143" s="1">
        <v>41745</v>
      </c>
      <c r="C143" t="s">
        <v>2774</v>
      </c>
      <c r="D143">
        <v>1</v>
      </c>
      <c r="E143" t="s">
        <v>1389</v>
      </c>
      <c r="F143" s="180" t="s">
        <v>1576</v>
      </c>
      <c r="G143" s="149" t="s">
        <v>1389</v>
      </c>
      <c r="H143" s="3">
        <f t="shared" si="2"/>
        <v>199.75</v>
      </c>
      <c r="I143" s="3">
        <v>31.96</v>
      </c>
    </row>
    <row r="144" spans="1:9">
      <c r="A144" t="s">
        <v>1352</v>
      </c>
      <c r="B144" s="1">
        <v>41739</v>
      </c>
      <c r="C144" t="s">
        <v>2732</v>
      </c>
      <c r="D144">
        <v>2</v>
      </c>
      <c r="E144" t="s">
        <v>512</v>
      </c>
      <c r="F144" s="180" t="s">
        <v>849</v>
      </c>
      <c r="G144" s="149" t="s">
        <v>512</v>
      </c>
      <c r="H144" s="3">
        <f t="shared" si="2"/>
        <v>5959.5625</v>
      </c>
      <c r="I144" s="3">
        <v>953.53</v>
      </c>
    </row>
    <row r="145" spans="1:9">
      <c r="A145" t="s">
        <v>506</v>
      </c>
      <c r="B145" s="1">
        <v>41739</v>
      </c>
      <c r="C145" t="s">
        <v>2733</v>
      </c>
      <c r="D145">
        <v>2</v>
      </c>
      <c r="E145" t="s">
        <v>512</v>
      </c>
      <c r="F145" s="151" t="s">
        <v>849</v>
      </c>
      <c r="G145" s="149" t="s">
        <v>512</v>
      </c>
      <c r="H145" s="3">
        <f t="shared" si="2"/>
        <v>963.74999999999989</v>
      </c>
      <c r="I145" s="3">
        <v>154.19999999999999</v>
      </c>
    </row>
    <row r="146" spans="1:9">
      <c r="A146" t="s">
        <v>2188</v>
      </c>
      <c r="B146" s="1">
        <v>41744</v>
      </c>
      <c r="C146" t="s">
        <v>2752</v>
      </c>
      <c r="D146">
        <v>2</v>
      </c>
      <c r="E146" t="s">
        <v>512</v>
      </c>
      <c r="F146" s="180" t="s">
        <v>849</v>
      </c>
      <c r="G146" s="149" t="s">
        <v>512</v>
      </c>
      <c r="H146" s="3">
        <f t="shared" si="2"/>
        <v>2582.375</v>
      </c>
      <c r="I146" s="3">
        <v>413.18</v>
      </c>
    </row>
    <row r="147" spans="1:9">
      <c r="A147" t="s">
        <v>580</v>
      </c>
      <c r="B147" s="1">
        <v>41745</v>
      </c>
      <c r="C147" t="s">
        <v>2775</v>
      </c>
      <c r="D147">
        <v>2</v>
      </c>
      <c r="E147" t="s">
        <v>512</v>
      </c>
      <c r="F147" s="180" t="s">
        <v>849</v>
      </c>
      <c r="G147" s="149" t="s">
        <v>512</v>
      </c>
      <c r="H147" s="3">
        <f t="shared" si="2"/>
        <v>257.75</v>
      </c>
      <c r="I147" s="3">
        <v>41.24</v>
      </c>
    </row>
    <row r="148" spans="1:9">
      <c r="A148" t="s">
        <v>2807</v>
      </c>
      <c r="B148" s="1">
        <v>41754</v>
      </c>
      <c r="C148" t="s">
        <v>2808</v>
      </c>
      <c r="D148">
        <v>2</v>
      </c>
      <c r="E148" t="s">
        <v>512</v>
      </c>
      <c r="F148" s="180" t="s">
        <v>849</v>
      </c>
      <c r="G148" s="149" t="s">
        <v>512</v>
      </c>
      <c r="H148" s="3">
        <f t="shared" si="2"/>
        <v>4305.8125</v>
      </c>
      <c r="I148" s="3">
        <v>688.93</v>
      </c>
    </row>
    <row r="149" spans="1:9">
      <c r="A149" t="s">
        <v>2152</v>
      </c>
      <c r="B149" s="1">
        <v>41739</v>
      </c>
      <c r="C149" t="s">
        <v>2707</v>
      </c>
      <c r="D149">
        <v>1</v>
      </c>
      <c r="E149" t="s">
        <v>2708</v>
      </c>
      <c r="F149" s="180" t="s">
        <v>2879</v>
      </c>
      <c r="G149" s="149" t="s">
        <v>2708</v>
      </c>
      <c r="H149" s="3">
        <f t="shared" si="2"/>
        <v>824.4375</v>
      </c>
      <c r="I149" s="3">
        <v>131.91</v>
      </c>
    </row>
    <row r="150" spans="1:9">
      <c r="A150" t="s">
        <v>2805</v>
      </c>
      <c r="B150" s="1">
        <v>41754</v>
      </c>
      <c r="C150" t="s">
        <v>2806</v>
      </c>
      <c r="D150">
        <v>1</v>
      </c>
      <c r="E150" t="s">
        <v>2708</v>
      </c>
      <c r="F150" s="180" t="s">
        <v>2879</v>
      </c>
      <c r="G150" s="149" t="s">
        <v>2708</v>
      </c>
      <c r="H150" s="3">
        <f t="shared" si="2"/>
        <v>844.18749999999989</v>
      </c>
      <c r="I150" s="3">
        <v>135.07</v>
      </c>
    </row>
    <row r="151" spans="1:9">
      <c r="A151" t="s">
        <v>1407</v>
      </c>
      <c r="B151" s="1">
        <v>41745</v>
      </c>
      <c r="C151" t="s">
        <v>2760</v>
      </c>
      <c r="D151">
        <v>1</v>
      </c>
      <c r="E151" t="s">
        <v>1498</v>
      </c>
      <c r="F151" s="180" t="s">
        <v>1577</v>
      </c>
      <c r="G151" s="149" t="s">
        <v>1498</v>
      </c>
      <c r="H151" s="3">
        <f t="shared" si="2"/>
        <v>3500</v>
      </c>
      <c r="I151" s="3">
        <v>560</v>
      </c>
    </row>
    <row r="152" spans="1:9">
      <c r="A152" t="s">
        <v>481</v>
      </c>
      <c r="B152" s="1">
        <v>41739</v>
      </c>
      <c r="C152" t="s">
        <v>2706</v>
      </c>
      <c r="D152">
        <v>2</v>
      </c>
      <c r="E152" t="s">
        <v>608</v>
      </c>
      <c r="F152" s="149" t="s">
        <v>853</v>
      </c>
      <c r="G152" s="149" t="s">
        <v>608</v>
      </c>
      <c r="H152" s="3">
        <f t="shared" si="2"/>
        <v>882</v>
      </c>
      <c r="I152" s="3">
        <v>141.12</v>
      </c>
    </row>
    <row r="153" spans="1:9">
      <c r="A153" t="s">
        <v>604</v>
      </c>
      <c r="B153" s="1">
        <v>41754</v>
      </c>
      <c r="C153" t="s">
        <v>2803</v>
      </c>
      <c r="D153">
        <v>2</v>
      </c>
      <c r="E153" t="s">
        <v>608</v>
      </c>
      <c r="F153" s="180" t="s">
        <v>853</v>
      </c>
      <c r="G153" s="149" t="s">
        <v>608</v>
      </c>
      <c r="H153" s="3">
        <f t="shared" si="2"/>
        <v>798</v>
      </c>
      <c r="I153" s="3">
        <v>127.68</v>
      </c>
    </row>
    <row r="154" spans="1:9">
      <c r="A154" t="s">
        <v>668</v>
      </c>
      <c r="B154" s="1">
        <v>41759</v>
      </c>
      <c r="C154" t="s">
        <v>2849</v>
      </c>
      <c r="D154">
        <v>1</v>
      </c>
      <c r="E154" t="s">
        <v>2850</v>
      </c>
      <c r="F154" s="180" t="s">
        <v>2880</v>
      </c>
      <c r="G154" s="149" t="s">
        <v>2850</v>
      </c>
      <c r="H154" s="3">
        <f t="shared" si="2"/>
        <v>6034.5</v>
      </c>
      <c r="I154" s="3">
        <v>965.52</v>
      </c>
    </row>
    <row r="155" spans="1:9">
      <c r="A155" t="s">
        <v>2833</v>
      </c>
      <c r="B155" s="1">
        <v>41758</v>
      </c>
      <c r="C155" t="s">
        <v>2834</v>
      </c>
      <c r="D155">
        <v>1</v>
      </c>
      <c r="E155" t="s">
        <v>975</v>
      </c>
      <c r="F155" s="147" t="s">
        <v>974</v>
      </c>
      <c r="G155" s="148" t="s">
        <v>975</v>
      </c>
      <c r="H155" s="3">
        <f t="shared" si="2"/>
        <v>132978.75</v>
      </c>
      <c r="I155" s="3">
        <v>21276.6</v>
      </c>
    </row>
    <row r="156" spans="1:9">
      <c r="A156" t="s">
        <v>2582</v>
      </c>
      <c r="B156" s="1">
        <v>41759</v>
      </c>
      <c r="C156" t="s">
        <v>2583</v>
      </c>
      <c r="D156">
        <v>1</v>
      </c>
      <c r="E156" t="s">
        <v>2584</v>
      </c>
      <c r="F156" s="161" t="s">
        <v>742</v>
      </c>
      <c r="G156" s="149" t="s">
        <v>743</v>
      </c>
      <c r="H156" s="3">
        <f t="shared" si="2"/>
        <v>217536.93750000003</v>
      </c>
      <c r="I156" s="3">
        <v>34805.910000000003</v>
      </c>
    </row>
    <row r="157" spans="1:9">
      <c r="A157" t="s">
        <v>2434</v>
      </c>
      <c r="B157" s="1">
        <v>41738</v>
      </c>
      <c r="C157" t="s">
        <v>2435</v>
      </c>
      <c r="D157">
        <v>1</v>
      </c>
      <c r="E157" t="s">
        <v>2436</v>
      </c>
      <c r="F157" s="161" t="s">
        <v>742</v>
      </c>
      <c r="G157" s="149" t="s">
        <v>743</v>
      </c>
      <c r="H157" s="3">
        <f t="shared" si="2"/>
        <v>382307.875</v>
      </c>
      <c r="I157" s="3">
        <v>61169.26</v>
      </c>
    </row>
    <row r="158" spans="1:9">
      <c r="A158" t="s">
        <v>2687</v>
      </c>
      <c r="B158" s="1">
        <v>41734</v>
      </c>
      <c r="C158" t="s">
        <v>2688</v>
      </c>
      <c r="D158">
        <v>1</v>
      </c>
      <c r="E158" t="s">
        <v>2689</v>
      </c>
      <c r="F158" s="180" t="s">
        <v>2891</v>
      </c>
      <c r="G158" s="149" t="s">
        <v>2892</v>
      </c>
      <c r="H158" s="3">
        <f t="shared" si="2"/>
        <v>16071.437499999998</v>
      </c>
      <c r="I158" s="3">
        <v>2571.4299999999998</v>
      </c>
    </row>
    <row r="159" spans="1:9">
      <c r="A159" t="s">
        <v>586</v>
      </c>
      <c r="B159" s="1">
        <v>41751</v>
      </c>
      <c r="C159" t="s">
        <v>2784</v>
      </c>
      <c r="D159">
        <v>1</v>
      </c>
      <c r="E159" t="s">
        <v>2785</v>
      </c>
      <c r="H159" s="3">
        <f t="shared" si="2"/>
        <v>155172.4375</v>
      </c>
      <c r="I159" s="3">
        <v>24827.59</v>
      </c>
    </row>
    <row r="160" spans="1:9">
      <c r="A160" t="s">
        <v>2503</v>
      </c>
      <c r="B160" s="1">
        <v>41753</v>
      </c>
      <c r="C160" t="s">
        <v>2504</v>
      </c>
      <c r="D160">
        <v>1</v>
      </c>
      <c r="E160" t="s">
        <v>2505</v>
      </c>
      <c r="F160" s="150" t="s">
        <v>858</v>
      </c>
      <c r="G160" s="149" t="s">
        <v>859</v>
      </c>
      <c r="H160" s="3">
        <f t="shared" si="2"/>
        <v>1587.625</v>
      </c>
      <c r="I160" s="3">
        <v>254.02</v>
      </c>
    </row>
    <row r="161" spans="1:11">
      <c r="A161" t="s">
        <v>1921</v>
      </c>
      <c r="B161" s="1">
        <v>41753</v>
      </c>
      <c r="C161" t="s">
        <v>2501</v>
      </c>
      <c r="D161">
        <v>1</v>
      </c>
      <c r="E161" t="s">
        <v>2502</v>
      </c>
      <c r="F161" s="150" t="s">
        <v>858</v>
      </c>
      <c r="G161" s="149" t="s">
        <v>859</v>
      </c>
      <c r="H161" s="3">
        <f t="shared" si="2"/>
        <v>3571.125</v>
      </c>
      <c r="I161" s="3">
        <v>571.38</v>
      </c>
    </row>
    <row r="162" spans="1:11">
      <c r="A162" t="s">
        <v>1033</v>
      </c>
      <c r="B162" s="1">
        <v>41739</v>
      </c>
      <c r="C162" t="s">
        <v>2437</v>
      </c>
      <c r="D162">
        <v>1</v>
      </c>
      <c r="E162" t="s">
        <v>2438</v>
      </c>
      <c r="H162" s="3">
        <f t="shared" si="2"/>
        <v>14963.624999999998</v>
      </c>
      <c r="I162" s="3">
        <v>2394.1799999999998</v>
      </c>
    </row>
    <row r="163" spans="1:11">
      <c r="A163" t="s">
        <v>2809</v>
      </c>
      <c r="B163" s="1">
        <v>41754</v>
      </c>
      <c r="C163" t="s">
        <v>2810</v>
      </c>
      <c r="D163">
        <v>1</v>
      </c>
      <c r="E163" t="s">
        <v>2811</v>
      </c>
      <c r="F163" s="180" t="s">
        <v>876</v>
      </c>
      <c r="G163" s="149" t="s">
        <v>2811</v>
      </c>
      <c r="H163" s="3">
        <f t="shared" si="2"/>
        <v>1665.25</v>
      </c>
      <c r="I163" s="3">
        <v>266.44</v>
      </c>
    </row>
    <row r="164" spans="1:11">
      <c r="A164" t="s">
        <v>38</v>
      </c>
      <c r="B164" s="1">
        <v>41740</v>
      </c>
      <c r="C164" t="s">
        <v>2443</v>
      </c>
      <c r="D164">
        <v>1</v>
      </c>
      <c r="E164" t="s">
        <v>109</v>
      </c>
      <c r="F164" s="150" t="s">
        <v>858</v>
      </c>
      <c r="G164" s="149" t="s">
        <v>859</v>
      </c>
      <c r="H164" s="3">
        <f t="shared" si="2"/>
        <v>19165.25</v>
      </c>
      <c r="I164" s="3">
        <v>3066.44</v>
      </c>
    </row>
    <row r="165" spans="1:11">
      <c r="A165" t="s">
        <v>1356</v>
      </c>
      <c r="B165" s="1">
        <v>41739</v>
      </c>
      <c r="C165" t="s">
        <v>2735</v>
      </c>
      <c r="D165">
        <v>1</v>
      </c>
      <c r="E165" t="s">
        <v>2736</v>
      </c>
      <c r="F165" s="184" t="s">
        <v>890</v>
      </c>
      <c r="G165" s="137" t="s">
        <v>521</v>
      </c>
      <c r="H165" s="3">
        <f t="shared" si="2"/>
        <v>100.4375</v>
      </c>
      <c r="I165" s="3">
        <v>16.07</v>
      </c>
    </row>
    <row r="166" spans="1:11">
      <c r="A166" t="s">
        <v>2716</v>
      </c>
      <c r="B166" s="1">
        <v>41739</v>
      </c>
      <c r="C166" t="s">
        <v>2717</v>
      </c>
      <c r="D166">
        <v>1</v>
      </c>
      <c r="E166" t="s">
        <v>1367</v>
      </c>
      <c r="F166" s="184" t="s">
        <v>894</v>
      </c>
      <c r="G166" s="137" t="s">
        <v>502</v>
      </c>
      <c r="H166" s="3">
        <f t="shared" si="2"/>
        <v>10612.5625</v>
      </c>
      <c r="I166" s="3">
        <v>1698.01</v>
      </c>
      <c r="J166" s="188" t="e">
        <f>+H166-#REF!</f>
        <v>#REF!</v>
      </c>
      <c r="K166" s="3" t="e">
        <f>+I166-#REF!</f>
        <v>#REF!</v>
      </c>
    </row>
    <row r="167" spans="1:11">
      <c r="A167" t="s">
        <v>503</v>
      </c>
      <c r="B167" s="1">
        <v>41739</v>
      </c>
      <c r="C167" t="s">
        <v>2728</v>
      </c>
      <c r="D167">
        <v>1</v>
      </c>
      <c r="E167" t="s">
        <v>1367</v>
      </c>
      <c r="F167" s="184" t="s">
        <v>894</v>
      </c>
      <c r="G167" s="137" t="s">
        <v>502</v>
      </c>
      <c r="H167" s="3">
        <f t="shared" si="2"/>
        <v>5584.5625</v>
      </c>
      <c r="I167" s="3">
        <v>893.53</v>
      </c>
    </row>
    <row r="168" spans="1:11">
      <c r="A168" t="s">
        <v>566</v>
      </c>
      <c r="B168" s="1">
        <v>41745</v>
      </c>
      <c r="C168" t="s">
        <v>2763</v>
      </c>
      <c r="D168">
        <v>1</v>
      </c>
      <c r="E168" t="s">
        <v>1367</v>
      </c>
      <c r="F168" s="184" t="s">
        <v>894</v>
      </c>
      <c r="G168" s="137" t="s">
        <v>502</v>
      </c>
      <c r="H168" s="3">
        <f t="shared" si="2"/>
        <v>20626.4375</v>
      </c>
      <c r="I168" s="3">
        <v>3300.23</v>
      </c>
    </row>
    <row r="169" spans="1:11">
      <c r="A169" t="s">
        <v>2812</v>
      </c>
      <c r="B169" s="1">
        <v>41754</v>
      </c>
      <c r="C169" t="s">
        <v>2813</v>
      </c>
      <c r="D169">
        <v>1</v>
      </c>
      <c r="E169" t="s">
        <v>1367</v>
      </c>
      <c r="F169" s="184" t="s">
        <v>894</v>
      </c>
      <c r="G169" s="137" t="s">
        <v>502</v>
      </c>
      <c r="H169" s="3">
        <f t="shared" si="2"/>
        <v>17756.4375</v>
      </c>
      <c r="I169" s="3">
        <v>2841.03</v>
      </c>
    </row>
    <row r="170" spans="1:11">
      <c r="A170" t="s">
        <v>1444</v>
      </c>
      <c r="B170" s="1">
        <v>41754</v>
      </c>
      <c r="C170" t="s">
        <v>2804</v>
      </c>
      <c r="D170">
        <v>2</v>
      </c>
      <c r="E170" t="s">
        <v>590</v>
      </c>
      <c r="F170" s="180" t="s">
        <v>861</v>
      </c>
      <c r="G170" s="149" t="s">
        <v>590</v>
      </c>
      <c r="H170" s="3">
        <f t="shared" si="2"/>
        <v>4897.9375</v>
      </c>
      <c r="I170" s="3">
        <v>783.67</v>
      </c>
    </row>
    <row r="171" spans="1:11">
      <c r="A171" t="s">
        <v>1288</v>
      </c>
      <c r="B171" s="1">
        <v>41759</v>
      </c>
      <c r="C171">
        <v>10017</v>
      </c>
      <c r="D171">
        <v>1</v>
      </c>
      <c r="E171" t="s">
        <v>291</v>
      </c>
      <c r="F171" s="180" t="s">
        <v>863</v>
      </c>
      <c r="G171" s="149" t="s">
        <v>291</v>
      </c>
      <c r="H171" s="3">
        <f t="shared" si="2"/>
        <v>258.9375</v>
      </c>
      <c r="I171" s="3">
        <v>41.43</v>
      </c>
    </row>
    <row r="172" spans="1:11">
      <c r="A172" t="s">
        <v>2547</v>
      </c>
      <c r="B172" s="1">
        <v>41754</v>
      </c>
      <c r="C172">
        <v>10003</v>
      </c>
      <c r="D172">
        <v>1</v>
      </c>
      <c r="E172" t="s">
        <v>347</v>
      </c>
      <c r="F172" s="151" t="s">
        <v>865</v>
      </c>
      <c r="G172" s="149" t="s">
        <v>347</v>
      </c>
      <c r="H172" s="3">
        <f t="shared" si="2"/>
        <v>358.5</v>
      </c>
      <c r="I172" s="3">
        <v>57.36</v>
      </c>
    </row>
    <row r="173" spans="1:11">
      <c r="A173" t="s">
        <v>1418</v>
      </c>
      <c r="B173" s="1">
        <v>41745</v>
      </c>
      <c r="C173" t="s">
        <v>2771</v>
      </c>
      <c r="D173">
        <v>1</v>
      </c>
      <c r="E173" t="s">
        <v>640</v>
      </c>
      <c r="F173" s="180" t="s">
        <v>866</v>
      </c>
      <c r="G173" s="149" t="s">
        <v>640</v>
      </c>
      <c r="H173" s="3">
        <f t="shared" si="2"/>
        <v>3274</v>
      </c>
      <c r="I173" s="3">
        <v>523.84</v>
      </c>
    </row>
    <row r="174" spans="1:11">
      <c r="A174" t="s">
        <v>1646</v>
      </c>
      <c r="B174" s="1">
        <v>41759</v>
      </c>
      <c r="C174">
        <v>10018</v>
      </c>
      <c r="D174">
        <v>1</v>
      </c>
      <c r="E174" t="s">
        <v>1090</v>
      </c>
      <c r="F174" s="183" t="s">
        <v>1579</v>
      </c>
      <c r="G174" s="149" t="s">
        <v>1090</v>
      </c>
      <c r="H174" s="3">
        <f t="shared" si="2"/>
        <v>80</v>
      </c>
      <c r="I174" s="3">
        <v>12.8</v>
      </c>
    </row>
    <row r="175" spans="1:11">
      <c r="A175" t="s">
        <v>2635</v>
      </c>
      <c r="B175" s="1">
        <v>41759</v>
      </c>
      <c r="C175" t="s">
        <v>2636</v>
      </c>
      <c r="D175">
        <v>1</v>
      </c>
      <c r="E175" t="s">
        <v>364</v>
      </c>
      <c r="F175" s="180" t="s">
        <v>868</v>
      </c>
      <c r="G175" s="149" t="s">
        <v>364</v>
      </c>
      <c r="H175" s="3">
        <f t="shared" si="2"/>
        <v>172.4375</v>
      </c>
      <c r="I175" s="3">
        <v>27.59</v>
      </c>
    </row>
    <row r="176" spans="1:11">
      <c r="A176" t="s">
        <v>2645</v>
      </c>
      <c r="B176" s="1">
        <v>41759</v>
      </c>
      <c r="C176" t="s">
        <v>2646</v>
      </c>
      <c r="D176">
        <v>1</v>
      </c>
      <c r="E176" t="s">
        <v>364</v>
      </c>
      <c r="F176" s="180" t="s">
        <v>868</v>
      </c>
      <c r="G176" s="149" t="s">
        <v>364</v>
      </c>
      <c r="H176" s="3">
        <f t="shared" si="2"/>
        <v>172.4375</v>
      </c>
      <c r="I176" s="3">
        <v>27.59</v>
      </c>
    </row>
    <row r="177" spans="1:9">
      <c r="A177" t="s">
        <v>2647</v>
      </c>
      <c r="B177" s="1">
        <v>41759</v>
      </c>
      <c r="C177" t="s">
        <v>2648</v>
      </c>
      <c r="D177">
        <v>1</v>
      </c>
      <c r="E177" t="s">
        <v>364</v>
      </c>
      <c r="F177" s="180" t="s">
        <v>868</v>
      </c>
      <c r="G177" s="149" t="s">
        <v>364</v>
      </c>
      <c r="H177" s="3">
        <f t="shared" si="2"/>
        <v>344.875</v>
      </c>
      <c r="I177" s="3">
        <v>55.18</v>
      </c>
    </row>
    <row r="178" spans="1:9">
      <c r="A178" t="s">
        <v>255</v>
      </c>
      <c r="B178" s="1">
        <v>41759</v>
      </c>
      <c r="C178" t="s">
        <v>2653</v>
      </c>
      <c r="D178">
        <v>1</v>
      </c>
      <c r="E178" t="s">
        <v>364</v>
      </c>
      <c r="F178" s="180" t="s">
        <v>868</v>
      </c>
      <c r="G178" s="149" t="s">
        <v>364</v>
      </c>
      <c r="H178" s="3">
        <f t="shared" si="2"/>
        <v>344.875</v>
      </c>
      <c r="I178" s="3">
        <v>55.18</v>
      </c>
    </row>
    <row r="179" spans="1:9">
      <c r="A179" t="s">
        <v>2660</v>
      </c>
      <c r="B179" s="1">
        <v>41759</v>
      </c>
      <c r="C179">
        <v>10093</v>
      </c>
      <c r="D179">
        <v>1</v>
      </c>
      <c r="E179" t="s">
        <v>364</v>
      </c>
      <c r="F179" s="180" t="s">
        <v>868</v>
      </c>
      <c r="G179" s="149" t="s">
        <v>364</v>
      </c>
      <c r="H179" s="3">
        <f t="shared" si="2"/>
        <v>172.4375</v>
      </c>
      <c r="I179" s="3">
        <v>27.59</v>
      </c>
    </row>
    <row r="180" spans="1:9">
      <c r="A180" t="s">
        <v>2663</v>
      </c>
      <c r="B180" s="1">
        <v>41759</v>
      </c>
      <c r="C180" t="s">
        <v>2664</v>
      </c>
      <c r="D180">
        <v>1</v>
      </c>
      <c r="E180" t="s">
        <v>364</v>
      </c>
      <c r="F180" s="180" t="s">
        <v>868</v>
      </c>
      <c r="G180" s="149" t="s">
        <v>364</v>
      </c>
      <c r="H180" s="3">
        <f t="shared" si="2"/>
        <v>172.4375</v>
      </c>
      <c r="I180" s="3">
        <v>27.59</v>
      </c>
    </row>
    <row r="181" spans="1:9">
      <c r="A181" t="s">
        <v>2790</v>
      </c>
      <c r="B181" s="1">
        <v>41751</v>
      </c>
      <c r="C181" t="s">
        <v>2791</v>
      </c>
      <c r="D181">
        <v>1</v>
      </c>
      <c r="E181" t="s">
        <v>2202</v>
      </c>
      <c r="F181" s="187" t="s">
        <v>1553</v>
      </c>
      <c r="G181" t="s">
        <v>2398</v>
      </c>
      <c r="H181" s="3">
        <f t="shared" si="2"/>
        <v>288.375</v>
      </c>
      <c r="I181" s="3">
        <v>46.14</v>
      </c>
    </row>
    <row r="182" spans="1:9">
      <c r="A182" t="s">
        <v>576</v>
      </c>
      <c r="B182" s="1">
        <v>41745</v>
      </c>
      <c r="C182" t="s">
        <v>2770</v>
      </c>
      <c r="D182">
        <v>1</v>
      </c>
      <c r="E182" t="s">
        <v>535</v>
      </c>
      <c r="F182" s="180" t="s">
        <v>764</v>
      </c>
      <c r="G182" s="149" t="s">
        <v>535</v>
      </c>
      <c r="H182" s="3">
        <f t="shared" si="2"/>
        <v>1720</v>
      </c>
      <c r="I182" s="3">
        <v>275.2</v>
      </c>
    </row>
    <row r="183" spans="1:9">
      <c r="A183" t="s">
        <v>510</v>
      </c>
      <c r="B183" s="1">
        <v>41739</v>
      </c>
      <c r="C183" t="s">
        <v>2737</v>
      </c>
      <c r="D183">
        <v>1</v>
      </c>
      <c r="E183" t="s">
        <v>643</v>
      </c>
      <c r="F183" s="180" t="s">
        <v>870</v>
      </c>
      <c r="G183" s="149" t="s">
        <v>643</v>
      </c>
      <c r="H183" s="3">
        <f t="shared" si="2"/>
        <v>4209</v>
      </c>
      <c r="I183" s="3">
        <v>673.44</v>
      </c>
    </row>
    <row r="184" spans="1:9">
      <c r="A184" t="s">
        <v>578</v>
      </c>
      <c r="B184" s="1">
        <v>41745</v>
      </c>
      <c r="C184" t="s">
        <v>2772</v>
      </c>
      <c r="D184">
        <v>1</v>
      </c>
      <c r="E184" t="s">
        <v>643</v>
      </c>
      <c r="F184" s="180" t="s">
        <v>870</v>
      </c>
      <c r="G184" s="149" t="s">
        <v>643</v>
      </c>
      <c r="H184" s="3">
        <f t="shared" si="2"/>
        <v>3026.3125</v>
      </c>
      <c r="I184" s="3">
        <v>484.21</v>
      </c>
    </row>
    <row r="185" spans="1:9">
      <c r="A185" t="s">
        <v>500</v>
      </c>
      <c r="B185" s="1">
        <v>41739</v>
      </c>
      <c r="C185" t="s">
        <v>2727</v>
      </c>
      <c r="D185">
        <v>2</v>
      </c>
      <c r="E185" t="s">
        <v>2179</v>
      </c>
      <c r="F185" s="180" t="s">
        <v>2308</v>
      </c>
      <c r="G185" s="149" t="s">
        <v>2179</v>
      </c>
      <c r="H185" s="3">
        <f t="shared" si="2"/>
        <v>1100</v>
      </c>
      <c r="I185" s="3">
        <v>176</v>
      </c>
    </row>
    <row r="186" spans="1:9">
      <c r="A186" t="s">
        <v>644</v>
      </c>
      <c r="B186" s="1">
        <v>41758</v>
      </c>
      <c r="C186" t="s">
        <v>2832</v>
      </c>
      <c r="D186">
        <v>1</v>
      </c>
      <c r="E186" t="s">
        <v>973</v>
      </c>
      <c r="F186" s="147" t="s">
        <v>972</v>
      </c>
      <c r="G186" s="148" t="s">
        <v>973</v>
      </c>
      <c r="H186" s="3">
        <f t="shared" si="2"/>
        <v>132978.75</v>
      </c>
      <c r="I186" s="3">
        <v>21276.6</v>
      </c>
    </row>
    <row r="187" spans="1:9">
      <c r="A187" t="s">
        <v>2543</v>
      </c>
      <c r="B187" s="1">
        <v>41754</v>
      </c>
      <c r="C187">
        <v>9994</v>
      </c>
      <c r="D187">
        <v>1</v>
      </c>
      <c r="E187" t="s">
        <v>1752</v>
      </c>
      <c r="F187" s="149" t="s">
        <v>873</v>
      </c>
      <c r="G187" s="149" t="s">
        <v>1752</v>
      </c>
      <c r="H187" s="3">
        <f t="shared" si="2"/>
        <v>197.37499999999997</v>
      </c>
      <c r="I187" s="3">
        <v>31.58</v>
      </c>
    </row>
    <row r="188" spans="1:9">
      <c r="A188" t="s">
        <v>487</v>
      </c>
      <c r="B188" s="1">
        <v>41739</v>
      </c>
      <c r="C188" t="s">
        <v>2712</v>
      </c>
      <c r="D188">
        <v>1</v>
      </c>
      <c r="E188" t="s">
        <v>527</v>
      </c>
      <c r="F188" s="180" t="s">
        <v>875</v>
      </c>
      <c r="G188" s="149" t="s">
        <v>527</v>
      </c>
      <c r="H188" s="3">
        <f t="shared" si="2"/>
        <v>5100</v>
      </c>
      <c r="I188" s="3">
        <v>816</v>
      </c>
    </row>
    <row r="189" spans="1:9">
      <c r="A189" t="s">
        <v>570</v>
      </c>
      <c r="B189" s="1">
        <v>41745</v>
      </c>
      <c r="C189" t="s">
        <v>2766</v>
      </c>
      <c r="D189">
        <v>1</v>
      </c>
      <c r="E189" t="s">
        <v>527</v>
      </c>
      <c r="F189" s="180" t="s">
        <v>875</v>
      </c>
      <c r="G189" s="149" t="s">
        <v>527</v>
      </c>
      <c r="H189" s="3">
        <f t="shared" si="2"/>
        <v>3900</v>
      </c>
      <c r="I189" s="3">
        <v>624</v>
      </c>
    </row>
    <row r="190" spans="1:9">
      <c r="A190" t="s">
        <v>2220</v>
      </c>
      <c r="B190" s="1">
        <v>41754</v>
      </c>
      <c r="C190" t="s">
        <v>2814</v>
      </c>
      <c r="D190">
        <v>1</v>
      </c>
      <c r="E190" t="s">
        <v>527</v>
      </c>
      <c r="F190" s="180" t="s">
        <v>875</v>
      </c>
      <c r="G190" s="149" t="s">
        <v>527</v>
      </c>
      <c r="H190" s="3">
        <f t="shared" si="2"/>
        <v>4500</v>
      </c>
      <c r="I190" s="3">
        <v>720</v>
      </c>
    </row>
    <row r="191" spans="1:9">
      <c r="A191" t="s">
        <v>492</v>
      </c>
      <c r="B191" s="1">
        <v>41739</v>
      </c>
      <c r="C191" t="s">
        <v>2724</v>
      </c>
      <c r="D191">
        <v>1</v>
      </c>
      <c r="E191" t="s">
        <v>496</v>
      </c>
      <c r="F191" s="180" t="s">
        <v>876</v>
      </c>
      <c r="G191" s="149" t="s">
        <v>496</v>
      </c>
      <c r="H191" s="3">
        <f t="shared" si="2"/>
        <v>1995.625</v>
      </c>
      <c r="I191" s="3">
        <v>319.3</v>
      </c>
    </row>
    <row r="192" spans="1:9">
      <c r="A192" t="s">
        <v>1409</v>
      </c>
      <c r="B192" s="1">
        <v>41745</v>
      </c>
      <c r="C192" t="s">
        <v>2761</v>
      </c>
      <c r="D192">
        <v>1</v>
      </c>
      <c r="E192" t="s">
        <v>496</v>
      </c>
      <c r="F192" s="180" t="s">
        <v>876</v>
      </c>
      <c r="G192" s="149" t="s">
        <v>496</v>
      </c>
      <c r="H192" s="3">
        <f t="shared" si="2"/>
        <v>293.6875</v>
      </c>
      <c r="I192" s="3">
        <v>46.99</v>
      </c>
    </row>
    <row r="193" spans="1:9">
      <c r="A193" t="s">
        <v>2617</v>
      </c>
      <c r="B193" s="1">
        <v>41759</v>
      </c>
      <c r="C193">
        <v>10063</v>
      </c>
      <c r="D193">
        <v>1</v>
      </c>
      <c r="E193" t="s">
        <v>2618</v>
      </c>
      <c r="F193" s="180" t="s">
        <v>876</v>
      </c>
      <c r="G193" s="149" t="s">
        <v>2618</v>
      </c>
      <c r="H193" s="3">
        <f t="shared" si="2"/>
        <v>31.8125</v>
      </c>
      <c r="I193" s="3">
        <v>5.09</v>
      </c>
    </row>
    <row r="194" spans="1:9">
      <c r="A194" t="s">
        <v>2545</v>
      </c>
      <c r="B194" s="1">
        <v>41754</v>
      </c>
      <c r="C194">
        <v>9996</v>
      </c>
      <c r="D194">
        <v>1</v>
      </c>
      <c r="E194" t="s">
        <v>377</v>
      </c>
      <c r="F194" s="151" t="s">
        <v>876</v>
      </c>
      <c r="G194" s="149" t="s">
        <v>377</v>
      </c>
      <c r="H194" s="3">
        <f t="shared" si="2"/>
        <v>43</v>
      </c>
      <c r="I194" s="3">
        <v>6.88</v>
      </c>
    </row>
    <row r="195" spans="1:9">
      <c r="A195" t="s">
        <v>257</v>
      </c>
      <c r="B195" s="1">
        <v>41759</v>
      </c>
      <c r="C195" t="s">
        <v>2654</v>
      </c>
      <c r="D195">
        <v>1</v>
      </c>
      <c r="E195" t="s">
        <v>2655</v>
      </c>
      <c r="F195" s="180" t="s">
        <v>2881</v>
      </c>
      <c r="G195" s="149" t="s">
        <v>2655</v>
      </c>
      <c r="H195" s="3">
        <f t="shared" si="2"/>
        <v>83.75</v>
      </c>
      <c r="I195" s="3">
        <v>13.4</v>
      </c>
    </row>
    <row r="196" spans="1:9">
      <c r="A196" t="s">
        <v>2559</v>
      </c>
      <c r="B196" s="1">
        <v>41757</v>
      </c>
      <c r="C196" t="s">
        <v>2560</v>
      </c>
      <c r="D196">
        <v>1</v>
      </c>
      <c r="E196" t="s">
        <v>2561</v>
      </c>
      <c r="F196" s="152" t="s">
        <v>744</v>
      </c>
      <c r="G196" s="149" t="s">
        <v>745</v>
      </c>
      <c r="H196" s="3">
        <f t="shared" si="2"/>
        <v>168289.1875</v>
      </c>
      <c r="I196" s="3">
        <v>26926.27</v>
      </c>
    </row>
    <row r="197" spans="1:9">
      <c r="A197" t="s">
        <v>2493</v>
      </c>
      <c r="B197" s="1">
        <v>41750</v>
      </c>
      <c r="C197" t="s">
        <v>2494</v>
      </c>
      <c r="D197">
        <v>1</v>
      </c>
      <c r="E197" t="s">
        <v>2495</v>
      </c>
      <c r="F197" s="152" t="s">
        <v>744</v>
      </c>
      <c r="G197" s="149" t="s">
        <v>745</v>
      </c>
      <c r="H197" s="3">
        <f t="shared" si="2"/>
        <v>322977.8125</v>
      </c>
      <c r="I197" s="3">
        <v>51676.45</v>
      </c>
    </row>
    <row r="198" spans="1:9">
      <c r="A198" t="s">
        <v>2431</v>
      </c>
      <c r="B198" s="1">
        <v>41738</v>
      </c>
      <c r="C198" t="s">
        <v>2432</v>
      </c>
      <c r="D198">
        <v>1</v>
      </c>
      <c r="E198" t="s">
        <v>2433</v>
      </c>
      <c r="F198" s="152" t="s">
        <v>744</v>
      </c>
      <c r="G198" s="149" t="s">
        <v>745</v>
      </c>
      <c r="H198" s="3">
        <f t="shared" si="2"/>
        <v>356752.875</v>
      </c>
      <c r="I198" s="3">
        <v>57080.46</v>
      </c>
    </row>
    <row r="199" spans="1:9">
      <c r="A199" t="s">
        <v>2248</v>
      </c>
      <c r="B199" s="1">
        <v>41759</v>
      </c>
      <c r="C199" t="s">
        <v>2843</v>
      </c>
      <c r="D199">
        <v>1</v>
      </c>
      <c r="E199" t="s">
        <v>2844</v>
      </c>
      <c r="F199" s="152" t="s">
        <v>744</v>
      </c>
      <c r="G199" s="149" t="s">
        <v>745</v>
      </c>
      <c r="H199" s="3">
        <f t="shared" ref="H199:H259" si="3">+I199/0.16</f>
        <v>2277.3125</v>
      </c>
      <c r="I199" s="3">
        <v>364.37</v>
      </c>
    </row>
    <row r="200" spans="1:9">
      <c r="A200" t="s">
        <v>2788</v>
      </c>
      <c r="B200" s="1">
        <v>41751</v>
      </c>
      <c r="C200" t="s">
        <v>2789</v>
      </c>
      <c r="D200">
        <v>2</v>
      </c>
      <c r="E200" t="s">
        <v>444</v>
      </c>
      <c r="F200" s="180" t="s">
        <v>879</v>
      </c>
      <c r="G200" s="149" t="s">
        <v>444</v>
      </c>
      <c r="H200" s="3">
        <f t="shared" si="3"/>
        <v>1750</v>
      </c>
      <c r="I200" s="3">
        <v>280</v>
      </c>
    </row>
    <row r="201" spans="1:9">
      <c r="A201" t="s">
        <v>2550</v>
      </c>
      <c r="B201" s="1">
        <v>41754</v>
      </c>
      <c r="C201" t="s">
        <v>2551</v>
      </c>
      <c r="D201">
        <v>1</v>
      </c>
      <c r="E201" t="s">
        <v>2552</v>
      </c>
      <c r="F201" s="149" t="s">
        <v>758</v>
      </c>
      <c r="G201" s="149" t="s">
        <v>754</v>
      </c>
      <c r="H201" s="3">
        <f t="shared" si="3"/>
        <v>162935.75</v>
      </c>
      <c r="I201" s="3">
        <v>26069.72</v>
      </c>
    </row>
    <row r="202" spans="1:9">
      <c r="A202" t="s">
        <v>2427</v>
      </c>
      <c r="B202" s="1">
        <v>41737</v>
      </c>
      <c r="C202" t="s">
        <v>2428</v>
      </c>
      <c r="D202">
        <v>1</v>
      </c>
      <c r="E202" t="s">
        <v>2429</v>
      </c>
      <c r="F202" s="161" t="s">
        <v>2310</v>
      </c>
      <c r="G202" s="149" t="s">
        <v>2311</v>
      </c>
      <c r="H202" s="3">
        <f t="shared" si="3"/>
        <v>216185.75</v>
      </c>
      <c r="I202" s="3">
        <v>34589.72</v>
      </c>
    </row>
    <row r="203" spans="1:9">
      <c r="A203" t="s">
        <v>1600</v>
      </c>
      <c r="B203" s="1">
        <v>41759</v>
      </c>
      <c r="C203">
        <v>10016</v>
      </c>
      <c r="D203">
        <v>1</v>
      </c>
      <c r="E203" t="s">
        <v>278</v>
      </c>
      <c r="F203" s="180" t="s">
        <v>884</v>
      </c>
      <c r="G203" s="149" t="s">
        <v>278</v>
      </c>
      <c r="H203" s="3">
        <f t="shared" si="3"/>
        <v>344.8125</v>
      </c>
      <c r="I203" s="3">
        <v>55.17</v>
      </c>
    </row>
    <row r="204" spans="1:9">
      <c r="A204" t="s">
        <v>433</v>
      </c>
      <c r="B204" s="1">
        <v>41730</v>
      </c>
      <c r="C204" t="s">
        <v>2667</v>
      </c>
      <c r="D204">
        <v>1</v>
      </c>
      <c r="E204" t="s">
        <v>505</v>
      </c>
      <c r="F204" s="151" t="s">
        <v>885</v>
      </c>
      <c r="G204" s="149" t="s">
        <v>1243</v>
      </c>
      <c r="H204" s="3">
        <f t="shared" si="3"/>
        <v>4153</v>
      </c>
      <c r="I204" s="3">
        <v>664.48</v>
      </c>
    </row>
    <row r="205" spans="1:9">
      <c r="A205" t="s">
        <v>636</v>
      </c>
      <c r="B205" s="1">
        <v>41758</v>
      </c>
      <c r="C205" t="s">
        <v>2831</v>
      </c>
      <c r="D205">
        <v>1</v>
      </c>
      <c r="E205" t="s">
        <v>505</v>
      </c>
      <c r="F205" s="151" t="s">
        <v>885</v>
      </c>
      <c r="G205" s="149" t="s">
        <v>1243</v>
      </c>
      <c r="H205" s="3">
        <f t="shared" si="3"/>
        <v>115.9375</v>
      </c>
      <c r="I205" s="3">
        <v>18.55</v>
      </c>
    </row>
    <row r="206" spans="1:9">
      <c r="A206" t="s">
        <v>1625</v>
      </c>
      <c r="B206" s="1">
        <v>41759</v>
      </c>
      <c r="C206">
        <v>10012</v>
      </c>
      <c r="D206">
        <v>1</v>
      </c>
      <c r="E206" t="s">
        <v>2590</v>
      </c>
      <c r="F206" s="151" t="s">
        <v>2882</v>
      </c>
      <c r="G206" s="149" t="s">
        <v>2590</v>
      </c>
      <c r="H206" s="3">
        <f t="shared" si="3"/>
        <v>27.125</v>
      </c>
      <c r="I206" s="3">
        <v>4.34</v>
      </c>
    </row>
    <row r="207" spans="1:9">
      <c r="A207" t="s">
        <v>1505</v>
      </c>
      <c r="B207" s="1">
        <v>41759</v>
      </c>
      <c r="C207" t="s">
        <v>2857</v>
      </c>
      <c r="D207">
        <v>1</v>
      </c>
      <c r="E207" t="s">
        <v>2859</v>
      </c>
      <c r="F207" s="72" t="s">
        <v>831</v>
      </c>
      <c r="G207" s="8" t="s">
        <v>467</v>
      </c>
      <c r="H207" s="3">
        <f t="shared" si="3"/>
        <v>438289.31249999994</v>
      </c>
      <c r="I207" s="3">
        <v>70126.289999999994</v>
      </c>
    </row>
    <row r="208" spans="1:9">
      <c r="A208" t="s">
        <v>680</v>
      </c>
      <c r="B208" s="1">
        <v>41759</v>
      </c>
      <c r="C208" t="s">
        <v>2857</v>
      </c>
      <c r="D208">
        <v>1</v>
      </c>
      <c r="E208" t="s">
        <v>2858</v>
      </c>
      <c r="F208" s="72" t="s">
        <v>831</v>
      </c>
      <c r="G208" s="8" t="s">
        <v>467</v>
      </c>
      <c r="H208" s="3">
        <f t="shared" si="3"/>
        <v>207185.25</v>
      </c>
      <c r="I208" s="3">
        <v>33149.64</v>
      </c>
    </row>
    <row r="209" spans="1:9">
      <c r="A209" t="s">
        <v>483</v>
      </c>
      <c r="B209" s="1">
        <v>41739</v>
      </c>
      <c r="C209" t="s">
        <v>2709</v>
      </c>
      <c r="D209">
        <v>1</v>
      </c>
      <c r="E209" t="s">
        <v>2710</v>
      </c>
      <c r="F209" s="180" t="s">
        <v>2883</v>
      </c>
      <c r="G209" s="149" t="s">
        <v>2710</v>
      </c>
      <c r="H209" s="3">
        <f t="shared" si="3"/>
        <v>4015</v>
      </c>
      <c r="I209" s="3">
        <v>642.4</v>
      </c>
    </row>
    <row r="210" spans="1:9">
      <c r="A210" t="s">
        <v>2713</v>
      </c>
      <c r="B210" s="1">
        <v>41739</v>
      </c>
      <c r="C210" t="s">
        <v>2714</v>
      </c>
      <c r="D210">
        <v>1</v>
      </c>
      <c r="E210" t="s">
        <v>2715</v>
      </c>
      <c r="F210" s="180" t="s">
        <v>2884</v>
      </c>
      <c r="G210" s="149" t="s">
        <v>2715</v>
      </c>
      <c r="H210" s="3">
        <f t="shared" si="3"/>
        <v>575</v>
      </c>
      <c r="I210" s="3">
        <v>92</v>
      </c>
    </row>
    <row r="211" spans="1:9">
      <c r="A211" t="s">
        <v>564</v>
      </c>
      <c r="B211" s="1">
        <v>41745</v>
      </c>
      <c r="C211" t="s">
        <v>2762</v>
      </c>
      <c r="D211">
        <v>1</v>
      </c>
      <c r="E211" t="s">
        <v>2715</v>
      </c>
      <c r="F211" s="180" t="s">
        <v>2884</v>
      </c>
      <c r="G211" s="149" t="s">
        <v>2715</v>
      </c>
      <c r="H211" s="3">
        <f t="shared" si="3"/>
        <v>886.99999999999989</v>
      </c>
      <c r="I211" s="3">
        <v>141.91999999999999</v>
      </c>
    </row>
    <row r="212" spans="1:9">
      <c r="A212" t="s">
        <v>1609</v>
      </c>
      <c r="B212" s="1">
        <v>41759</v>
      </c>
      <c r="C212">
        <v>10043</v>
      </c>
      <c r="D212">
        <v>1</v>
      </c>
      <c r="E212" t="s">
        <v>2595</v>
      </c>
      <c r="F212" s="151" t="s">
        <v>2885</v>
      </c>
      <c r="G212" s="149" t="s">
        <v>2595</v>
      </c>
      <c r="H212" s="3">
        <f t="shared" si="3"/>
        <v>644.8125</v>
      </c>
      <c r="I212" s="3">
        <v>103.17</v>
      </c>
    </row>
    <row r="213" spans="1:9">
      <c r="A213" t="s">
        <v>2719</v>
      </c>
      <c r="B213" s="1">
        <v>41739</v>
      </c>
      <c r="C213" t="s">
        <v>2720</v>
      </c>
      <c r="D213">
        <v>2</v>
      </c>
      <c r="E213" t="s">
        <v>550</v>
      </c>
      <c r="F213" s="149" t="s">
        <v>886</v>
      </c>
      <c r="G213" s="149" t="s">
        <v>550</v>
      </c>
      <c r="H213" s="3">
        <f t="shared" si="3"/>
        <v>15200</v>
      </c>
      <c r="I213" s="3">
        <v>2432</v>
      </c>
    </row>
    <row r="214" spans="1:9">
      <c r="A214" t="s">
        <v>1340</v>
      </c>
      <c r="B214" s="1">
        <v>41739</v>
      </c>
      <c r="C214" t="s">
        <v>2721</v>
      </c>
      <c r="D214">
        <v>2</v>
      </c>
      <c r="E214" t="s">
        <v>550</v>
      </c>
      <c r="F214" s="149" t="s">
        <v>886</v>
      </c>
      <c r="G214" s="149" t="s">
        <v>550</v>
      </c>
      <c r="H214" s="3">
        <f t="shared" si="3"/>
        <v>28000</v>
      </c>
      <c r="I214" s="3">
        <v>4480</v>
      </c>
    </row>
    <row r="215" spans="1:9">
      <c r="A215" t="s">
        <v>1413</v>
      </c>
      <c r="B215" s="1">
        <v>41745</v>
      </c>
      <c r="C215" t="s">
        <v>2765</v>
      </c>
      <c r="D215">
        <v>2</v>
      </c>
      <c r="E215" t="s">
        <v>550</v>
      </c>
      <c r="F215" s="180" t="s">
        <v>886</v>
      </c>
      <c r="G215" s="149" t="s">
        <v>550</v>
      </c>
      <c r="H215" s="3">
        <f t="shared" si="3"/>
        <v>10300</v>
      </c>
      <c r="I215" s="3">
        <v>1648</v>
      </c>
    </row>
    <row r="216" spans="1:9">
      <c r="A216" t="s">
        <v>2222</v>
      </c>
      <c r="B216" s="1">
        <v>41754</v>
      </c>
      <c r="C216" t="s">
        <v>2815</v>
      </c>
      <c r="D216">
        <v>2</v>
      </c>
      <c r="E216" t="s">
        <v>550</v>
      </c>
      <c r="F216" s="180" t="s">
        <v>886</v>
      </c>
      <c r="G216" s="149" t="s">
        <v>550</v>
      </c>
      <c r="H216" s="3">
        <f t="shared" si="3"/>
        <v>31200</v>
      </c>
      <c r="I216" s="3">
        <v>4992</v>
      </c>
    </row>
    <row r="217" spans="1:9">
      <c r="A217" t="s">
        <v>2643</v>
      </c>
      <c r="B217" s="1">
        <v>41759</v>
      </c>
      <c r="C217" t="s">
        <v>2644</v>
      </c>
      <c r="D217">
        <v>1</v>
      </c>
      <c r="E217" t="s">
        <v>126</v>
      </c>
      <c r="F217" s="180" t="s">
        <v>887</v>
      </c>
      <c r="G217" s="149" t="s">
        <v>126</v>
      </c>
      <c r="H217" s="3">
        <f t="shared" si="3"/>
        <v>1370.6875</v>
      </c>
      <c r="I217" s="3">
        <v>219.31</v>
      </c>
    </row>
    <row r="218" spans="1:9">
      <c r="A218" t="s">
        <v>1731</v>
      </c>
      <c r="B218" s="1">
        <v>41740</v>
      </c>
      <c r="C218" t="s">
        <v>2405</v>
      </c>
      <c r="D218">
        <v>1</v>
      </c>
      <c r="E218" t="s">
        <v>2442</v>
      </c>
      <c r="F218" s="185" t="s">
        <v>2890</v>
      </c>
      <c r="G218" s="186" t="s">
        <v>2406</v>
      </c>
      <c r="H218" s="3">
        <f t="shared" si="3"/>
        <v>382307.875</v>
      </c>
      <c r="I218" s="3">
        <v>61169.26</v>
      </c>
    </row>
    <row r="219" spans="1:9">
      <c r="A219" t="s">
        <v>2649</v>
      </c>
      <c r="B219" s="1">
        <v>41759</v>
      </c>
      <c r="C219" t="s">
        <v>2650</v>
      </c>
      <c r="D219">
        <v>1</v>
      </c>
      <c r="E219" t="s">
        <v>2651</v>
      </c>
      <c r="F219" s="184" t="s">
        <v>890</v>
      </c>
      <c r="G219" s="137" t="s">
        <v>521</v>
      </c>
      <c r="H219" s="3">
        <f t="shared" si="3"/>
        <v>104.62499999999999</v>
      </c>
      <c r="I219" s="3">
        <v>16.739999999999998</v>
      </c>
    </row>
    <row r="220" spans="1:9">
      <c r="A220" t="s">
        <v>1988</v>
      </c>
      <c r="B220" s="1">
        <v>41759</v>
      </c>
      <c r="C220">
        <v>10050</v>
      </c>
      <c r="D220">
        <v>1</v>
      </c>
      <c r="E220" t="s">
        <v>2604</v>
      </c>
      <c r="F220" s="151" t="s">
        <v>2886</v>
      </c>
      <c r="G220" s="149" t="s">
        <v>2604</v>
      </c>
      <c r="H220" s="3">
        <f t="shared" si="3"/>
        <v>374.75</v>
      </c>
      <c r="I220" s="3">
        <v>59.96</v>
      </c>
    </row>
    <row r="221" spans="1:9">
      <c r="A221" t="s">
        <v>2662</v>
      </c>
      <c r="B221" s="1">
        <v>41759</v>
      </c>
      <c r="C221">
        <v>10096</v>
      </c>
      <c r="D221">
        <v>1</v>
      </c>
      <c r="E221" t="s">
        <v>2604</v>
      </c>
      <c r="F221" s="180" t="s">
        <v>2886</v>
      </c>
      <c r="G221" s="149" t="s">
        <v>2604</v>
      </c>
      <c r="H221" s="3">
        <f t="shared" si="3"/>
        <v>627.1875</v>
      </c>
      <c r="I221" s="3">
        <v>100.35</v>
      </c>
    </row>
    <row r="222" spans="1:9">
      <c r="A222" t="s">
        <v>1626</v>
      </c>
      <c r="B222" s="1">
        <v>41759</v>
      </c>
      <c r="C222">
        <v>10014</v>
      </c>
      <c r="D222">
        <v>1</v>
      </c>
      <c r="E222" t="s">
        <v>2591</v>
      </c>
      <c r="F222" s="180" t="s">
        <v>2887</v>
      </c>
      <c r="G222" s="149" t="s">
        <v>2591</v>
      </c>
      <c r="H222" s="3">
        <f t="shared" si="3"/>
        <v>43.125</v>
      </c>
      <c r="I222" s="3">
        <v>6.9</v>
      </c>
    </row>
    <row r="223" spans="1:9">
      <c r="A223" t="s">
        <v>631</v>
      </c>
      <c r="B223" s="1">
        <v>41758</v>
      </c>
      <c r="C223" t="s">
        <v>2829</v>
      </c>
      <c r="D223">
        <v>1</v>
      </c>
      <c r="E223" t="s">
        <v>665</v>
      </c>
      <c r="F223" s="150" t="s">
        <v>892</v>
      </c>
      <c r="G223" s="149" t="s">
        <v>665</v>
      </c>
      <c r="H223" s="3">
        <f t="shared" si="3"/>
        <v>6445</v>
      </c>
      <c r="I223" s="3">
        <v>1031.2</v>
      </c>
    </row>
    <row r="224" spans="1:9">
      <c r="A224" t="s">
        <v>633</v>
      </c>
      <c r="B224" s="1">
        <v>41758</v>
      </c>
      <c r="C224" t="s">
        <v>2830</v>
      </c>
      <c r="D224">
        <v>1</v>
      </c>
      <c r="E224" t="s">
        <v>665</v>
      </c>
      <c r="F224" s="150" t="s">
        <v>892</v>
      </c>
      <c r="G224" s="149" t="s">
        <v>665</v>
      </c>
      <c r="H224" s="3">
        <f t="shared" si="3"/>
        <v>11122.1875</v>
      </c>
      <c r="I224" s="3">
        <v>1779.55</v>
      </c>
    </row>
    <row r="225" spans="1:9">
      <c r="A225" t="s">
        <v>2602</v>
      </c>
      <c r="B225" s="1">
        <v>41759</v>
      </c>
      <c r="C225">
        <v>10048</v>
      </c>
      <c r="D225">
        <v>1</v>
      </c>
      <c r="E225" t="s">
        <v>266</v>
      </c>
      <c r="F225" s="151" t="s">
        <v>893</v>
      </c>
      <c r="G225" s="149" t="s">
        <v>266</v>
      </c>
      <c r="H225" s="3">
        <f t="shared" si="3"/>
        <v>43.6875</v>
      </c>
      <c r="I225" s="3">
        <v>6.99</v>
      </c>
    </row>
    <row r="226" spans="1:9">
      <c r="A226" t="s">
        <v>2621</v>
      </c>
      <c r="B226" s="1">
        <v>41759</v>
      </c>
      <c r="C226">
        <v>10068</v>
      </c>
      <c r="D226">
        <v>1</v>
      </c>
      <c r="E226" t="s">
        <v>266</v>
      </c>
      <c r="F226" s="180" t="s">
        <v>893</v>
      </c>
      <c r="G226" s="149" t="s">
        <v>266</v>
      </c>
      <c r="H226" s="3">
        <f t="shared" si="3"/>
        <v>86.187499999999986</v>
      </c>
      <c r="I226" s="3">
        <v>13.79</v>
      </c>
    </row>
    <row r="227" spans="1:9">
      <c r="A227" t="s">
        <v>2478</v>
      </c>
      <c r="B227" s="1">
        <v>41745</v>
      </c>
      <c r="C227" t="s">
        <v>2479</v>
      </c>
      <c r="D227">
        <v>1</v>
      </c>
      <c r="E227" t="s">
        <v>2480</v>
      </c>
      <c r="F227" s="149" t="s">
        <v>1589</v>
      </c>
      <c r="G227" s="149" t="s">
        <v>2313</v>
      </c>
      <c r="H227" s="3">
        <f t="shared" si="3"/>
        <v>202818.6875</v>
      </c>
      <c r="I227" s="3">
        <v>32450.99</v>
      </c>
    </row>
    <row r="228" spans="1:9">
      <c r="A228" t="s">
        <v>2401</v>
      </c>
      <c r="B228" s="1">
        <v>41730</v>
      </c>
      <c r="C228" t="s">
        <v>2015</v>
      </c>
      <c r="D228">
        <v>1</v>
      </c>
      <c r="E228" t="s">
        <v>2016</v>
      </c>
      <c r="F228" s="149" t="s">
        <v>1589</v>
      </c>
      <c r="G228" s="149" t="s">
        <v>2313</v>
      </c>
      <c r="H228" s="3">
        <f t="shared" si="3"/>
        <v>-175582.31249999997</v>
      </c>
      <c r="I228" s="3">
        <v>-28093.17</v>
      </c>
    </row>
    <row r="229" spans="1:9">
      <c r="A229" t="s">
        <v>2577</v>
      </c>
      <c r="B229" s="1">
        <v>41759</v>
      </c>
      <c r="C229" t="s">
        <v>2578</v>
      </c>
      <c r="D229">
        <v>1</v>
      </c>
      <c r="E229" t="s">
        <v>2016</v>
      </c>
      <c r="F229" s="149" t="s">
        <v>1589</v>
      </c>
      <c r="G229" s="149" t="s">
        <v>2313</v>
      </c>
      <c r="H229" s="3">
        <f t="shared" si="3"/>
        <v>175582.31249999997</v>
      </c>
      <c r="I229" s="3">
        <v>28093.17</v>
      </c>
    </row>
    <row r="230" spans="1:9">
      <c r="A230" t="s">
        <v>2400</v>
      </c>
      <c r="B230" s="1">
        <v>41730</v>
      </c>
      <c r="C230" t="s">
        <v>1968</v>
      </c>
      <c r="D230">
        <v>1</v>
      </c>
      <c r="E230" t="s">
        <v>1823</v>
      </c>
      <c r="F230" s="149" t="s">
        <v>1589</v>
      </c>
      <c r="G230" s="149" t="s">
        <v>2313</v>
      </c>
      <c r="H230" s="3">
        <f t="shared" si="3"/>
        <v>-175582.31249999997</v>
      </c>
      <c r="I230" s="3">
        <v>-28093.17</v>
      </c>
    </row>
    <row r="231" spans="1:9">
      <c r="A231" t="s">
        <v>2570</v>
      </c>
      <c r="B231" s="1">
        <v>41758</v>
      </c>
      <c r="C231" t="s">
        <v>2571</v>
      </c>
      <c r="D231">
        <v>1</v>
      </c>
      <c r="E231" t="s">
        <v>1823</v>
      </c>
      <c r="F231" s="149" t="s">
        <v>1589</v>
      </c>
      <c r="G231" s="149" t="s">
        <v>2313</v>
      </c>
      <c r="H231" s="3">
        <f t="shared" si="3"/>
        <v>246689.9375</v>
      </c>
      <c r="I231" s="3">
        <v>39470.39</v>
      </c>
    </row>
    <row r="232" spans="1:9">
      <c r="A232" t="s">
        <v>1946</v>
      </c>
      <c r="B232" s="1">
        <v>41758</v>
      </c>
      <c r="C232" t="s">
        <v>2568</v>
      </c>
      <c r="D232">
        <v>1</v>
      </c>
      <c r="E232" t="s">
        <v>2569</v>
      </c>
      <c r="F232" s="149" t="s">
        <v>759</v>
      </c>
      <c r="G232" s="149" t="s">
        <v>1044</v>
      </c>
      <c r="H232" s="3">
        <f t="shared" si="3"/>
        <v>175582.31249999997</v>
      </c>
      <c r="I232" s="3">
        <v>28093.17</v>
      </c>
    </row>
    <row r="233" spans="1:9">
      <c r="A233" t="s">
        <v>2407</v>
      </c>
      <c r="B233" s="1">
        <v>41733</v>
      </c>
      <c r="C233" t="s">
        <v>2408</v>
      </c>
      <c r="D233">
        <v>1</v>
      </c>
      <c r="E233" t="s">
        <v>467</v>
      </c>
      <c r="F233" s="162" t="s">
        <v>760</v>
      </c>
      <c r="G233" s="163" t="s">
        <v>761</v>
      </c>
      <c r="H233" s="3">
        <f t="shared" si="3"/>
        <v>425101.875</v>
      </c>
      <c r="I233" s="3">
        <v>68016.3</v>
      </c>
    </row>
    <row r="234" spans="1:9">
      <c r="A234" t="s">
        <v>2409</v>
      </c>
      <c r="B234" s="1">
        <v>41733</v>
      </c>
      <c r="C234" t="s">
        <v>1176</v>
      </c>
      <c r="D234">
        <v>1</v>
      </c>
      <c r="E234" t="s">
        <v>467</v>
      </c>
      <c r="F234" s="162" t="s">
        <v>760</v>
      </c>
      <c r="G234" s="163" t="s">
        <v>761</v>
      </c>
      <c r="H234" s="3">
        <f t="shared" si="3"/>
        <v>-425101.875</v>
      </c>
      <c r="I234" s="3">
        <v>-68016.3</v>
      </c>
    </row>
    <row r="235" spans="1:9">
      <c r="A235" t="s">
        <v>2413</v>
      </c>
      <c r="B235" s="1">
        <v>41736</v>
      </c>
      <c r="C235" t="s">
        <v>94</v>
      </c>
      <c r="D235">
        <v>1</v>
      </c>
      <c r="E235" t="s">
        <v>467</v>
      </c>
      <c r="F235" s="162" t="s">
        <v>760</v>
      </c>
      <c r="G235" s="163" t="s">
        <v>761</v>
      </c>
      <c r="H235" s="3">
        <f t="shared" si="3"/>
        <v>-295037.5625</v>
      </c>
      <c r="I235" s="3">
        <v>-47206.01</v>
      </c>
    </row>
    <row r="236" spans="1:9">
      <c r="A236" t="s">
        <v>2414</v>
      </c>
      <c r="B236" s="1">
        <v>41736</v>
      </c>
      <c r="C236" t="s">
        <v>2415</v>
      </c>
      <c r="D236">
        <v>1</v>
      </c>
      <c r="E236" t="s">
        <v>467</v>
      </c>
      <c r="F236" s="162" t="s">
        <v>760</v>
      </c>
      <c r="G236" s="163" t="s">
        <v>761</v>
      </c>
      <c r="H236" s="3">
        <f t="shared" si="3"/>
        <v>246689.9375</v>
      </c>
      <c r="I236" s="3">
        <v>39470.39</v>
      </c>
    </row>
    <row r="237" spans="1:9">
      <c r="A237" t="s">
        <v>2416</v>
      </c>
      <c r="B237" s="1">
        <v>41737</v>
      </c>
      <c r="C237" t="s">
        <v>2417</v>
      </c>
      <c r="D237">
        <v>1</v>
      </c>
      <c r="E237" t="s">
        <v>467</v>
      </c>
      <c r="F237" s="162" t="s">
        <v>760</v>
      </c>
      <c r="G237" s="163" t="s">
        <v>761</v>
      </c>
      <c r="H237" s="3">
        <f t="shared" si="3"/>
        <v>246689.9375</v>
      </c>
      <c r="I237" s="3">
        <v>39470.39</v>
      </c>
    </row>
    <row r="238" spans="1:9">
      <c r="A238" t="s">
        <v>2418</v>
      </c>
      <c r="B238" s="1">
        <v>41737</v>
      </c>
      <c r="C238" t="s">
        <v>2419</v>
      </c>
      <c r="D238">
        <v>1</v>
      </c>
      <c r="E238" t="s">
        <v>467</v>
      </c>
      <c r="F238" s="162" t="s">
        <v>760</v>
      </c>
      <c r="G238" s="163" t="s">
        <v>761</v>
      </c>
      <c r="H238" s="3">
        <f t="shared" si="3"/>
        <v>246689.9375</v>
      </c>
      <c r="I238" s="3">
        <v>39470.39</v>
      </c>
    </row>
    <row r="239" spans="1:9">
      <c r="A239" t="s">
        <v>2420</v>
      </c>
      <c r="B239" s="1">
        <v>41737</v>
      </c>
      <c r="C239" t="s">
        <v>2421</v>
      </c>
      <c r="D239">
        <v>1</v>
      </c>
      <c r="E239" t="s">
        <v>467</v>
      </c>
      <c r="F239" s="162" t="s">
        <v>760</v>
      </c>
      <c r="G239" s="163" t="s">
        <v>761</v>
      </c>
      <c r="H239" s="3">
        <f t="shared" si="3"/>
        <v>297970.25</v>
      </c>
      <c r="I239" s="3">
        <v>47675.24</v>
      </c>
    </row>
    <row r="240" spans="1:9">
      <c r="A240" t="s">
        <v>2422</v>
      </c>
      <c r="B240" s="1">
        <v>41737</v>
      </c>
      <c r="C240" t="s">
        <v>2423</v>
      </c>
      <c r="D240">
        <v>1</v>
      </c>
      <c r="E240" t="s">
        <v>467</v>
      </c>
      <c r="F240" s="162" t="s">
        <v>760</v>
      </c>
      <c r="G240" s="163" t="s">
        <v>761</v>
      </c>
      <c r="H240" s="3">
        <f t="shared" si="3"/>
        <v>297961.875</v>
      </c>
      <c r="I240" s="3">
        <v>47673.9</v>
      </c>
    </row>
    <row r="241" spans="1:9">
      <c r="A241" t="s">
        <v>1697</v>
      </c>
      <c r="B241" s="1">
        <v>41737</v>
      </c>
      <c r="C241" t="s">
        <v>2430</v>
      </c>
      <c r="D241">
        <v>1</v>
      </c>
      <c r="E241" t="s">
        <v>467</v>
      </c>
      <c r="F241" s="162" t="s">
        <v>760</v>
      </c>
      <c r="G241" s="163" t="s">
        <v>761</v>
      </c>
      <c r="H241" s="3">
        <f t="shared" si="3"/>
        <v>210177.81249999997</v>
      </c>
      <c r="I241" s="3">
        <v>33628.449999999997</v>
      </c>
    </row>
    <row r="242" spans="1:9">
      <c r="A242" t="s">
        <v>1794</v>
      </c>
      <c r="B242" s="1">
        <v>41743</v>
      </c>
      <c r="C242" t="s">
        <v>2474</v>
      </c>
      <c r="D242">
        <v>1</v>
      </c>
      <c r="E242" t="s">
        <v>467</v>
      </c>
      <c r="F242" s="162" t="s">
        <v>760</v>
      </c>
      <c r="G242" s="163" t="s">
        <v>761</v>
      </c>
      <c r="H242" s="3">
        <f t="shared" si="3"/>
        <v>320437.1875</v>
      </c>
      <c r="I242" s="3">
        <v>51269.95</v>
      </c>
    </row>
    <row r="243" spans="1:9">
      <c r="A243" t="s">
        <v>2475</v>
      </c>
      <c r="B243" s="1">
        <v>41744</v>
      </c>
      <c r="C243" t="s">
        <v>2476</v>
      </c>
      <c r="D243">
        <v>1</v>
      </c>
      <c r="E243" t="s">
        <v>467</v>
      </c>
      <c r="F243" s="162" t="s">
        <v>760</v>
      </c>
      <c r="G243" s="163" t="s">
        <v>761</v>
      </c>
      <c r="H243" s="3">
        <f t="shared" si="3"/>
        <v>246689.9375</v>
      </c>
      <c r="I243" s="3">
        <v>39470.39</v>
      </c>
    </row>
    <row r="244" spans="1:9">
      <c r="A244" t="s">
        <v>2485</v>
      </c>
      <c r="B244" s="1">
        <v>41750</v>
      </c>
      <c r="C244" t="s">
        <v>2484</v>
      </c>
      <c r="D244">
        <v>1</v>
      </c>
      <c r="E244" t="s">
        <v>467</v>
      </c>
      <c r="F244" s="162" t="s">
        <v>760</v>
      </c>
      <c r="G244" s="163" t="s">
        <v>761</v>
      </c>
      <c r="H244" s="3">
        <f t="shared" si="3"/>
        <v>264987.5</v>
      </c>
      <c r="I244" s="3">
        <v>42398</v>
      </c>
    </row>
    <row r="245" spans="1:9">
      <c r="A245" t="s">
        <v>2486</v>
      </c>
      <c r="B245" s="1">
        <v>41750</v>
      </c>
      <c r="C245" t="s">
        <v>2477</v>
      </c>
      <c r="D245">
        <v>1</v>
      </c>
      <c r="E245" t="s">
        <v>467</v>
      </c>
      <c r="F245" s="162" t="s">
        <v>760</v>
      </c>
      <c r="G245" s="163" t="s">
        <v>761</v>
      </c>
      <c r="H245" s="3">
        <f t="shared" si="3"/>
        <v>246689.9375</v>
      </c>
      <c r="I245" s="3">
        <v>39470.39</v>
      </c>
    </row>
    <row r="246" spans="1:9">
      <c r="A246" t="s">
        <v>2487</v>
      </c>
      <c r="B246" s="1">
        <v>41750</v>
      </c>
      <c r="C246" t="s">
        <v>2488</v>
      </c>
      <c r="D246">
        <v>1</v>
      </c>
      <c r="E246" t="s">
        <v>467</v>
      </c>
      <c r="F246" s="162" t="s">
        <v>760</v>
      </c>
      <c r="G246" s="163" t="s">
        <v>761</v>
      </c>
      <c r="H246" s="3">
        <f t="shared" si="3"/>
        <v>153703</v>
      </c>
      <c r="I246" s="3">
        <v>24592.48</v>
      </c>
    </row>
    <row r="247" spans="1:9">
      <c r="A247" t="s">
        <v>2489</v>
      </c>
      <c r="B247" s="1">
        <v>41750</v>
      </c>
      <c r="C247" t="s">
        <v>2490</v>
      </c>
      <c r="D247">
        <v>1</v>
      </c>
      <c r="E247" t="s">
        <v>467</v>
      </c>
      <c r="F247" s="162" t="s">
        <v>760</v>
      </c>
      <c r="G247" s="163" t="s">
        <v>761</v>
      </c>
      <c r="H247" s="3">
        <f t="shared" si="3"/>
        <v>261241.3125</v>
      </c>
      <c r="I247" s="3">
        <v>41798.61</v>
      </c>
    </row>
    <row r="248" spans="1:9">
      <c r="A248" t="s">
        <v>2492</v>
      </c>
      <c r="B248" s="1">
        <v>41750</v>
      </c>
      <c r="C248" t="s">
        <v>2491</v>
      </c>
      <c r="D248">
        <v>1</v>
      </c>
      <c r="E248" t="s">
        <v>467</v>
      </c>
      <c r="F248" s="162" t="s">
        <v>760</v>
      </c>
      <c r="G248" s="163" t="s">
        <v>761</v>
      </c>
      <c r="H248" s="3">
        <f t="shared" si="3"/>
        <v>260965.625</v>
      </c>
      <c r="I248" s="3">
        <v>41754.5</v>
      </c>
    </row>
    <row r="249" spans="1:9">
      <c r="A249" t="s">
        <v>1158</v>
      </c>
      <c r="B249" s="1">
        <v>41752</v>
      </c>
      <c r="C249" t="s">
        <v>2500</v>
      </c>
      <c r="D249">
        <v>1</v>
      </c>
      <c r="E249" t="s">
        <v>467</v>
      </c>
      <c r="F249" s="162" t="s">
        <v>760</v>
      </c>
      <c r="G249" s="163" t="s">
        <v>761</v>
      </c>
      <c r="H249" s="3">
        <f t="shared" si="3"/>
        <v>323465.75</v>
      </c>
      <c r="I249" s="3">
        <v>51754.52</v>
      </c>
    </row>
    <row r="250" spans="1:9">
      <c r="A250" t="s">
        <v>2509</v>
      </c>
      <c r="B250" s="1">
        <v>41753</v>
      </c>
      <c r="C250" t="s">
        <v>2510</v>
      </c>
      <c r="D250">
        <v>1</v>
      </c>
      <c r="E250" t="s">
        <v>467</v>
      </c>
      <c r="F250" s="162" t="s">
        <v>760</v>
      </c>
      <c r="G250" s="163" t="s">
        <v>761</v>
      </c>
      <c r="H250" s="3">
        <f t="shared" si="3"/>
        <v>286584.3125</v>
      </c>
      <c r="I250" s="3">
        <v>45853.49</v>
      </c>
    </row>
    <row r="251" spans="1:9">
      <c r="A251" t="s">
        <v>2548</v>
      </c>
      <c r="B251" s="1">
        <v>41754</v>
      </c>
      <c r="C251" t="s">
        <v>2549</v>
      </c>
      <c r="D251">
        <v>1</v>
      </c>
      <c r="E251" t="s">
        <v>467</v>
      </c>
      <c r="F251" s="162" t="s">
        <v>760</v>
      </c>
      <c r="G251" s="163" t="s">
        <v>761</v>
      </c>
      <c r="H251" s="3">
        <f t="shared" si="3"/>
        <v>162935.75</v>
      </c>
      <c r="I251" s="3">
        <v>26069.72</v>
      </c>
    </row>
    <row r="252" spans="1:9">
      <c r="A252" t="s">
        <v>2562</v>
      </c>
      <c r="B252" s="1">
        <v>41758</v>
      </c>
      <c r="C252" t="s">
        <v>2563</v>
      </c>
      <c r="D252">
        <v>1</v>
      </c>
      <c r="E252" t="s">
        <v>467</v>
      </c>
      <c r="F252" s="162" t="s">
        <v>760</v>
      </c>
      <c r="G252" s="163" t="s">
        <v>761</v>
      </c>
      <c r="H252" s="3">
        <f t="shared" si="3"/>
        <v>187966.5</v>
      </c>
      <c r="I252" s="3">
        <v>30074.639999999999</v>
      </c>
    </row>
    <row r="253" spans="1:9">
      <c r="A253" t="s">
        <v>2564</v>
      </c>
      <c r="B253" s="1">
        <v>41758</v>
      </c>
      <c r="C253" t="s">
        <v>2565</v>
      </c>
      <c r="D253">
        <v>1</v>
      </c>
      <c r="E253" t="s">
        <v>467</v>
      </c>
      <c r="F253" s="162" t="s">
        <v>760</v>
      </c>
      <c r="G253" s="163" t="s">
        <v>761</v>
      </c>
      <c r="H253" s="3">
        <f t="shared" si="3"/>
        <v>246689.9375</v>
      </c>
      <c r="I253" s="3">
        <v>39470.39</v>
      </c>
    </row>
    <row r="254" spans="1:9">
      <c r="A254" t="s">
        <v>2566</v>
      </c>
      <c r="B254" s="1">
        <v>41758</v>
      </c>
      <c r="C254" t="s">
        <v>2567</v>
      </c>
      <c r="D254">
        <v>1</v>
      </c>
      <c r="E254" t="s">
        <v>467</v>
      </c>
      <c r="F254" s="162" t="s">
        <v>760</v>
      </c>
      <c r="G254" s="163" t="s">
        <v>761</v>
      </c>
      <c r="H254" s="3">
        <f t="shared" si="3"/>
        <v>162935.75</v>
      </c>
      <c r="I254" s="3">
        <v>26069.72</v>
      </c>
    </row>
    <row r="255" spans="1:9">
      <c r="A255" t="s">
        <v>2575</v>
      </c>
      <c r="B255" s="1">
        <v>41759</v>
      </c>
      <c r="C255" t="s">
        <v>2576</v>
      </c>
      <c r="D255">
        <v>1</v>
      </c>
      <c r="E255" t="s">
        <v>467</v>
      </c>
      <c r="F255" s="162" t="s">
        <v>760</v>
      </c>
      <c r="G255" s="163" t="s">
        <v>761</v>
      </c>
      <c r="H255" s="3">
        <f t="shared" si="3"/>
        <v>162935.75</v>
      </c>
      <c r="I255" s="3">
        <v>26069.72</v>
      </c>
    </row>
    <row r="256" spans="1:9">
      <c r="A256" t="s">
        <v>1220</v>
      </c>
      <c r="B256" s="1">
        <v>41759</v>
      </c>
      <c r="C256" t="s">
        <v>2585</v>
      </c>
      <c r="D256">
        <v>1</v>
      </c>
      <c r="E256" t="s">
        <v>467</v>
      </c>
      <c r="F256" s="162" t="s">
        <v>760</v>
      </c>
      <c r="G256" s="163" t="s">
        <v>761</v>
      </c>
      <c r="H256" s="3">
        <f t="shared" si="3"/>
        <v>182289.6875</v>
      </c>
      <c r="I256" s="3">
        <v>29166.35</v>
      </c>
    </row>
    <row r="257" spans="1:12">
      <c r="A257" t="s">
        <v>1596</v>
      </c>
      <c r="B257" s="1">
        <v>41759</v>
      </c>
      <c r="C257" t="s">
        <v>2587</v>
      </c>
      <c r="D257">
        <v>1</v>
      </c>
      <c r="E257" t="s">
        <v>467</v>
      </c>
      <c r="F257" s="162" t="s">
        <v>760</v>
      </c>
      <c r="G257" s="163" t="s">
        <v>761</v>
      </c>
      <c r="H257" s="3">
        <f t="shared" si="3"/>
        <v>246689.9375</v>
      </c>
      <c r="I257" s="3">
        <v>39470.39</v>
      </c>
    </row>
    <row r="258" spans="1:12">
      <c r="A258" t="s">
        <v>2135</v>
      </c>
      <c r="B258" s="1">
        <v>41737</v>
      </c>
      <c r="C258" t="s">
        <v>2692</v>
      </c>
      <c r="D258">
        <v>1</v>
      </c>
      <c r="E258" t="s">
        <v>467</v>
      </c>
      <c r="F258" s="72" t="s">
        <v>831</v>
      </c>
      <c r="G258" s="8" t="s">
        <v>467</v>
      </c>
      <c r="H258" s="3">
        <f t="shared" si="3"/>
        <v>291939.3125</v>
      </c>
      <c r="I258" s="3">
        <v>46710.29</v>
      </c>
    </row>
    <row r="259" spans="1:12">
      <c r="A259" t="s">
        <v>1279</v>
      </c>
      <c r="B259" s="1">
        <v>41759</v>
      </c>
      <c r="C259">
        <v>10011</v>
      </c>
      <c r="D259">
        <v>1</v>
      </c>
      <c r="E259" t="s">
        <v>1769</v>
      </c>
      <c r="F259" s="180" t="s">
        <v>2317</v>
      </c>
      <c r="G259" s="149" t="s">
        <v>1769</v>
      </c>
      <c r="H259" s="3">
        <f t="shared" si="3"/>
        <v>350</v>
      </c>
      <c r="I259" s="3">
        <v>56</v>
      </c>
    </row>
    <row r="260" spans="1:12">
      <c r="A260" t="s">
        <v>2523</v>
      </c>
      <c r="B260" s="1">
        <v>41754</v>
      </c>
      <c r="C260" t="s">
        <v>2524</v>
      </c>
      <c r="D260">
        <v>1</v>
      </c>
      <c r="E260" t="s">
        <v>2525</v>
      </c>
      <c r="F260" s="187" t="s">
        <v>763</v>
      </c>
      <c r="G260" t="s">
        <v>900</v>
      </c>
      <c r="H260" s="159">
        <f t="shared" ref="H260:H268" si="4">I260/0.16</f>
        <v>396.625</v>
      </c>
      <c r="I260" s="159">
        <v>63.46</v>
      </c>
      <c r="J260" s="3"/>
    </row>
    <row r="261" spans="1:12">
      <c r="A261" t="s">
        <v>2523</v>
      </c>
      <c r="B261" s="1">
        <v>41754</v>
      </c>
      <c r="C261" t="s">
        <v>2524</v>
      </c>
      <c r="D261">
        <v>1</v>
      </c>
      <c r="E261" t="s">
        <v>2525</v>
      </c>
      <c r="F261" s="180" t="s">
        <v>1649</v>
      </c>
      <c r="G261" s="149" t="s">
        <v>2896</v>
      </c>
      <c r="H261" s="157">
        <f t="shared" si="4"/>
        <v>495.74999999999994</v>
      </c>
      <c r="I261" s="189">
        <v>79.319999999999993</v>
      </c>
    </row>
    <row r="262" spans="1:12">
      <c r="A262" t="s">
        <v>2523</v>
      </c>
      <c r="B262" s="1">
        <v>41754</v>
      </c>
      <c r="C262" t="s">
        <v>2524</v>
      </c>
      <c r="D262">
        <v>1</v>
      </c>
      <c r="E262" t="s">
        <v>2525</v>
      </c>
      <c r="F262" s="184" t="s">
        <v>925</v>
      </c>
      <c r="G262" s="137" t="s">
        <v>926</v>
      </c>
      <c r="H262" s="160">
        <f t="shared" si="4"/>
        <v>516.625</v>
      </c>
      <c r="I262" s="160">
        <v>82.66</v>
      </c>
      <c r="J262" s="2">
        <f>1409-H261-H260-H262</f>
        <v>0</v>
      </c>
      <c r="K262" s="3">
        <f>225.44-I260-I261-I262</f>
        <v>0</v>
      </c>
    </row>
    <row r="263" spans="1:12">
      <c r="A263" t="s">
        <v>2514</v>
      </c>
      <c r="B263" s="1">
        <v>41754</v>
      </c>
      <c r="C263">
        <v>9980</v>
      </c>
      <c r="D263">
        <v>1</v>
      </c>
      <c r="E263" t="s">
        <v>2515</v>
      </c>
      <c r="F263" s="180" t="s">
        <v>1649</v>
      </c>
      <c r="G263" s="149" t="s">
        <v>2896</v>
      </c>
      <c r="H263" s="157">
        <f t="shared" si="4"/>
        <v>86.25</v>
      </c>
      <c r="I263" s="189">
        <v>13.8</v>
      </c>
      <c r="J263" s="3"/>
    </row>
    <row r="264" spans="1:12">
      <c r="A264" t="s">
        <v>2514</v>
      </c>
      <c r="B264" s="1">
        <v>41754</v>
      </c>
      <c r="C264">
        <v>9980</v>
      </c>
      <c r="D264">
        <v>1</v>
      </c>
      <c r="E264" t="s">
        <v>2515</v>
      </c>
      <c r="F264" s="180" t="s">
        <v>901</v>
      </c>
      <c r="G264" s="149" t="s">
        <v>1598</v>
      </c>
      <c r="H264" s="157">
        <f t="shared" si="4"/>
        <v>98.25</v>
      </c>
      <c r="I264" s="189">
        <v>15.72</v>
      </c>
      <c r="J264" s="3"/>
    </row>
    <row r="265" spans="1:12">
      <c r="A265" t="s">
        <v>2514</v>
      </c>
      <c r="B265" s="1">
        <v>41754</v>
      </c>
      <c r="C265">
        <v>9980</v>
      </c>
      <c r="D265">
        <v>1</v>
      </c>
      <c r="E265" t="s">
        <v>2515</v>
      </c>
      <c r="F265" s="180" t="s">
        <v>923</v>
      </c>
      <c r="G265" s="149" t="s">
        <v>927</v>
      </c>
      <c r="H265" s="157">
        <f t="shared" si="4"/>
        <v>298.25</v>
      </c>
      <c r="I265" s="189">
        <v>47.72</v>
      </c>
      <c r="J265" s="3"/>
    </row>
    <row r="266" spans="1:12">
      <c r="A266" t="s">
        <v>2514</v>
      </c>
      <c r="B266" s="1">
        <v>41754</v>
      </c>
      <c r="C266">
        <v>9980</v>
      </c>
      <c r="D266">
        <v>1</v>
      </c>
      <c r="E266" t="s">
        <v>2515</v>
      </c>
      <c r="F266" s="180" t="s">
        <v>2897</v>
      </c>
      <c r="G266" s="149" t="s">
        <v>2898</v>
      </c>
      <c r="H266" s="157">
        <f t="shared" si="4"/>
        <v>251.18749999999997</v>
      </c>
      <c r="I266" s="157">
        <v>40.19</v>
      </c>
      <c r="J266" s="3"/>
    </row>
    <row r="267" spans="1:12">
      <c r="A267" t="s">
        <v>2514</v>
      </c>
      <c r="B267" s="1">
        <v>41754</v>
      </c>
      <c r="C267">
        <v>9980</v>
      </c>
      <c r="D267">
        <v>1</v>
      </c>
      <c r="E267" t="s">
        <v>2515</v>
      </c>
      <c r="F267" s="180" t="s">
        <v>2363</v>
      </c>
      <c r="G267" s="149" t="s">
        <v>2364</v>
      </c>
      <c r="H267" s="157">
        <f t="shared" si="4"/>
        <v>125.5625</v>
      </c>
      <c r="I267" s="157">
        <v>20.09</v>
      </c>
      <c r="J267" s="3"/>
    </row>
    <row r="268" spans="1:12">
      <c r="A268" t="s">
        <v>2514</v>
      </c>
      <c r="B268" s="1">
        <v>41754</v>
      </c>
      <c r="C268">
        <v>9980</v>
      </c>
      <c r="D268">
        <v>1</v>
      </c>
      <c r="E268" t="s">
        <v>2515</v>
      </c>
      <c r="F268" s="187" t="s">
        <v>763</v>
      </c>
      <c r="G268" t="s">
        <v>900</v>
      </c>
      <c r="H268" s="159">
        <f t="shared" si="4"/>
        <v>258.6875</v>
      </c>
      <c r="I268" s="159">
        <v>41.39</v>
      </c>
      <c r="J268" s="3">
        <f>1118.13-H263-H264-H265-H266-H267-H268</f>
        <v>-5.7499999999890861E-2</v>
      </c>
      <c r="K268" s="3">
        <f>178.9-I263-I264-I265-I266-I267-I268</f>
        <v>-1.0000000000005116E-2</v>
      </c>
      <c r="L268" t="s">
        <v>850</v>
      </c>
    </row>
    <row r="269" spans="1:12">
      <c r="A269" t="s">
        <v>2526</v>
      </c>
      <c r="B269" s="1">
        <v>41754</v>
      </c>
      <c r="C269" t="s">
        <v>2527</v>
      </c>
      <c r="D269">
        <v>1</v>
      </c>
      <c r="E269" t="s">
        <v>2528</v>
      </c>
      <c r="F269" s="180" t="s">
        <v>901</v>
      </c>
      <c r="G269" s="149" t="s">
        <v>1598</v>
      </c>
      <c r="H269" s="157">
        <f t="shared" ref="H269:H274" si="5">I269/0.16</f>
        <v>88.8125</v>
      </c>
      <c r="I269" s="189">
        <v>14.21</v>
      </c>
      <c r="J269" s="3"/>
    </row>
    <row r="270" spans="1:12">
      <c r="A270" t="s">
        <v>2526</v>
      </c>
      <c r="B270" s="1">
        <v>41754</v>
      </c>
      <c r="C270" t="s">
        <v>2527</v>
      </c>
      <c r="D270">
        <v>1</v>
      </c>
      <c r="E270" t="s">
        <v>2528</v>
      </c>
      <c r="F270" s="184" t="s">
        <v>2330</v>
      </c>
      <c r="G270" s="137" t="s">
        <v>2899</v>
      </c>
      <c r="H270" s="160">
        <f t="shared" si="5"/>
        <v>393.625</v>
      </c>
      <c r="I270" s="160">
        <v>62.98</v>
      </c>
    </row>
    <row r="271" spans="1:12">
      <c r="A271" t="s">
        <v>2526</v>
      </c>
      <c r="B271" s="1">
        <v>41754</v>
      </c>
      <c r="C271" t="s">
        <v>2527</v>
      </c>
      <c r="D271">
        <v>1</v>
      </c>
      <c r="E271" t="s">
        <v>2528</v>
      </c>
      <c r="F271" s="187" t="s">
        <v>763</v>
      </c>
      <c r="G271" t="s">
        <v>900</v>
      </c>
      <c r="H271" s="159">
        <f t="shared" si="5"/>
        <v>258.6875</v>
      </c>
      <c r="I271" s="159">
        <v>41.39</v>
      </c>
      <c r="J271" s="2">
        <f>741.13-H269-H270-H271</f>
        <v>4.9999999999954525E-3</v>
      </c>
      <c r="K271" s="3">
        <f>118.58-I269-I270-I271</f>
        <v>0</v>
      </c>
    </row>
    <row r="272" spans="1:12">
      <c r="A272" t="s">
        <v>2629</v>
      </c>
      <c r="B272" s="1">
        <v>41759</v>
      </c>
      <c r="C272">
        <v>10071</v>
      </c>
      <c r="D272">
        <v>1</v>
      </c>
      <c r="E272" t="s">
        <v>2630</v>
      </c>
      <c r="F272" s="187" t="s">
        <v>763</v>
      </c>
      <c r="G272" t="s">
        <v>900</v>
      </c>
      <c r="H272" s="159">
        <f t="shared" si="5"/>
        <v>503.5</v>
      </c>
      <c r="I272" s="159">
        <v>80.56</v>
      </c>
      <c r="J272" s="3"/>
    </row>
    <row r="273" spans="1:11">
      <c r="A273" t="s">
        <v>2629</v>
      </c>
      <c r="B273" s="1">
        <v>41759</v>
      </c>
      <c r="C273">
        <v>10071</v>
      </c>
      <c r="D273">
        <v>1</v>
      </c>
      <c r="E273" t="s">
        <v>2630</v>
      </c>
      <c r="F273" s="180" t="s">
        <v>1635</v>
      </c>
      <c r="G273" s="149" t="s">
        <v>2901</v>
      </c>
      <c r="H273" s="157">
        <f t="shared" si="5"/>
        <v>86.187499999999986</v>
      </c>
      <c r="I273" s="190">
        <v>13.79</v>
      </c>
    </row>
    <row r="274" spans="1:11">
      <c r="A274" t="s">
        <v>2629</v>
      </c>
      <c r="B274" s="1">
        <v>41759</v>
      </c>
      <c r="C274">
        <v>10071</v>
      </c>
      <c r="D274">
        <v>1</v>
      </c>
      <c r="E274" t="s">
        <v>2630</v>
      </c>
      <c r="F274" s="180" t="s">
        <v>2902</v>
      </c>
      <c r="G274" s="149" t="s">
        <v>2903</v>
      </c>
      <c r="H274" s="157">
        <f t="shared" si="5"/>
        <v>209.375</v>
      </c>
      <c r="I274" s="157">
        <v>33.5</v>
      </c>
      <c r="J274" s="2">
        <f>799.06-H272-H273-H274</f>
        <v>-2.5000000000545697E-3</v>
      </c>
      <c r="K274" s="3">
        <f>127.85-I272-I273-I274</f>
        <v>0</v>
      </c>
    </row>
    <row r="275" spans="1:11">
      <c r="A275" t="s">
        <v>2529</v>
      </c>
      <c r="B275" s="1">
        <v>41754</v>
      </c>
      <c r="C275">
        <v>9987</v>
      </c>
      <c r="D275">
        <v>1</v>
      </c>
      <c r="E275" t="s">
        <v>2530</v>
      </c>
      <c r="F275" s="187" t="s">
        <v>763</v>
      </c>
      <c r="G275" t="s">
        <v>900</v>
      </c>
      <c r="H275" s="159">
        <f t="shared" ref="H275:H278" si="6">I275/0.16</f>
        <v>521.6875</v>
      </c>
      <c r="I275" s="159">
        <v>83.47</v>
      </c>
      <c r="J275" s="3"/>
    </row>
    <row r="276" spans="1:11">
      <c r="A276" t="s">
        <v>2529</v>
      </c>
      <c r="B276" s="1">
        <v>41754</v>
      </c>
      <c r="C276">
        <v>9987</v>
      </c>
      <c r="D276">
        <v>1</v>
      </c>
      <c r="E276" t="s">
        <v>2530</v>
      </c>
      <c r="F276" s="180" t="s">
        <v>923</v>
      </c>
      <c r="G276" s="149" t="s">
        <v>927</v>
      </c>
      <c r="H276" s="157">
        <f t="shared" si="6"/>
        <v>237.0625</v>
      </c>
      <c r="I276" s="189">
        <v>37.93</v>
      </c>
    </row>
    <row r="277" spans="1:11">
      <c r="A277" t="s">
        <v>2529</v>
      </c>
      <c r="B277" s="1">
        <v>41754</v>
      </c>
      <c r="C277">
        <v>9987</v>
      </c>
      <c r="D277">
        <v>1</v>
      </c>
      <c r="E277" t="s">
        <v>2530</v>
      </c>
      <c r="F277" s="180" t="s">
        <v>1629</v>
      </c>
      <c r="G277" s="149" t="s">
        <v>1630</v>
      </c>
      <c r="H277" s="157">
        <f t="shared" si="6"/>
        <v>215.49999999999997</v>
      </c>
      <c r="I277" s="189">
        <v>34.479999999999997</v>
      </c>
    </row>
    <row r="278" spans="1:11">
      <c r="A278" t="s">
        <v>2529</v>
      </c>
      <c r="B278" s="1">
        <v>41754</v>
      </c>
      <c r="C278">
        <v>9987</v>
      </c>
      <c r="D278">
        <v>1</v>
      </c>
      <c r="E278" t="s">
        <v>2530</v>
      </c>
      <c r="F278" s="180" t="s">
        <v>1611</v>
      </c>
      <c r="G278" s="149" t="s">
        <v>1612</v>
      </c>
      <c r="H278" s="157">
        <f t="shared" si="6"/>
        <v>316.3125</v>
      </c>
      <c r="I278" s="190">
        <v>50.61</v>
      </c>
      <c r="J278" s="2">
        <f>1290.56-H275-H276-H277-H278</f>
        <v>-2.5000000000545697E-3</v>
      </c>
      <c r="K278" s="3">
        <f>206.49-I275-I276-I277-I278</f>
        <v>0</v>
      </c>
    </row>
    <row r="279" spans="1:11">
      <c r="A279" t="s">
        <v>2452</v>
      </c>
      <c r="B279" s="1">
        <v>41743</v>
      </c>
      <c r="C279" t="s">
        <v>2453</v>
      </c>
      <c r="D279">
        <v>1</v>
      </c>
      <c r="E279" t="s">
        <v>2454</v>
      </c>
      <c r="F279" s="187" t="s">
        <v>763</v>
      </c>
      <c r="G279" t="s">
        <v>900</v>
      </c>
      <c r="H279" s="159">
        <f t="shared" ref="H279:H285" si="7">I279/0.16</f>
        <v>655.25</v>
      </c>
      <c r="I279" s="159">
        <v>104.84</v>
      </c>
      <c r="J279" s="3"/>
    </row>
    <row r="280" spans="1:11">
      <c r="A280" t="s">
        <v>2452</v>
      </c>
      <c r="B280" s="1">
        <v>41743</v>
      </c>
      <c r="C280" t="s">
        <v>2453</v>
      </c>
      <c r="D280">
        <v>1</v>
      </c>
      <c r="E280" t="s">
        <v>2454</v>
      </c>
      <c r="F280" s="151" t="s">
        <v>2904</v>
      </c>
      <c r="G280" s="149" t="s">
        <v>2905</v>
      </c>
      <c r="H280" s="157">
        <f t="shared" si="7"/>
        <v>99.125</v>
      </c>
      <c r="I280" s="157">
        <v>15.86</v>
      </c>
    </row>
    <row r="281" spans="1:11">
      <c r="A281" t="s">
        <v>2452</v>
      </c>
      <c r="B281" s="1">
        <v>41743</v>
      </c>
      <c r="C281" t="s">
        <v>2453</v>
      </c>
      <c r="D281">
        <v>1</v>
      </c>
      <c r="E281" t="s">
        <v>2454</v>
      </c>
      <c r="F281" s="184" t="s">
        <v>2349</v>
      </c>
      <c r="G281" s="137" t="s">
        <v>2906</v>
      </c>
      <c r="H281" s="160">
        <f t="shared" si="7"/>
        <v>355.9375</v>
      </c>
      <c r="I281" s="160">
        <v>56.95</v>
      </c>
    </row>
    <row r="282" spans="1:11">
      <c r="A282" t="s">
        <v>2452</v>
      </c>
      <c r="B282" s="1">
        <v>41743</v>
      </c>
      <c r="C282" t="s">
        <v>2453</v>
      </c>
      <c r="D282">
        <v>1</v>
      </c>
      <c r="E282" t="s">
        <v>2454</v>
      </c>
      <c r="F282" s="180" t="s">
        <v>1605</v>
      </c>
      <c r="G282" s="149" t="s">
        <v>2351</v>
      </c>
      <c r="H282" s="157">
        <f t="shared" si="7"/>
        <v>629.3125</v>
      </c>
      <c r="I282" s="157">
        <v>100.69</v>
      </c>
    </row>
    <row r="283" spans="1:11">
      <c r="A283" t="s">
        <v>2452</v>
      </c>
      <c r="B283" s="1">
        <v>41743</v>
      </c>
      <c r="C283" t="s">
        <v>2453</v>
      </c>
      <c r="D283">
        <v>1</v>
      </c>
      <c r="E283" t="s">
        <v>2454</v>
      </c>
      <c r="F283" s="164" t="s">
        <v>2907</v>
      </c>
      <c r="G283" s="137" t="s">
        <v>2908</v>
      </c>
      <c r="H283" s="160">
        <f t="shared" si="7"/>
        <v>565.125</v>
      </c>
      <c r="I283" s="160">
        <v>90.42</v>
      </c>
    </row>
    <row r="284" spans="1:11">
      <c r="A284" t="s">
        <v>2452</v>
      </c>
      <c r="B284" s="1">
        <v>41743</v>
      </c>
      <c r="C284" t="s">
        <v>2453</v>
      </c>
      <c r="D284">
        <v>1</v>
      </c>
      <c r="E284" t="s">
        <v>2454</v>
      </c>
      <c r="F284" s="184" t="s">
        <v>2909</v>
      </c>
      <c r="G284" s="137" t="s">
        <v>2910</v>
      </c>
      <c r="H284" s="160">
        <f t="shared" si="7"/>
        <v>586.0625</v>
      </c>
      <c r="I284" s="160">
        <v>93.77</v>
      </c>
      <c r="J284" s="2">
        <f>2890.81-H279-H280-H281-H282-H283-H284</f>
        <v>-2.5000000000545697E-3</v>
      </c>
      <c r="K284" s="3">
        <f>462.53-I279-I280-I281-I283-I282-I284</f>
        <v>0</v>
      </c>
    </row>
    <row r="285" spans="1:11">
      <c r="A285" t="s">
        <v>2627</v>
      </c>
      <c r="B285" s="1">
        <v>41759</v>
      </c>
      <c r="C285" t="s">
        <v>2628</v>
      </c>
      <c r="D285">
        <v>1</v>
      </c>
      <c r="E285" t="s">
        <v>2077</v>
      </c>
      <c r="F285" s="184" t="s">
        <v>914</v>
      </c>
      <c r="G285" s="137" t="s">
        <v>915</v>
      </c>
      <c r="H285" s="160">
        <f t="shared" si="7"/>
        <v>376.8125</v>
      </c>
      <c r="I285" s="189">
        <v>60.29</v>
      </c>
      <c r="J285" s="3"/>
    </row>
    <row r="286" spans="1:11">
      <c r="A286" t="s">
        <v>2627</v>
      </c>
      <c r="B286" s="1">
        <v>41759</v>
      </c>
      <c r="C286" t="s">
        <v>2628</v>
      </c>
      <c r="D286">
        <v>1</v>
      </c>
      <c r="E286" t="s">
        <v>2077</v>
      </c>
      <c r="F286" s="180" t="s">
        <v>923</v>
      </c>
      <c r="G286" s="149" t="s">
        <v>2911</v>
      </c>
      <c r="H286" s="157">
        <f>I286/0.16</f>
        <v>359.5</v>
      </c>
      <c r="I286" s="189">
        <v>57.52</v>
      </c>
      <c r="J286" s="3"/>
    </row>
    <row r="287" spans="1:11">
      <c r="A287" t="s">
        <v>2627</v>
      </c>
      <c r="B287" s="1">
        <v>41759</v>
      </c>
      <c r="C287" t="s">
        <v>2628</v>
      </c>
      <c r="D287">
        <v>1</v>
      </c>
      <c r="E287" t="s">
        <v>2077</v>
      </c>
      <c r="F287" s="149" t="s">
        <v>2912</v>
      </c>
      <c r="G287" s="149" t="s">
        <v>2913</v>
      </c>
      <c r="H287" s="157">
        <f>I287/0.16</f>
        <v>86.187499999999986</v>
      </c>
      <c r="I287" s="157">
        <v>13.79</v>
      </c>
      <c r="J287" s="3"/>
    </row>
    <row r="288" spans="1:11">
      <c r="A288" t="s">
        <v>2627</v>
      </c>
      <c r="B288" s="1">
        <v>41759</v>
      </c>
      <c r="C288" t="s">
        <v>2628</v>
      </c>
      <c r="D288">
        <v>1</v>
      </c>
      <c r="E288" t="s">
        <v>2077</v>
      </c>
      <c r="F288" s="187" t="s">
        <v>763</v>
      </c>
      <c r="G288" t="s">
        <v>900</v>
      </c>
      <c r="H288" s="159">
        <f>I288/0.16</f>
        <v>430.1875</v>
      </c>
      <c r="I288" s="159">
        <v>68.83</v>
      </c>
      <c r="J288" s="3">
        <f>1252.69-H285-H286-H287-H288</f>
        <v>2.5000000000545697E-3</v>
      </c>
      <c r="K288" s="3">
        <f>200.43-I285-I286-I287-I288</f>
        <v>0</v>
      </c>
    </row>
    <row r="289" spans="1:12">
      <c r="A289" t="s">
        <v>259</v>
      </c>
      <c r="B289" s="1">
        <v>41759</v>
      </c>
      <c r="C289" t="s">
        <v>2658</v>
      </c>
      <c r="D289">
        <v>1</v>
      </c>
      <c r="E289" t="s">
        <v>2077</v>
      </c>
      <c r="F289" s="184" t="s">
        <v>914</v>
      </c>
      <c r="G289" s="137" t="s">
        <v>915</v>
      </c>
      <c r="H289" s="160">
        <f>I289/0.16</f>
        <v>360.0625</v>
      </c>
      <c r="I289" s="189">
        <v>57.61</v>
      </c>
      <c r="J289" s="3"/>
    </row>
    <row r="290" spans="1:12">
      <c r="A290" t="s">
        <v>259</v>
      </c>
      <c r="B290" s="1">
        <v>41759</v>
      </c>
      <c r="C290" t="s">
        <v>2658</v>
      </c>
      <c r="D290">
        <v>1</v>
      </c>
      <c r="E290" t="s">
        <v>2077</v>
      </c>
      <c r="F290" s="180" t="s">
        <v>923</v>
      </c>
      <c r="G290" s="149" t="s">
        <v>927</v>
      </c>
      <c r="H290" s="157">
        <f>I290/0.16</f>
        <v>359.5</v>
      </c>
      <c r="I290" s="189">
        <v>57.52</v>
      </c>
      <c r="J290" s="3"/>
    </row>
    <row r="291" spans="1:12">
      <c r="A291" t="s">
        <v>259</v>
      </c>
      <c r="B291" s="1">
        <v>41759</v>
      </c>
      <c r="C291" t="s">
        <v>2658</v>
      </c>
      <c r="D291">
        <v>1</v>
      </c>
      <c r="E291" t="s">
        <v>2077</v>
      </c>
      <c r="F291" s="187" t="s">
        <v>763</v>
      </c>
      <c r="G291" t="s">
        <v>900</v>
      </c>
      <c r="H291" s="159">
        <f t="shared" ref="H291" si="8">I291/0.16</f>
        <v>547.6875</v>
      </c>
      <c r="I291" s="159">
        <v>87.63</v>
      </c>
      <c r="J291" s="3">
        <f>1267-H289-H290-H291</f>
        <v>-0.25</v>
      </c>
      <c r="K291" s="3">
        <f>202.72-I289-I290-I291</f>
        <v>-3.9999999999992042E-2</v>
      </c>
      <c r="L291" t="s">
        <v>850</v>
      </c>
    </row>
    <row r="292" spans="1:12">
      <c r="A292" t="s">
        <v>2531</v>
      </c>
      <c r="B292" s="1">
        <v>41754</v>
      </c>
      <c r="C292" t="s">
        <v>2532</v>
      </c>
      <c r="D292">
        <v>1</v>
      </c>
      <c r="E292" t="s">
        <v>2533</v>
      </c>
      <c r="F292" s="184" t="s">
        <v>914</v>
      </c>
      <c r="G292" s="137" t="s">
        <v>915</v>
      </c>
      <c r="H292" s="160">
        <f t="shared" ref="H292:H296" si="9">I292/0.16</f>
        <v>376.8125</v>
      </c>
      <c r="I292" s="189">
        <v>60.29</v>
      </c>
      <c r="J292" s="3"/>
    </row>
    <row r="293" spans="1:12">
      <c r="A293" t="s">
        <v>2531</v>
      </c>
      <c r="B293" s="1">
        <v>41754</v>
      </c>
      <c r="C293" t="s">
        <v>2532</v>
      </c>
      <c r="D293">
        <v>1</v>
      </c>
      <c r="E293" t="s">
        <v>2533</v>
      </c>
      <c r="F293" s="180" t="s">
        <v>923</v>
      </c>
      <c r="G293" s="149" t="s">
        <v>927</v>
      </c>
      <c r="H293" s="157">
        <f t="shared" si="9"/>
        <v>366.375</v>
      </c>
      <c r="I293" s="189">
        <v>58.62</v>
      </c>
    </row>
    <row r="294" spans="1:12">
      <c r="A294" t="s">
        <v>2531</v>
      </c>
      <c r="B294" s="1">
        <v>41754</v>
      </c>
      <c r="C294" t="s">
        <v>2532</v>
      </c>
      <c r="D294">
        <v>1</v>
      </c>
      <c r="E294" t="s">
        <v>2533</v>
      </c>
      <c r="F294" s="180" t="s">
        <v>2914</v>
      </c>
      <c r="G294" s="149" t="s">
        <v>2915</v>
      </c>
      <c r="H294" s="157">
        <f t="shared" si="9"/>
        <v>73.25</v>
      </c>
      <c r="I294" s="157">
        <v>11.72</v>
      </c>
    </row>
    <row r="295" spans="1:12">
      <c r="A295" t="s">
        <v>2531</v>
      </c>
      <c r="B295" s="1">
        <v>41754</v>
      </c>
      <c r="C295" t="s">
        <v>2532</v>
      </c>
      <c r="D295">
        <v>1</v>
      </c>
      <c r="E295" t="s">
        <v>2533</v>
      </c>
      <c r="F295" s="187" t="s">
        <v>763</v>
      </c>
      <c r="G295" t="s">
        <v>900</v>
      </c>
      <c r="H295" s="159">
        <f t="shared" si="9"/>
        <v>430.1875</v>
      </c>
      <c r="I295" s="159">
        <v>68.83</v>
      </c>
      <c r="J295" s="3">
        <f>1246.63-H292-H293-H294-H295</f>
        <v>5.0000000001091394E-3</v>
      </c>
      <c r="K295" s="3">
        <f>199.46-I292-I293-I294-I295</f>
        <v>0</v>
      </c>
    </row>
    <row r="296" spans="1:12">
      <c r="A296" t="s">
        <v>2455</v>
      </c>
      <c r="B296" s="1">
        <v>41743</v>
      </c>
      <c r="C296" t="s">
        <v>2456</v>
      </c>
      <c r="D296">
        <v>1</v>
      </c>
      <c r="E296" t="s">
        <v>2092</v>
      </c>
      <c r="F296" s="187" t="s">
        <v>763</v>
      </c>
      <c r="G296" s="9" t="s">
        <v>900</v>
      </c>
      <c r="H296" s="159">
        <f t="shared" si="9"/>
        <v>274.25</v>
      </c>
      <c r="I296" s="159">
        <v>43.88</v>
      </c>
      <c r="J296" s="3"/>
    </row>
    <row r="297" spans="1:12">
      <c r="A297" t="s">
        <v>2455</v>
      </c>
      <c r="B297" s="1">
        <v>41743</v>
      </c>
      <c r="C297" t="s">
        <v>2456</v>
      </c>
      <c r="D297">
        <v>1</v>
      </c>
      <c r="E297" t="s">
        <v>2092</v>
      </c>
      <c r="F297" s="180" t="s">
        <v>903</v>
      </c>
      <c r="G297" s="149" t="s">
        <v>2319</v>
      </c>
      <c r="H297" s="157">
        <v>94.8125</v>
      </c>
      <c r="I297" s="189">
        <v>15.17</v>
      </c>
      <c r="J297" s="3"/>
    </row>
    <row r="298" spans="1:12">
      <c r="A298" t="s">
        <v>2455</v>
      </c>
      <c r="B298" s="1">
        <v>41743</v>
      </c>
      <c r="C298" t="s">
        <v>2456</v>
      </c>
      <c r="D298">
        <v>1</v>
      </c>
      <c r="E298" t="s">
        <v>2092</v>
      </c>
      <c r="F298" s="180" t="s">
        <v>923</v>
      </c>
      <c r="G298" s="149" t="s">
        <v>2916</v>
      </c>
      <c r="H298" s="157">
        <v>298.25</v>
      </c>
      <c r="I298" s="189">
        <v>47.72</v>
      </c>
      <c r="J298" s="3"/>
    </row>
    <row r="299" spans="1:12">
      <c r="A299" t="s">
        <v>2455</v>
      </c>
      <c r="B299" s="1">
        <v>41743</v>
      </c>
      <c r="C299" t="s">
        <v>2456</v>
      </c>
      <c r="D299">
        <v>1</v>
      </c>
      <c r="E299" t="s">
        <v>2092</v>
      </c>
      <c r="F299" s="180" t="s">
        <v>1591</v>
      </c>
      <c r="G299" s="149" t="s">
        <v>2917</v>
      </c>
      <c r="H299" s="157">
        <v>293.125</v>
      </c>
      <c r="I299" s="190">
        <v>46.9</v>
      </c>
      <c r="J299" s="3">
        <f>960.44-H296-H297-H298-H299</f>
        <v>2.5000000000545697E-3</v>
      </c>
      <c r="K299" s="3">
        <f>153.67-I296-I297-I298-I299</f>
        <v>0</v>
      </c>
    </row>
    <row r="300" spans="1:12">
      <c r="A300" t="s">
        <v>1785</v>
      </c>
      <c r="B300" s="1">
        <v>41743</v>
      </c>
      <c r="C300" t="s">
        <v>2466</v>
      </c>
      <c r="D300">
        <v>1</v>
      </c>
      <c r="E300" t="s">
        <v>2092</v>
      </c>
      <c r="F300" s="187" t="s">
        <v>763</v>
      </c>
      <c r="G300" t="s">
        <v>900</v>
      </c>
      <c r="H300" s="159">
        <f t="shared" ref="H300" si="10">I300/0.16</f>
        <v>193.1875</v>
      </c>
      <c r="I300" s="159">
        <v>30.91</v>
      </c>
      <c r="J300" s="3"/>
    </row>
    <row r="301" spans="1:12">
      <c r="A301" t="s">
        <v>1785</v>
      </c>
      <c r="B301" s="1">
        <v>41743</v>
      </c>
      <c r="C301" t="s">
        <v>2466</v>
      </c>
      <c r="D301">
        <v>1</v>
      </c>
      <c r="E301" t="s">
        <v>2092</v>
      </c>
      <c r="F301" s="180" t="s">
        <v>923</v>
      </c>
      <c r="G301" s="149" t="s">
        <v>927</v>
      </c>
      <c r="H301" s="157">
        <v>200</v>
      </c>
      <c r="I301" s="189">
        <v>32</v>
      </c>
      <c r="J301" s="3"/>
    </row>
    <row r="302" spans="1:12">
      <c r="A302" t="s">
        <v>1785</v>
      </c>
      <c r="B302" s="1">
        <v>41743</v>
      </c>
      <c r="C302" t="s">
        <v>2466</v>
      </c>
      <c r="D302">
        <v>1</v>
      </c>
      <c r="E302" t="s">
        <v>2092</v>
      </c>
      <c r="F302" s="184" t="s">
        <v>2918</v>
      </c>
      <c r="G302" s="137" t="s">
        <v>2919</v>
      </c>
      <c r="H302" s="160">
        <v>251.18749999999997</v>
      </c>
      <c r="I302" s="160">
        <v>40.19</v>
      </c>
      <c r="J302" s="3">
        <f>644.38-H300-H301-H302</f>
        <v>5.0000000000238742E-3</v>
      </c>
      <c r="K302" s="3">
        <f>103.1-I300-I301-I302</f>
        <v>0</v>
      </c>
    </row>
    <row r="303" spans="1:12">
      <c r="A303" t="s">
        <v>1788</v>
      </c>
      <c r="B303" s="1">
        <v>41743</v>
      </c>
      <c r="C303" t="s">
        <v>2467</v>
      </c>
      <c r="D303">
        <v>1</v>
      </c>
      <c r="E303" t="s">
        <v>2092</v>
      </c>
      <c r="F303" s="187" t="s">
        <v>763</v>
      </c>
      <c r="G303" t="s">
        <v>900</v>
      </c>
      <c r="H303" s="159">
        <f>I303/0.16</f>
        <v>68.9375</v>
      </c>
      <c r="I303" s="159">
        <v>11.03</v>
      </c>
      <c r="J303" s="3"/>
    </row>
    <row r="304" spans="1:12">
      <c r="A304" t="s">
        <v>1788</v>
      </c>
      <c r="B304" s="1">
        <v>41743</v>
      </c>
      <c r="C304" t="s">
        <v>2467</v>
      </c>
      <c r="D304">
        <v>1</v>
      </c>
      <c r="E304" t="s">
        <v>2092</v>
      </c>
      <c r="F304" s="187" t="s">
        <v>763</v>
      </c>
      <c r="G304" t="s">
        <v>900</v>
      </c>
      <c r="H304" s="159">
        <f>I304/0.16</f>
        <v>176.8125</v>
      </c>
      <c r="I304" s="159">
        <v>28.29</v>
      </c>
    </row>
    <row r="305" spans="1:12">
      <c r="A305" t="s">
        <v>1788</v>
      </c>
      <c r="B305" s="1">
        <v>41743</v>
      </c>
      <c r="C305" t="s">
        <v>2467</v>
      </c>
      <c r="D305">
        <v>1</v>
      </c>
      <c r="E305" t="s">
        <v>2092</v>
      </c>
      <c r="F305" s="180" t="s">
        <v>901</v>
      </c>
      <c r="G305" s="149" t="s">
        <v>1598</v>
      </c>
      <c r="H305" s="157">
        <v>92.25</v>
      </c>
      <c r="I305" s="189">
        <v>14.76</v>
      </c>
    </row>
    <row r="306" spans="1:12">
      <c r="A306" t="s">
        <v>1788</v>
      </c>
      <c r="B306" s="1">
        <v>41743</v>
      </c>
      <c r="C306" t="s">
        <v>2467</v>
      </c>
      <c r="D306">
        <v>1</v>
      </c>
      <c r="E306" t="s">
        <v>2092</v>
      </c>
      <c r="F306" s="180" t="s">
        <v>923</v>
      </c>
      <c r="G306" s="149" t="s">
        <v>927</v>
      </c>
      <c r="H306" s="157">
        <v>298.25</v>
      </c>
      <c r="I306" s="189">
        <v>47.72</v>
      </c>
    </row>
    <row r="307" spans="1:12">
      <c r="A307" t="s">
        <v>1788</v>
      </c>
      <c r="B307" s="1">
        <v>41743</v>
      </c>
      <c r="C307" t="s">
        <v>2467</v>
      </c>
      <c r="D307">
        <v>1</v>
      </c>
      <c r="E307" t="s">
        <v>2092</v>
      </c>
      <c r="F307" s="180" t="s">
        <v>2344</v>
      </c>
      <c r="G307" s="149" t="s">
        <v>2345</v>
      </c>
      <c r="H307" s="157">
        <v>344.8125</v>
      </c>
      <c r="I307" s="157">
        <v>55.17</v>
      </c>
      <c r="J307" s="2">
        <f>981.06-H303-H304-H305-H306-H307</f>
        <v>-2.5000000000545697E-3</v>
      </c>
      <c r="K307" s="3">
        <f>156.97-I303-I304-I305-I306-I307</f>
        <v>0</v>
      </c>
    </row>
    <row r="308" spans="1:12">
      <c r="A308" t="s">
        <v>2512</v>
      </c>
      <c r="B308" s="1">
        <v>41754</v>
      </c>
      <c r="C308">
        <v>9978</v>
      </c>
      <c r="D308">
        <v>1</v>
      </c>
      <c r="E308" t="s">
        <v>2513</v>
      </c>
      <c r="F308" s="180" t="s">
        <v>901</v>
      </c>
      <c r="G308" s="149" t="s">
        <v>1598</v>
      </c>
      <c r="H308" s="157">
        <f t="shared" ref="H308:H311" si="11">I308/0.16</f>
        <v>88.8125</v>
      </c>
      <c r="I308" s="189">
        <v>14.21</v>
      </c>
      <c r="J308" s="3"/>
    </row>
    <row r="309" spans="1:12">
      <c r="A309" t="s">
        <v>2512</v>
      </c>
      <c r="B309" s="1">
        <v>41754</v>
      </c>
      <c r="C309">
        <v>9978</v>
      </c>
      <c r="D309">
        <v>1</v>
      </c>
      <c r="E309" t="s">
        <v>2513</v>
      </c>
      <c r="F309" s="180" t="s">
        <v>923</v>
      </c>
      <c r="G309" s="149" t="s">
        <v>927</v>
      </c>
      <c r="H309" s="157">
        <f t="shared" si="11"/>
        <v>298.25</v>
      </c>
      <c r="I309" s="189">
        <v>47.72</v>
      </c>
      <c r="J309" s="3"/>
    </row>
    <row r="310" spans="1:12">
      <c r="A310" t="s">
        <v>2512</v>
      </c>
      <c r="B310" s="1">
        <v>41754</v>
      </c>
      <c r="C310">
        <v>9978</v>
      </c>
      <c r="D310">
        <v>1</v>
      </c>
      <c r="E310" t="s">
        <v>2513</v>
      </c>
      <c r="F310" s="184" t="s">
        <v>905</v>
      </c>
      <c r="G310" s="137" t="s">
        <v>1599</v>
      </c>
      <c r="H310" s="160">
        <f t="shared" si="11"/>
        <v>391</v>
      </c>
      <c r="I310" s="160">
        <v>62.56</v>
      </c>
      <c r="J310" s="3"/>
    </row>
    <row r="311" spans="1:12">
      <c r="A311" t="s">
        <v>2512</v>
      </c>
      <c r="B311" s="1">
        <v>41754</v>
      </c>
      <c r="C311">
        <v>9978</v>
      </c>
      <c r="D311">
        <v>1</v>
      </c>
      <c r="E311" t="s">
        <v>2513</v>
      </c>
      <c r="F311" s="187" t="s">
        <v>763</v>
      </c>
      <c r="G311" t="s">
        <v>900</v>
      </c>
      <c r="H311" s="159">
        <f t="shared" si="11"/>
        <v>279.375</v>
      </c>
      <c r="I311" s="159">
        <v>44.7</v>
      </c>
      <c r="J311" s="3">
        <f>1053.13-H308-H309-H310-H311</f>
        <v>-4.3074999999998909</v>
      </c>
      <c r="K311" s="3">
        <f>168.5-I308-I309-I310-I311</f>
        <v>-0.69000000000001194</v>
      </c>
      <c r="L311" t="s">
        <v>850</v>
      </c>
    </row>
    <row r="312" spans="1:12">
      <c r="A312" t="s">
        <v>2536</v>
      </c>
      <c r="B312" s="1">
        <v>41754</v>
      </c>
      <c r="C312" t="s">
        <v>2537</v>
      </c>
      <c r="D312">
        <v>1</v>
      </c>
      <c r="E312" t="s">
        <v>2538</v>
      </c>
      <c r="F312" s="180" t="s">
        <v>923</v>
      </c>
      <c r="G312" s="149" t="s">
        <v>927</v>
      </c>
      <c r="H312" s="157">
        <f t="shared" ref="H312:H316" si="12">I312/0.16</f>
        <v>304.3125</v>
      </c>
      <c r="I312" s="189">
        <v>48.69</v>
      </c>
      <c r="J312" s="3"/>
    </row>
    <row r="313" spans="1:12">
      <c r="A313" t="s">
        <v>2536</v>
      </c>
      <c r="B313" s="1">
        <v>41754</v>
      </c>
      <c r="C313" t="s">
        <v>2537</v>
      </c>
      <c r="D313">
        <v>1</v>
      </c>
      <c r="E313" t="s">
        <v>2538</v>
      </c>
      <c r="F313" s="180" t="s">
        <v>2344</v>
      </c>
      <c r="G313" s="149" t="s">
        <v>2345</v>
      </c>
      <c r="H313" s="157">
        <f t="shared" si="12"/>
        <v>344.8125</v>
      </c>
      <c r="I313" s="157">
        <v>55.17</v>
      </c>
      <c r="J313" s="3"/>
    </row>
    <row r="314" spans="1:12">
      <c r="A314" t="s">
        <v>2536</v>
      </c>
      <c r="B314" s="1">
        <v>41754</v>
      </c>
      <c r="C314" t="s">
        <v>2537</v>
      </c>
      <c r="D314">
        <v>1</v>
      </c>
      <c r="E314" t="s">
        <v>2538</v>
      </c>
      <c r="F314" s="180" t="s">
        <v>2342</v>
      </c>
      <c r="G314" s="149" t="s">
        <v>2920</v>
      </c>
      <c r="H314" s="157">
        <f t="shared" si="12"/>
        <v>86.187499999999986</v>
      </c>
      <c r="I314" s="157">
        <v>13.79</v>
      </c>
      <c r="J314" s="3"/>
    </row>
    <row r="315" spans="1:12">
      <c r="A315" t="s">
        <v>2536</v>
      </c>
      <c r="B315" s="1">
        <v>41754</v>
      </c>
      <c r="C315" t="s">
        <v>2537</v>
      </c>
      <c r="D315">
        <v>1</v>
      </c>
      <c r="E315" t="s">
        <v>2538</v>
      </c>
      <c r="F315" s="187" t="s">
        <v>763</v>
      </c>
      <c r="G315" t="s">
        <v>900</v>
      </c>
      <c r="H315" s="159">
        <f t="shared" si="12"/>
        <v>129.3125</v>
      </c>
      <c r="I315" s="159">
        <v>20.69</v>
      </c>
      <c r="J315" s="3"/>
    </row>
    <row r="316" spans="1:12">
      <c r="A316" t="s">
        <v>2536</v>
      </c>
      <c r="B316" s="1">
        <v>41754</v>
      </c>
      <c r="C316" t="s">
        <v>2537</v>
      </c>
      <c r="D316">
        <v>1</v>
      </c>
      <c r="E316" t="s">
        <v>2538</v>
      </c>
      <c r="F316" s="187" t="s">
        <v>763</v>
      </c>
      <c r="G316" t="s">
        <v>900</v>
      </c>
      <c r="H316" s="159">
        <f t="shared" si="12"/>
        <v>116.43749999999999</v>
      </c>
      <c r="I316" s="159">
        <v>18.63</v>
      </c>
      <c r="J316" s="3">
        <f>981.06-H312-H313-H314-H315-H316</f>
        <v>-2.5000000000403588E-3</v>
      </c>
      <c r="K316" s="3">
        <f>156.97-I312-I313-I314-I315-I316</f>
        <v>0</v>
      </c>
    </row>
    <row r="317" spans="1:12">
      <c r="A317" t="s">
        <v>263</v>
      </c>
      <c r="B317" s="1">
        <v>41759</v>
      </c>
      <c r="C317">
        <v>10091</v>
      </c>
      <c r="D317">
        <v>1</v>
      </c>
      <c r="E317" t="s">
        <v>2659</v>
      </c>
      <c r="F317" s="180" t="s">
        <v>903</v>
      </c>
      <c r="G317" s="149" t="s">
        <v>2319</v>
      </c>
      <c r="H317" s="157">
        <f t="shared" ref="H317:H320" si="13">I317/0.16</f>
        <v>86.187499999999986</v>
      </c>
      <c r="I317" s="189">
        <v>13.79</v>
      </c>
      <c r="J317" s="3"/>
    </row>
    <row r="318" spans="1:12">
      <c r="A318" t="s">
        <v>263</v>
      </c>
      <c r="B318" s="1">
        <v>41759</v>
      </c>
      <c r="C318">
        <v>10091</v>
      </c>
      <c r="D318">
        <v>1</v>
      </c>
      <c r="E318" t="s">
        <v>2659</v>
      </c>
      <c r="F318" s="180" t="s">
        <v>923</v>
      </c>
      <c r="G318" s="149" t="s">
        <v>927</v>
      </c>
      <c r="H318" s="157">
        <f t="shared" si="13"/>
        <v>200</v>
      </c>
      <c r="I318" s="189">
        <v>32</v>
      </c>
    </row>
    <row r="319" spans="1:12">
      <c r="A319" t="s">
        <v>263</v>
      </c>
      <c r="B319" s="1">
        <v>41759</v>
      </c>
      <c r="C319">
        <v>10091</v>
      </c>
      <c r="D319">
        <v>1</v>
      </c>
      <c r="E319" t="s">
        <v>2659</v>
      </c>
      <c r="F319" s="184" t="s">
        <v>905</v>
      </c>
      <c r="G319" s="137" t="s">
        <v>1599</v>
      </c>
      <c r="H319" s="160">
        <f t="shared" si="13"/>
        <v>460.625</v>
      </c>
      <c r="I319" s="160">
        <v>73.7</v>
      </c>
    </row>
    <row r="320" spans="1:12">
      <c r="A320" t="s">
        <v>263</v>
      </c>
      <c r="B320" s="1">
        <v>41759</v>
      </c>
      <c r="C320">
        <v>10091</v>
      </c>
      <c r="D320">
        <v>1</v>
      </c>
      <c r="E320" t="s">
        <v>2659</v>
      </c>
      <c r="F320" s="187" t="s">
        <v>763</v>
      </c>
      <c r="G320" t="s">
        <v>900</v>
      </c>
      <c r="H320" s="159">
        <f t="shared" si="13"/>
        <v>120.75</v>
      </c>
      <c r="I320" s="159">
        <v>19.32</v>
      </c>
      <c r="J320" s="2">
        <f>867.56-H317-H318-H319-H320</f>
        <v>-2.5000000000545697E-3</v>
      </c>
      <c r="K320" s="3">
        <f>138.81-I317-I318-I319-I320</f>
        <v>0</v>
      </c>
    </row>
    <row r="321" spans="1:11">
      <c r="A321" t="s">
        <v>2539</v>
      </c>
      <c r="B321" s="1">
        <v>41754</v>
      </c>
      <c r="C321">
        <v>9991</v>
      </c>
      <c r="D321">
        <v>1</v>
      </c>
      <c r="E321" t="s">
        <v>2540</v>
      </c>
      <c r="F321" s="187" t="s">
        <v>763</v>
      </c>
      <c r="G321" t="s">
        <v>900</v>
      </c>
      <c r="H321" s="159">
        <f t="shared" ref="H321:H324" si="14">I321/0.16</f>
        <v>139.625</v>
      </c>
      <c r="I321" s="159">
        <v>22.34</v>
      </c>
      <c r="J321" s="3"/>
    </row>
    <row r="322" spans="1:11">
      <c r="A322" t="s">
        <v>2539</v>
      </c>
      <c r="B322" s="1">
        <v>41754</v>
      </c>
      <c r="C322">
        <v>9991</v>
      </c>
      <c r="D322">
        <v>1</v>
      </c>
      <c r="E322" t="s">
        <v>2540</v>
      </c>
      <c r="F322" s="180" t="s">
        <v>923</v>
      </c>
      <c r="G322" s="149" t="s">
        <v>927</v>
      </c>
      <c r="H322" s="157">
        <f t="shared" si="14"/>
        <v>147.4375</v>
      </c>
      <c r="I322" s="189">
        <v>23.59</v>
      </c>
    </row>
    <row r="323" spans="1:11">
      <c r="A323" t="s">
        <v>2539</v>
      </c>
      <c r="B323" s="1">
        <v>41754</v>
      </c>
      <c r="C323">
        <v>9991</v>
      </c>
      <c r="D323">
        <v>1</v>
      </c>
      <c r="E323" t="s">
        <v>2540</v>
      </c>
      <c r="F323" s="184" t="s">
        <v>962</v>
      </c>
      <c r="G323" s="137" t="s">
        <v>963</v>
      </c>
      <c r="H323" s="160">
        <f t="shared" si="14"/>
        <v>334.9375</v>
      </c>
      <c r="I323" s="160">
        <v>53.59</v>
      </c>
    </row>
    <row r="324" spans="1:11">
      <c r="A324" t="s">
        <v>2539</v>
      </c>
      <c r="B324" s="1">
        <v>41754</v>
      </c>
      <c r="C324">
        <v>9991</v>
      </c>
      <c r="D324">
        <v>1</v>
      </c>
      <c r="E324" t="s">
        <v>2540</v>
      </c>
      <c r="F324" s="180" t="s">
        <v>966</v>
      </c>
      <c r="G324" s="149" t="s">
        <v>2921</v>
      </c>
      <c r="H324" s="157">
        <f t="shared" si="14"/>
        <v>40</v>
      </c>
      <c r="I324" s="157">
        <v>6.4</v>
      </c>
      <c r="J324" s="2">
        <f>662-H321-H322-H323-H324</f>
        <v>0</v>
      </c>
      <c r="K324" s="3">
        <f>105.92-I322-I321-I323-I324</f>
        <v>-8.8817841970012523E-15</v>
      </c>
    </row>
    <row r="325" spans="1:11">
      <c r="A325" t="s">
        <v>1998</v>
      </c>
      <c r="B325" s="1">
        <v>41759</v>
      </c>
      <c r="C325" t="s">
        <v>2631</v>
      </c>
      <c r="D325">
        <v>1</v>
      </c>
      <c r="E325" t="s">
        <v>2632</v>
      </c>
      <c r="F325" s="187" t="s">
        <v>763</v>
      </c>
      <c r="G325" t="s">
        <v>900</v>
      </c>
      <c r="H325" s="159">
        <f t="shared" ref="H325:H329" si="15">I325/0.16</f>
        <v>125.875</v>
      </c>
      <c r="I325" s="159">
        <v>20.14</v>
      </c>
      <c r="J325" s="3"/>
    </row>
    <row r="326" spans="1:11">
      <c r="A326" t="s">
        <v>1998</v>
      </c>
      <c r="B326" s="1">
        <v>41759</v>
      </c>
      <c r="C326" t="s">
        <v>2631</v>
      </c>
      <c r="D326">
        <v>1</v>
      </c>
      <c r="E326" t="s">
        <v>2632</v>
      </c>
      <c r="F326" s="180" t="s">
        <v>901</v>
      </c>
      <c r="G326" s="149" t="s">
        <v>1598</v>
      </c>
      <c r="H326" s="157">
        <f t="shared" si="15"/>
        <v>99.125</v>
      </c>
      <c r="I326" s="189">
        <v>15.86</v>
      </c>
      <c r="J326" s="3"/>
    </row>
    <row r="327" spans="1:11">
      <c r="A327" t="s">
        <v>1998</v>
      </c>
      <c r="B327" s="1">
        <v>41759</v>
      </c>
      <c r="C327" t="s">
        <v>2631</v>
      </c>
      <c r="D327">
        <v>1</v>
      </c>
      <c r="E327" t="s">
        <v>2632</v>
      </c>
      <c r="F327" s="184" t="s">
        <v>2349</v>
      </c>
      <c r="G327" s="137" t="s">
        <v>2906</v>
      </c>
      <c r="H327" s="160">
        <f t="shared" si="15"/>
        <v>335.125</v>
      </c>
      <c r="I327" s="160">
        <v>53.62</v>
      </c>
      <c r="J327" s="3"/>
    </row>
    <row r="328" spans="1:11">
      <c r="A328" t="s">
        <v>1998</v>
      </c>
      <c r="B328" s="1">
        <v>41759</v>
      </c>
      <c r="C328" t="s">
        <v>2631</v>
      </c>
      <c r="D328">
        <v>1</v>
      </c>
      <c r="E328" t="s">
        <v>2632</v>
      </c>
      <c r="F328" s="180" t="s">
        <v>1605</v>
      </c>
      <c r="G328" s="149" t="s">
        <v>2351</v>
      </c>
      <c r="H328" s="157">
        <f t="shared" si="15"/>
        <v>650.875</v>
      </c>
      <c r="I328" s="157">
        <v>104.14</v>
      </c>
      <c r="J328" s="3"/>
    </row>
    <row r="329" spans="1:11">
      <c r="A329" t="s">
        <v>1998</v>
      </c>
      <c r="B329" s="1">
        <v>41759</v>
      </c>
      <c r="C329" t="s">
        <v>2631</v>
      </c>
      <c r="D329">
        <v>1</v>
      </c>
      <c r="E329" t="s">
        <v>2632</v>
      </c>
      <c r="F329" s="180" t="s">
        <v>2352</v>
      </c>
      <c r="G329" s="149" t="s">
        <v>2922</v>
      </c>
      <c r="H329" s="157">
        <f t="shared" si="15"/>
        <v>780.5</v>
      </c>
      <c r="I329" s="157">
        <v>124.88</v>
      </c>
      <c r="J329" s="3">
        <f>1991.5-H325-H327-H326-H328-H329</f>
        <v>0</v>
      </c>
      <c r="K329" s="3">
        <f>318.64-I325-I326-I327-I328-I329</f>
        <v>0</v>
      </c>
    </row>
    <row r="330" spans="1:11">
      <c r="A330" t="s">
        <v>2463</v>
      </c>
      <c r="B330" s="1">
        <v>41743</v>
      </c>
      <c r="C330" t="s">
        <v>2464</v>
      </c>
      <c r="D330">
        <v>1</v>
      </c>
      <c r="E330" t="s">
        <v>2465</v>
      </c>
      <c r="F330" s="187" t="s">
        <v>763</v>
      </c>
      <c r="G330" t="s">
        <v>900</v>
      </c>
      <c r="H330" s="159">
        <f t="shared" ref="H330:H343" si="16">I330/0.16</f>
        <v>431.125</v>
      </c>
      <c r="I330" s="159">
        <v>68.98</v>
      </c>
      <c r="J330" s="3"/>
    </row>
    <row r="331" spans="1:11">
      <c r="A331" t="s">
        <v>2463</v>
      </c>
      <c r="B331" s="1">
        <v>41743</v>
      </c>
      <c r="C331" t="s">
        <v>2464</v>
      </c>
      <c r="D331">
        <v>1</v>
      </c>
      <c r="E331" t="s">
        <v>2465</v>
      </c>
      <c r="F331" s="187" t="s">
        <v>763</v>
      </c>
      <c r="G331" t="s">
        <v>900</v>
      </c>
      <c r="H331" s="159">
        <f t="shared" si="16"/>
        <v>116.43749999999999</v>
      </c>
      <c r="I331" s="159">
        <v>18.63</v>
      </c>
    </row>
    <row r="332" spans="1:11">
      <c r="A332" t="s">
        <v>2463</v>
      </c>
      <c r="B332" s="1">
        <v>41743</v>
      </c>
      <c r="C332" t="s">
        <v>2464</v>
      </c>
      <c r="D332">
        <v>1</v>
      </c>
      <c r="E332" t="s">
        <v>2465</v>
      </c>
      <c r="F332" s="180" t="s">
        <v>901</v>
      </c>
      <c r="G332" s="149" t="s">
        <v>1598</v>
      </c>
      <c r="H332" s="157">
        <f t="shared" si="16"/>
        <v>92.25</v>
      </c>
      <c r="I332" s="189">
        <v>14.76</v>
      </c>
    </row>
    <row r="333" spans="1:11">
      <c r="A333" t="s">
        <v>2463</v>
      </c>
      <c r="B333" s="1">
        <v>41743</v>
      </c>
      <c r="C333" t="s">
        <v>2464</v>
      </c>
      <c r="D333">
        <v>1</v>
      </c>
      <c r="E333" t="s">
        <v>2465</v>
      </c>
      <c r="F333" s="180" t="s">
        <v>923</v>
      </c>
      <c r="G333" s="149" t="s">
        <v>927</v>
      </c>
      <c r="H333" s="157">
        <f t="shared" si="16"/>
        <v>298.25</v>
      </c>
      <c r="I333" s="189">
        <v>47.72</v>
      </c>
    </row>
    <row r="334" spans="1:11">
      <c r="A334" t="s">
        <v>2463</v>
      </c>
      <c r="B334" s="1">
        <v>41743</v>
      </c>
      <c r="C334" t="s">
        <v>2464</v>
      </c>
      <c r="D334">
        <v>1</v>
      </c>
      <c r="E334" t="s">
        <v>2465</v>
      </c>
      <c r="F334" s="180" t="s">
        <v>1629</v>
      </c>
      <c r="G334" s="149" t="s">
        <v>1630</v>
      </c>
      <c r="H334" s="157">
        <f t="shared" si="16"/>
        <v>584.5</v>
      </c>
      <c r="I334" s="189">
        <v>93.52</v>
      </c>
    </row>
    <row r="335" spans="1:11">
      <c r="A335" t="s">
        <v>2463</v>
      </c>
      <c r="B335" s="1">
        <v>41743</v>
      </c>
      <c r="C335" t="s">
        <v>2464</v>
      </c>
      <c r="D335">
        <v>1</v>
      </c>
      <c r="E335" t="s">
        <v>2465</v>
      </c>
      <c r="F335" s="184" t="s">
        <v>1617</v>
      </c>
      <c r="G335" s="137" t="s">
        <v>2923</v>
      </c>
      <c r="H335" s="160">
        <f t="shared" si="16"/>
        <v>502.37499999999994</v>
      </c>
      <c r="I335" s="160">
        <v>80.38</v>
      </c>
    </row>
    <row r="336" spans="1:11">
      <c r="A336" t="s">
        <v>2463</v>
      </c>
      <c r="B336" s="1">
        <v>41743</v>
      </c>
      <c r="C336" t="s">
        <v>2464</v>
      </c>
      <c r="D336">
        <v>1</v>
      </c>
      <c r="E336" t="s">
        <v>2465</v>
      </c>
      <c r="F336" s="184" t="s">
        <v>925</v>
      </c>
      <c r="G336" s="137" t="s">
        <v>926</v>
      </c>
      <c r="H336" s="160">
        <f t="shared" si="16"/>
        <v>376.75</v>
      </c>
      <c r="I336" s="160">
        <v>60.28</v>
      </c>
      <c r="J336" s="2">
        <f>2401.69-H330-H331-H332-H333-H335-H334-H336</f>
        <v>2.5000000000545697E-3</v>
      </c>
      <c r="K336" s="3">
        <f>384.27-I330-I331-I332-I333-I334-I335-I336</f>
        <v>0</v>
      </c>
    </row>
    <row r="337" spans="1:11">
      <c r="A337" t="s">
        <v>2516</v>
      </c>
      <c r="B337" s="1">
        <v>41754</v>
      </c>
      <c r="C337">
        <v>9983</v>
      </c>
      <c r="D337">
        <v>1</v>
      </c>
      <c r="E337" t="s">
        <v>2517</v>
      </c>
      <c r="F337" s="180" t="s">
        <v>1649</v>
      </c>
      <c r="G337" s="149" t="s">
        <v>2896</v>
      </c>
      <c r="H337" s="157">
        <f t="shared" si="16"/>
        <v>426.75</v>
      </c>
      <c r="I337" s="189">
        <v>68.28</v>
      </c>
      <c r="J337" s="3"/>
    </row>
    <row r="338" spans="1:11">
      <c r="A338" t="s">
        <v>2516</v>
      </c>
      <c r="B338" s="1">
        <v>41754</v>
      </c>
      <c r="C338">
        <v>9983</v>
      </c>
      <c r="D338">
        <v>1</v>
      </c>
      <c r="E338" t="s">
        <v>2517</v>
      </c>
      <c r="F338" s="180" t="s">
        <v>923</v>
      </c>
      <c r="G338" s="149" t="s">
        <v>927</v>
      </c>
      <c r="H338" s="157">
        <f t="shared" si="16"/>
        <v>44.8125</v>
      </c>
      <c r="I338" s="189">
        <v>7.17</v>
      </c>
      <c r="J338" s="3"/>
    </row>
    <row r="339" spans="1:11">
      <c r="A339" t="s">
        <v>2516</v>
      </c>
      <c r="B339" s="1">
        <v>41754</v>
      </c>
      <c r="C339">
        <v>9983</v>
      </c>
      <c r="D339">
        <v>1</v>
      </c>
      <c r="E339" t="s">
        <v>2517</v>
      </c>
      <c r="F339" s="180" t="s">
        <v>1629</v>
      </c>
      <c r="G339" s="149" t="s">
        <v>1630</v>
      </c>
      <c r="H339" s="157">
        <f t="shared" si="16"/>
        <v>358.625</v>
      </c>
      <c r="I339" s="189">
        <v>57.38</v>
      </c>
      <c r="J339" s="3"/>
    </row>
    <row r="340" spans="1:11">
      <c r="A340" t="s">
        <v>2516</v>
      </c>
      <c r="B340" s="1">
        <v>41754</v>
      </c>
      <c r="C340">
        <v>9983</v>
      </c>
      <c r="D340">
        <v>1</v>
      </c>
      <c r="E340" t="s">
        <v>2517</v>
      </c>
      <c r="F340" s="180" t="s">
        <v>1635</v>
      </c>
      <c r="G340" s="149" t="s">
        <v>2901</v>
      </c>
      <c r="H340" s="157">
        <f t="shared" si="16"/>
        <v>94.8125</v>
      </c>
      <c r="I340" s="190">
        <v>15.17</v>
      </c>
      <c r="J340" s="3"/>
    </row>
    <row r="341" spans="1:11">
      <c r="A341" t="s">
        <v>2516</v>
      </c>
      <c r="B341" s="1">
        <v>41754</v>
      </c>
      <c r="C341">
        <v>9983</v>
      </c>
      <c r="D341">
        <v>1</v>
      </c>
      <c r="E341" t="s">
        <v>2517</v>
      </c>
      <c r="F341" s="184" t="s">
        <v>1617</v>
      </c>
      <c r="G341" s="137" t="s">
        <v>2923</v>
      </c>
      <c r="H341" s="160">
        <f t="shared" si="16"/>
        <v>801.24999999999989</v>
      </c>
      <c r="I341" s="160">
        <v>128.19999999999999</v>
      </c>
      <c r="J341" s="3"/>
    </row>
    <row r="342" spans="1:11">
      <c r="A342" t="s">
        <v>2516</v>
      </c>
      <c r="B342" s="1">
        <v>41754</v>
      </c>
      <c r="C342">
        <v>9983</v>
      </c>
      <c r="D342">
        <v>1</v>
      </c>
      <c r="E342" t="s">
        <v>2517</v>
      </c>
      <c r="F342" s="184" t="s">
        <v>925</v>
      </c>
      <c r="G342" s="137" t="s">
        <v>926</v>
      </c>
      <c r="H342" s="160">
        <f t="shared" si="16"/>
        <v>334.9375</v>
      </c>
      <c r="I342" s="160">
        <v>53.59</v>
      </c>
      <c r="J342" s="3"/>
    </row>
    <row r="343" spans="1:11">
      <c r="A343" t="s">
        <v>2516</v>
      </c>
      <c r="B343" s="1">
        <v>41754</v>
      </c>
      <c r="C343">
        <v>9983</v>
      </c>
      <c r="D343">
        <v>1</v>
      </c>
      <c r="E343" t="s">
        <v>2517</v>
      </c>
      <c r="F343" s="187" t="s">
        <v>763</v>
      </c>
      <c r="G343" t="s">
        <v>900</v>
      </c>
      <c r="H343" s="159">
        <f t="shared" si="16"/>
        <v>607.9375</v>
      </c>
      <c r="I343" s="159">
        <v>97.27</v>
      </c>
      <c r="J343" s="3">
        <f>2669.13-H337-H338-H339-H340-H342-H343-H341</f>
        <v>5.0000000002228262E-3</v>
      </c>
      <c r="K343" s="3">
        <f>427.06-I337-I338-I339-I340-I341-I342-I343</f>
        <v>0</v>
      </c>
    </row>
    <row r="344" spans="1:11">
      <c r="A344" t="s">
        <v>2460</v>
      </c>
      <c r="B344" s="1">
        <v>41743</v>
      </c>
      <c r="C344" t="s">
        <v>2461</v>
      </c>
      <c r="D344">
        <v>1</v>
      </c>
      <c r="E344" t="s">
        <v>2462</v>
      </c>
      <c r="F344" s="180" t="s">
        <v>1649</v>
      </c>
      <c r="G344" s="149" t="s">
        <v>2896</v>
      </c>
      <c r="H344" s="157">
        <f t="shared" ref="H344:H348" si="17">I344/0.16</f>
        <v>254.31249999999997</v>
      </c>
      <c r="I344" s="189">
        <v>40.69</v>
      </c>
      <c r="J344" s="3"/>
    </row>
    <row r="345" spans="1:11">
      <c r="A345" t="s">
        <v>2460</v>
      </c>
      <c r="B345" s="1">
        <v>41743</v>
      </c>
      <c r="C345" t="s">
        <v>2461</v>
      </c>
      <c r="D345">
        <v>1</v>
      </c>
      <c r="E345" t="s">
        <v>2462</v>
      </c>
      <c r="F345" s="180" t="s">
        <v>923</v>
      </c>
      <c r="G345" s="149" t="s">
        <v>2916</v>
      </c>
      <c r="H345" s="157">
        <f t="shared" si="17"/>
        <v>53.4375</v>
      </c>
      <c r="I345" s="189">
        <v>8.5500000000000007</v>
      </c>
      <c r="J345" s="3"/>
    </row>
    <row r="346" spans="1:11">
      <c r="A346" t="s">
        <v>2460</v>
      </c>
      <c r="B346" s="1">
        <v>41743</v>
      </c>
      <c r="C346" t="s">
        <v>2461</v>
      </c>
      <c r="D346">
        <v>1</v>
      </c>
      <c r="E346" t="s">
        <v>2462</v>
      </c>
      <c r="F346" s="184" t="s">
        <v>2924</v>
      </c>
      <c r="G346" s="137" t="s">
        <v>2925</v>
      </c>
      <c r="H346" s="160">
        <f t="shared" si="17"/>
        <v>377.4375</v>
      </c>
      <c r="I346" s="160">
        <v>60.39</v>
      </c>
      <c r="J346" s="3"/>
    </row>
    <row r="347" spans="1:11">
      <c r="A347" t="s">
        <v>2460</v>
      </c>
      <c r="B347" s="1">
        <v>41743</v>
      </c>
      <c r="C347" t="s">
        <v>2461</v>
      </c>
      <c r="D347">
        <v>1</v>
      </c>
      <c r="E347" t="s">
        <v>2462</v>
      </c>
      <c r="F347" s="180" t="s">
        <v>2342</v>
      </c>
      <c r="G347" s="149" t="s">
        <v>2920</v>
      </c>
      <c r="H347" s="157">
        <f t="shared" si="17"/>
        <v>86.187499999999986</v>
      </c>
      <c r="I347" s="157">
        <v>13.79</v>
      </c>
      <c r="J347" s="3"/>
    </row>
    <row r="348" spans="1:11">
      <c r="A348" t="s">
        <v>2460</v>
      </c>
      <c r="B348" s="1">
        <v>41743</v>
      </c>
      <c r="C348" t="s">
        <v>2461</v>
      </c>
      <c r="D348">
        <v>1</v>
      </c>
      <c r="E348" t="s">
        <v>2462</v>
      </c>
      <c r="F348" s="187" t="s">
        <v>763</v>
      </c>
      <c r="G348" t="s">
        <v>900</v>
      </c>
      <c r="H348" s="2">
        <f t="shared" si="17"/>
        <v>230.25000000000003</v>
      </c>
      <c r="I348" s="159">
        <v>36.840000000000003</v>
      </c>
      <c r="J348" s="3">
        <f>1001.63-H344-H345-H346-H347-H348</f>
        <v>4.9999999999670308E-3</v>
      </c>
      <c r="K348" s="3">
        <f>160.26-I344-I345-I347-I346-I348</f>
        <v>0</v>
      </c>
    </row>
    <row r="349" spans="1:11">
      <c r="A349" t="s">
        <v>2446</v>
      </c>
      <c r="B349" s="1">
        <v>41743</v>
      </c>
      <c r="C349" t="s">
        <v>2447</v>
      </c>
      <c r="D349">
        <v>1</v>
      </c>
      <c r="E349" t="s">
        <v>2448</v>
      </c>
      <c r="F349" s="180" t="s">
        <v>903</v>
      </c>
      <c r="G349" s="149" t="s">
        <v>2319</v>
      </c>
      <c r="H349" s="157">
        <f t="shared" ref="H349:H358" si="18">I349/0.16</f>
        <v>99.125</v>
      </c>
      <c r="I349" s="189">
        <v>15.86</v>
      </c>
      <c r="J349" s="3"/>
    </row>
    <row r="350" spans="1:11">
      <c r="A350" t="s">
        <v>2446</v>
      </c>
      <c r="B350" s="1">
        <v>41743</v>
      </c>
      <c r="C350" t="s">
        <v>2447</v>
      </c>
      <c r="D350">
        <v>1</v>
      </c>
      <c r="E350" t="s">
        <v>2448</v>
      </c>
      <c r="F350" s="184" t="s">
        <v>905</v>
      </c>
      <c r="G350" s="137" t="s">
        <v>1599</v>
      </c>
      <c r="H350" s="160">
        <f t="shared" si="18"/>
        <v>293.0625</v>
      </c>
      <c r="I350" s="160">
        <v>46.89</v>
      </c>
    </row>
    <row r="351" spans="1:11">
      <c r="A351" t="s">
        <v>2446</v>
      </c>
      <c r="B351" s="1">
        <v>41743</v>
      </c>
      <c r="C351" t="s">
        <v>2447</v>
      </c>
      <c r="D351">
        <v>1</v>
      </c>
      <c r="E351" t="s">
        <v>2448</v>
      </c>
      <c r="F351" s="187" t="s">
        <v>763</v>
      </c>
      <c r="G351" t="s">
        <v>900</v>
      </c>
      <c r="H351" s="159">
        <f t="shared" si="18"/>
        <v>176.8125</v>
      </c>
      <c r="I351" s="159">
        <v>28.29</v>
      </c>
    </row>
    <row r="352" spans="1:11">
      <c r="A352" t="s">
        <v>2446</v>
      </c>
      <c r="B352" s="1">
        <v>41743</v>
      </c>
      <c r="C352" t="s">
        <v>2447</v>
      </c>
      <c r="D352">
        <v>1</v>
      </c>
      <c r="E352" t="s">
        <v>2448</v>
      </c>
      <c r="F352" s="187" t="s">
        <v>763</v>
      </c>
      <c r="G352" t="s">
        <v>1548</v>
      </c>
      <c r="H352" s="159">
        <f t="shared" si="18"/>
        <v>298.25</v>
      </c>
      <c r="I352" s="159">
        <v>47.72</v>
      </c>
      <c r="J352" s="2">
        <f>867.25-H349-H350-H351-H352</f>
        <v>0</v>
      </c>
      <c r="K352" s="3">
        <f>138.76-I350-I349-I352-I351</f>
        <v>0</v>
      </c>
    </row>
    <row r="353" spans="1:11">
      <c r="A353" t="s">
        <v>2468</v>
      </c>
      <c r="B353" s="1">
        <v>41743</v>
      </c>
      <c r="C353" t="s">
        <v>2469</v>
      </c>
      <c r="D353">
        <v>1</v>
      </c>
      <c r="E353" t="s">
        <v>2470</v>
      </c>
      <c r="F353" s="187" t="s">
        <v>763</v>
      </c>
      <c r="G353" t="s">
        <v>900</v>
      </c>
      <c r="H353" s="159">
        <f t="shared" si="18"/>
        <v>208.625</v>
      </c>
      <c r="I353" s="159">
        <v>33.380000000000003</v>
      </c>
      <c r="J353" s="3"/>
    </row>
    <row r="354" spans="1:11">
      <c r="A354" t="s">
        <v>2468</v>
      </c>
      <c r="B354" s="1">
        <v>41743</v>
      </c>
      <c r="C354" t="s">
        <v>2469</v>
      </c>
      <c r="D354">
        <v>1</v>
      </c>
      <c r="E354" t="s">
        <v>2470</v>
      </c>
      <c r="F354" s="187" t="s">
        <v>763</v>
      </c>
      <c r="G354" t="s">
        <v>900</v>
      </c>
      <c r="H354" s="159">
        <f t="shared" si="18"/>
        <v>467.0625</v>
      </c>
      <c r="I354" s="159">
        <v>74.73</v>
      </c>
      <c r="J354" s="3"/>
    </row>
    <row r="355" spans="1:11">
      <c r="A355" t="s">
        <v>2468</v>
      </c>
      <c r="B355" s="1">
        <v>41743</v>
      </c>
      <c r="C355" t="s">
        <v>2469</v>
      </c>
      <c r="D355">
        <v>1</v>
      </c>
      <c r="E355" t="s">
        <v>2470</v>
      </c>
      <c r="F355" s="184" t="s">
        <v>914</v>
      </c>
      <c r="G355" s="137" t="s">
        <v>915</v>
      </c>
      <c r="H355" s="160">
        <f t="shared" si="18"/>
        <v>293.0625</v>
      </c>
      <c r="I355" s="189">
        <v>46.89</v>
      </c>
      <c r="J355" s="3"/>
    </row>
    <row r="356" spans="1:11">
      <c r="A356" t="s">
        <v>2468</v>
      </c>
      <c r="B356" s="1">
        <v>41743</v>
      </c>
      <c r="C356" t="s">
        <v>2469</v>
      </c>
      <c r="D356">
        <v>1</v>
      </c>
      <c r="E356" t="s">
        <v>2470</v>
      </c>
      <c r="F356" s="180" t="s">
        <v>923</v>
      </c>
      <c r="G356" s="149" t="s">
        <v>927</v>
      </c>
      <c r="H356" s="157">
        <f t="shared" si="18"/>
        <v>766.375</v>
      </c>
      <c r="I356" s="189">
        <v>122.62</v>
      </c>
      <c r="J356" s="3"/>
    </row>
    <row r="357" spans="1:11">
      <c r="A357" t="s">
        <v>2468</v>
      </c>
      <c r="B357" s="1">
        <v>41743</v>
      </c>
      <c r="C357" t="s">
        <v>2469</v>
      </c>
      <c r="D357">
        <v>1</v>
      </c>
      <c r="E357" t="s">
        <v>2470</v>
      </c>
      <c r="F357" s="180" t="s">
        <v>936</v>
      </c>
      <c r="G357" s="149" t="s">
        <v>937</v>
      </c>
      <c r="H357" s="157">
        <f t="shared" si="18"/>
        <v>80</v>
      </c>
      <c r="I357" s="157">
        <v>12.8</v>
      </c>
      <c r="J357" s="3"/>
    </row>
    <row r="358" spans="1:11">
      <c r="A358" t="s">
        <v>2468</v>
      </c>
      <c r="B358" s="1">
        <v>41743</v>
      </c>
      <c r="C358" t="s">
        <v>2469</v>
      </c>
      <c r="D358">
        <v>1</v>
      </c>
      <c r="E358" t="s">
        <v>2470</v>
      </c>
      <c r="F358" s="184" t="s">
        <v>938</v>
      </c>
      <c r="G358" s="137" t="s">
        <v>2391</v>
      </c>
      <c r="H358" s="160">
        <f t="shared" si="18"/>
        <v>485.8125</v>
      </c>
      <c r="I358" s="160">
        <v>77.73</v>
      </c>
      <c r="J358" s="3">
        <f>2300.94-H353-H355-H356-H358-H354-H357</f>
        <v>2.5000000000545697E-3</v>
      </c>
      <c r="K358" s="3">
        <f>368.15-I353-I354-I355-I356-I357-I358</f>
        <v>0</v>
      </c>
    </row>
    <row r="359" spans="1:11">
      <c r="A359" t="s">
        <v>2534</v>
      </c>
      <c r="B359" s="1">
        <v>41754</v>
      </c>
      <c r="C359">
        <v>9989</v>
      </c>
      <c r="D359">
        <v>1</v>
      </c>
      <c r="E359" t="s">
        <v>2535</v>
      </c>
      <c r="F359" s="187" t="s">
        <v>763</v>
      </c>
      <c r="G359" t="s">
        <v>900</v>
      </c>
      <c r="H359" s="159">
        <f t="shared" ref="H359:H365" si="19">I359/0.16</f>
        <v>246.5625</v>
      </c>
      <c r="I359" s="159">
        <v>39.450000000000003</v>
      </c>
      <c r="J359" s="3"/>
    </row>
    <row r="360" spans="1:11">
      <c r="A360" t="s">
        <v>2534</v>
      </c>
      <c r="B360" s="1">
        <v>41754</v>
      </c>
      <c r="C360">
        <v>9989</v>
      </c>
      <c r="D360">
        <v>1</v>
      </c>
      <c r="E360" t="s">
        <v>2535</v>
      </c>
      <c r="F360" s="187" t="s">
        <v>763</v>
      </c>
      <c r="G360" t="s">
        <v>1598</v>
      </c>
      <c r="H360" s="159">
        <f t="shared" si="19"/>
        <v>103.4375</v>
      </c>
      <c r="I360" s="159">
        <v>16.55</v>
      </c>
      <c r="J360" s="3"/>
    </row>
    <row r="361" spans="1:11">
      <c r="A361" t="s">
        <v>2534</v>
      </c>
      <c r="B361" s="1">
        <v>41754</v>
      </c>
      <c r="C361">
        <v>9989</v>
      </c>
      <c r="D361">
        <v>1</v>
      </c>
      <c r="E361" t="s">
        <v>2535</v>
      </c>
      <c r="F361" s="180" t="s">
        <v>1649</v>
      </c>
      <c r="G361" s="149" t="s">
        <v>2896</v>
      </c>
      <c r="H361" s="157">
        <f t="shared" si="19"/>
        <v>267.25</v>
      </c>
      <c r="I361" s="189">
        <v>42.76</v>
      </c>
      <c r="J361" s="3"/>
    </row>
    <row r="362" spans="1:11">
      <c r="A362" t="s">
        <v>2534</v>
      </c>
      <c r="B362" s="1">
        <v>41754</v>
      </c>
      <c r="C362">
        <v>9989</v>
      </c>
      <c r="D362">
        <v>1</v>
      </c>
      <c r="E362" t="s">
        <v>2535</v>
      </c>
      <c r="F362" s="180" t="s">
        <v>1649</v>
      </c>
      <c r="G362" s="149" t="s">
        <v>2896</v>
      </c>
      <c r="H362" s="157">
        <f t="shared" si="19"/>
        <v>32.8125</v>
      </c>
      <c r="I362" s="189">
        <v>5.25</v>
      </c>
      <c r="J362" s="3"/>
    </row>
    <row r="363" spans="1:11">
      <c r="A363" t="s">
        <v>2534</v>
      </c>
      <c r="B363" s="1">
        <v>41754</v>
      </c>
      <c r="C363">
        <v>9989</v>
      </c>
      <c r="D363">
        <v>1</v>
      </c>
      <c r="E363" t="s">
        <v>2535</v>
      </c>
      <c r="F363" s="180" t="s">
        <v>923</v>
      </c>
      <c r="G363" s="149" t="s">
        <v>927</v>
      </c>
      <c r="H363" s="157">
        <f t="shared" si="19"/>
        <v>53.4375</v>
      </c>
      <c r="I363" s="189">
        <v>8.5500000000000007</v>
      </c>
      <c r="J363" s="3"/>
    </row>
    <row r="364" spans="1:11">
      <c r="A364" t="s">
        <v>2534</v>
      </c>
      <c r="B364" s="1">
        <v>41754</v>
      </c>
      <c r="C364">
        <v>9989</v>
      </c>
      <c r="D364">
        <v>1</v>
      </c>
      <c r="E364" t="s">
        <v>2535</v>
      </c>
      <c r="F364" s="180" t="s">
        <v>923</v>
      </c>
      <c r="G364" s="149" t="s">
        <v>2926</v>
      </c>
      <c r="H364" s="157">
        <f t="shared" si="19"/>
        <v>44.837499999999999</v>
      </c>
      <c r="I364" s="189">
        <v>7.1740000000000004</v>
      </c>
      <c r="J364" s="3"/>
    </row>
    <row r="365" spans="1:11">
      <c r="A365" t="s">
        <v>2534</v>
      </c>
      <c r="B365" s="1">
        <v>41754</v>
      </c>
      <c r="C365">
        <v>9989</v>
      </c>
      <c r="D365">
        <v>1</v>
      </c>
      <c r="E365" t="s">
        <v>2535</v>
      </c>
      <c r="F365" s="180" t="s">
        <v>2927</v>
      </c>
      <c r="G365" s="149" t="s">
        <v>2928</v>
      </c>
      <c r="H365" s="157">
        <f t="shared" si="19"/>
        <v>502.4375</v>
      </c>
      <c r="I365" s="190">
        <v>80.39</v>
      </c>
      <c r="J365" s="3">
        <f>1250.75-H359-H360-H361-H362-H363-H364-H365</f>
        <v>-2.4999999999977263E-2</v>
      </c>
      <c r="K365" s="3">
        <f>200.12-I359-I360-I361-I362-I363-I364-I365</f>
        <v>-3.9999999999906777E-3</v>
      </c>
    </row>
    <row r="366" spans="1:11">
      <c r="A366" t="s">
        <v>2457</v>
      </c>
      <c r="B366" s="1">
        <v>41743</v>
      </c>
      <c r="C366" t="s">
        <v>2458</v>
      </c>
      <c r="D366">
        <v>1</v>
      </c>
      <c r="E366" t="s">
        <v>2459</v>
      </c>
      <c r="F366" s="187" t="s">
        <v>763</v>
      </c>
      <c r="G366" t="s">
        <v>900</v>
      </c>
      <c r="H366" s="159">
        <f t="shared" ref="H366:H374" si="20">I366/0.16</f>
        <v>706.9375</v>
      </c>
      <c r="I366" s="159">
        <v>113.11</v>
      </c>
      <c r="J366" s="3"/>
    </row>
    <row r="367" spans="1:11">
      <c r="A367" t="s">
        <v>2457</v>
      </c>
      <c r="B367" s="1">
        <v>41743</v>
      </c>
      <c r="C367" t="s">
        <v>2458</v>
      </c>
      <c r="D367">
        <v>1</v>
      </c>
      <c r="E367" t="s">
        <v>2459</v>
      </c>
      <c r="F367" s="184" t="s">
        <v>914</v>
      </c>
      <c r="G367" s="137" t="s">
        <v>915</v>
      </c>
      <c r="H367" s="160">
        <f t="shared" si="20"/>
        <v>251.18749999999997</v>
      </c>
      <c r="I367" s="189">
        <v>40.19</v>
      </c>
    </row>
    <row r="368" spans="1:11">
      <c r="A368" t="s">
        <v>2457</v>
      </c>
      <c r="B368" s="1">
        <v>41743</v>
      </c>
      <c r="C368" t="s">
        <v>2458</v>
      </c>
      <c r="D368">
        <v>1</v>
      </c>
      <c r="E368" t="s">
        <v>2459</v>
      </c>
      <c r="F368" s="180" t="s">
        <v>923</v>
      </c>
      <c r="G368" s="149" t="s">
        <v>2916</v>
      </c>
      <c r="H368" s="157">
        <f t="shared" si="20"/>
        <v>766.375</v>
      </c>
      <c r="I368" s="189">
        <v>122.62</v>
      </c>
    </row>
    <row r="369" spans="1:12">
      <c r="A369" t="s">
        <v>2457</v>
      </c>
      <c r="B369" s="1">
        <v>41743</v>
      </c>
      <c r="C369" t="s">
        <v>2458</v>
      </c>
      <c r="D369">
        <v>1</v>
      </c>
      <c r="E369" t="s">
        <v>2459</v>
      </c>
      <c r="F369" s="184" t="s">
        <v>2929</v>
      </c>
      <c r="G369" s="137" t="s">
        <v>2930</v>
      </c>
      <c r="H369" s="160">
        <f t="shared" si="20"/>
        <v>81.875</v>
      </c>
      <c r="I369" s="160">
        <v>13.1</v>
      </c>
    </row>
    <row r="370" spans="1:12">
      <c r="A370" t="s">
        <v>2457</v>
      </c>
      <c r="B370" s="1">
        <v>41743</v>
      </c>
      <c r="C370" t="s">
        <v>2458</v>
      </c>
      <c r="D370">
        <v>1</v>
      </c>
      <c r="E370" t="s">
        <v>2459</v>
      </c>
      <c r="F370" s="184" t="s">
        <v>938</v>
      </c>
      <c r="G370" s="137" t="s">
        <v>2391</v>
      </c>
      <c r="H370" s="160">
        <f t="shared" si="20"/>
        <v>669.8125</v>
      </c>
      <c r="I370" s="160">
        <v>107.17</v>
      </c>
      <c r="J370" s="2">
        <f>2476.19-H366-H367-H368-H369-H370</f>
        <v>2.5000000000545697E-3</v>
      </c>
      <c r="K370" s="3">
        <f>396.19-I366-I367-I368-I369-I370</f>
        <v>0</v>
      </c>
    </row>
    <row r="371" spans="1:12">
      <c r="A371" t="s">
        <v>2520</v>
      </c>
      <c r="B371" s="1">
        <v>41754</v>
      </c>
      <c r="C371" t="s">
        <v>2521</v>
      </c>
      <c r="D371">
        <v>1</v>
      </c>
      <c r="E371" t="s">
        <v>2522</v>
      </c>
      <c r="F371" s="180" t="s">
        <v>903</v>
      </c>
      <c r="G371" s="149" t="s">
        <v>2319</v>
      </c>
      <c r="H371" s="157">
        <f t="shared" si="20"/>
        <v>94.8125</v>
      </c>
      <c r="I371" s="189">
        <v>15.17</v>
      </c>
      <c r="J371" s="3"/>
    </row>
    <row r="372" spans="1:12">
      <c r="A372" t="s">
        <v>2520</v>
      </c>
      <c r="B372" s="1">
        <v>41754</v>
      </c>
      <c r="C372" t="s">
        <v>2521</v>
      </c>
      <c r="D372">
        <v>1</v>
      </c>
      <c r="E372" t="s">
        <v>2522</v>
      </c>
      <c r="F372" s="180" t="s">
        <v>923</v>
      </c>
      <c r="G372" s="149" t="s">
        <v>2926</v>
      </c>
      <c r="H372" s="157">
        <f t="shared" si="20"/>
        <v>200</v>
      </c>
      <c r="I372" s="189">
        <v>32</v>
      </c>
      <c r="J372" s="3"/>
    </row>
    <row r="373" spans="1:12">
      <c r="A373" t="s">
        <v>2520</v>
      </c>
      <c r="B373" s="1">
        <v>41754</v>
      </c>
      <c r="C373" t="s">
        <v>2521</v>
      </c>
      <c r="D373">
        <v>1</v>
      </c>
      <c r="E373" t="s">
        <v>2522</v>
      </c>
      <c r="F373" s="184" t="s">
        <v>905</v>
      </c>
      <c r="G373" s="137" t="s">
        <v>1599</v>
      </c>
      <c r="H373" s="160">
        <f t="shared" si="20"/>
        <v>335.0625</v>
      </c>
      <c r="I373" s="160">
        <v>53.61</v>
      </c>
      <c r="J373" s="3"/>
    </row>
    <row r="374" spans="1:12">
      <c r="A374" t="s">
        <v>2520</v>
      </c>
      <c r="B374" s="1">
        <v>41754</v>
      </c>
      <c r="C374" t="s">
        <v>2521</v>
      </c>
      <c r="D374">
        <v>1</v>
      </c>
      <c r="E374" t="s">
        <v>2522</v>
      </c>
      <c r="F374" s="187" t="s">
        <v>763</v>
      </c>
      <c r="G374" t="s">
        <v>900</v>
      </c>
      <c r="H374" s="159">
        <f t="shared" si="20"/>
        <v>176.8125</v>
      </c>
      <c r="I374" s="159">
        <v>28.29</v>
      </c>
      <c r="J374" s="3">
        <f>819.19-H371-H372-H373-H374</f>
        <v>12.502500000000055</v>
      </c>
      <c r="K374" s="3">
        <f>131.07-I371-I372-I373-I374</f>
        <v>1.9999999999999929</v>
      </c>
      <c r="L374" t="s">
        <v>850</v>
      </c>
    </row>
    <row r="375" spans="1:12">
      <c r="A375" t="s">
        <v>2518</v>
      </c>
      <c r="B375" s="1">
        <v>41754</v>
      </c>
      <c r="C375">
        <v>9985</v>
      </c>
      <c r="D375">
        <v>1</v>
      </c>
      <c r="E375" t="s">
        <v>2519</v>
      </c>
      <c r="F375" s="180" t="s">
        <v>1649</v>
      </c>
      <c r="G375" s="149" t="s">
        <v>2896</v>
      </c>
      <c r="H375" s="157">
        <f t="shared" ref="H375:H380" si="21">I375/0.16</f>
        <v>426.75</v>
      </c>
      <c r="I375" s="189">
        <v>68.28</v>
      </c>
      <c r="J375" s="3"/>
    </row>
    <row r="376" spans="1:12">
      <c r="A376" t="s">
        <v>2518</v>
      </c>
      <c r="B376" s="1">
        <v>41754</v>
      </c>
      <c r="C376">
        <v>9985</v>
      </c>
      <c r="D376">
        <v>1</v>
      </c>
      <c r="E376" t="s">
        <v>2519</v>
      </c>
      <c r="F376" s="180" t="s">
        <v>903</v>
      </c>
      <c r="G376" s="149" t="s">
        <v>2319</v>
      </c>
      <c r="H376" s="157">
        <f t="shared" si="21"/>
        <v>86.187499999999986</v>
      </c>
      <c r="I376" s="189">
        <v>13.79</v>
      </c>
      <c r="J376" s="3"/>
    </row>
    <row r="377" spans="1:12">
      <c r="A377" t="s">
        <v>2518</v>
      </c>
      <c r="B377" s="1">
        <v>41754</v>
      </c>
      <c r="C377">
        <v>9985</v>
      </c>
      <c r="D377">
        <v>1</v>
      </c>
      <c r="E377" t="s">
        <v>2519</v>
      </c>
      <c r="F377" s="180" t="s">
        <v>923</v>
      </c>
      <c r="G377" s="149" t="s">
        <v>2931</v>
      </c>
      <c r="H377" s="157">
        <f t="shared" si="21"/>
        <v>44.8125</v>
      </c>
      <c r="I377" s="189">
        <v>7.17</v>
      </c>
      <c r="J377" s="3"/>
    </row>
    <row r="378" spans="1:12">
      <c r="A378" t="s">
        <v>2518</v>
      </c>
      <c r="B378" s="1">
        <v>41754</v>
      </c>
      <c r="C378">
        <v>9985</v>
      </c>
      <c r="D378">
        <v>1</v>
      </c>
      <c r="E378" t="s">
        <v>2519</v>
      </c>
      <c r="F378" s="180" t="s">
        <v>2932</v>
      </c>
      <c r="G378" s="149" t="s">
        <v>2933</v>
      </c>
      <c r="H378" s="157">
        <f t="shared" si="21"/>
        <v>163.8125</v>
      </c>
      <c r="I378" s="157">
        <v>26.21</v>
      </c>
      <c r="J378" s="3"/>
    </row>
    <row r="379" spans="1:12">
      <c r="A379" t="s">
        <v>2518</v>
      </c>
      <c r="B379" s="1">
        <v>41754</v>
      </c>
      <c r="C379">
        <v>9985</v>
      </c>
      <c r="D379">
        <v>1</v>
      </c>
      <c r="E379" t="s">
        <v>2519</v>
      </c>
      <c r="F379" s="180" t="s">
        <v>2934</v>
      </c>
      <c r="G379" s="149" t="s">
        <v>2935</v>
      </c>
      <c r="H379" s="157">
        <f t="shared" si="21"/>
        <v>337.375</v>
      </c>
      <c r="I379" s="157">
        <v>53.98</v>
      </c>
      <c r="J379" s="3"/>
    </row>
    <row r="380" spans="1:12">
      <c r="A380" t="s">
        <v>2518</v>
      </c>
      <c r="B380" s="1">
        <v>41754</v>
      </c>
      <c r="C380">
        <v>9985</v>
      </c>
      <c r="D380">
        <v>1</v>
      </c>
      <c r="E380" t="s">
        <v>2519</v>
      </c>
      <c r="F380" s="180" t="s">
        <v>2936</v>
      </c>
      <c r="G380" s="149" t="s">
        <v>2937</v>
      </c>
      <c r="H380" s="157">
        <f t="shared" si="21"/>
        <v>198.3125</v>
      </c>
      <c r="I380" s="157">
        <v>31.73</v>
      </c>
      <c r="J380" s="3"/>
    </row>
    <row r="381" spans="1:12">
      <c r="A381" t="s">
        <v>2518</v>
      </c>
      <c r="B381" s="1">
        <v>41754</v>
      </c>
      <c r="C381">
        <v>9985</v>
      </c>
      <c r="D381">
        <v>1</v>
      </c>
      <c r="E381" t="s">
        <v>2519</v>
      </c>
      <c r="F381" s="187" t="s">
        <v>763</v>
      </c>
      <c r="G381" t="s">
        <v>900</v>
      </c>
      <c r="H381" s="159">
        <v>430.25</v>
      </c>
      <c r="I381" s="159">
        <v>68.84</v>
      </c>
      <c r="J381" s="3"/>
    </row>
    <row r="382" spans="1:12">
      <c r="A382" t="s">
        <v>2518</v>
      </c>
      <c r="B382" s="1">
        <v>41754</v>
      </c>
      <c r="C382">
        <v>9985</v>
      </c>
      <c r="D382">
        <v>1</v>
      </c>
      <c r="E382" t="s">
        <v>2519</v>
      </c>
      <c r="F382" s="180" t="s">
        <v>2946</v>
      </c>
      <c r="G382" s="149" t="s">
        <v>2947</v>
      </c>
      <c r="H382" s="157">
        <v>75</v>
      </c>
      <c r="I382" s="189">
        <v>12</v>
      </c>
      <c r="J382" s="3">
        <f>1762.5-H375-H376-H377-H378-H379-H380-H381-H382</f>
        <v>0</v>
      </c>
      <c r="K382" s="3">
        <f>282-I375-I376-I377-I378-I379-I380-I381-I382</f>
        <v>1.4210854715202004E-14</v>
      </c>
    </row>
    <row r="383" spans="1:12">
      <c r="A383" t="s">
        <v>2624</v>
      </c>
      <c r="B383" s="1">
        <v>41759</v>
      </c>
      <c r="C383" t="s">
        <v>2625</v>
      </c>
      <c r="D383">
        <v>1</v>
      </c>
      <c r="E383" t="s">
        <v>2626</v>
      </c>
      <c r="F383" s="180" t="s">
        <v>1635</v>
      </c>
      <c r="G383" s="149" t="s">
        <v>2901</v>
      </c>
      <c r="H383" s="157">
        <f t="shared" ref="H383:H386" si="22">I383/0.16</f>
        <v>86.187499999999986</v>
      </c>
      <c r="I383" s="190">
        <v>13.79</v>
      </c>
      <c r="J383" s="3"/>
    </row>
    <row r="384" spans="1:12">
      <c r="A384" t="s">
        <v>2624</v>
      </c>
      <c r="B384" s="1">
        <v>41759</v>
      </c>
      <c r="C384" t="s">
        <v>2625</v>
      </c>
      <c r="D384">
        <v>1</v>
      </c>
      <c r="E384" t="s">
        <v>2626</v>
      </c>
      <c r="F384" s="180" t="s">
        <v>2938</v>
      </c>
      <c r="G384" s="149" t="s">
        <v>2939</v>
      </c>
      <c r="H384" s="157">
        <f t="shared" si="22"/>
        <v>727.6875</v>
      </c>
      <c r="I384" s="157">
        <v>116.43</v>
      </c>
      <c r="J384" s="3"/>
    </row>
    <row r="385" spans="1:12">
      <c r="A385" t="s">
        <v>2624</v>
      </c>
      <c r="B385" s="1">
        <v>41759</v>
      </c>
      <c r="C385" t="s">
        <v>2625</v>
      </c>
      <c r="D385">
        <v>1</v>
      </c>
      <c r="E385" t="s">
        <v>2626</v>
      </c>
      <c r="F385" s="180" t="s">
        <v>919</v>
      </c>
      <c r="G385" s="149" t="s">
        <v>920</v>
      </c>
      <c r="H385" s="157">
        <f t="shared" si="22"/>
        <v>209.375</v>
      </c>
      <c r="I385" s="157">
        <v>33.5</v>
      </c>
      <c r="J385" s="3"/>
    </row>
    <row r="386" spans="1:12">
      <c r="A386" t="s">
        <v>2624</v>
      </c>
      <c r="B386" s="1">
        <v>41759</v>
      </c>
      <c r="C386" t="s">
        <v>2625</v>
      </c>
      <c r="D386">
        <v>1</v>
      </c>
      <c r="E386" t="s">
        <v>2626</v>
      </c>
      <c r="F386" s="187" t="s">
        <v>763</v>
      </c>
      <c r="G386" t="s">
        <v>843</v>
      </c>
      <c r="H386" s="159">
        <f t="shared" si="22"/>
        <v>559.5625</v>
      </c>
      <c r="I386" s="159">
        <v>89.53</v>
      </c>
      <c r="J386" s="3">
        <f>1582.81-H383-H384-H385-H386</f>
        <v>-2.5000000000545697E-3</v>
      </c>
      <c r="K386" s="3">
        <f>253.25-I383-I384-I385-I386</f>
        <v>0</v>
      </c>
    </row>
    <row r="387" spans="1:12">
      <c r="A387" t="s">
        <v>1169</v>
      </c>
      <c r="B387" s="1">
        <v>41754</v>
      </c>
      <c r="C387">
        <v>9976</v>
      </c>
      <c r="D387">
        <v>1</v>
      </c>
      <c r="E387" t="s">
        <v>2511</v>
      </c>
      <c r="F387" s="180" t="s">
        <v>1649</v>
      </c>
      <c r="G387" s="149" t="s">
        <v>2896</v>
      </c>
      <c r="H387" s="157">
        <f t="shared" ref="H387:H398" si="23">I387/0.16</f>
        <v>495.74999999999994</v>
      </c>
      <c r="I387" s="189">
        <v>79.319999999999993</v>
      </c>
      <c r="J387" s="3"/>
    </row>
    <row r="388" spans="1:12">
      <c r="A388" t="s">
        <v>1169</v>
      </c>
      <c r="B388" s="1">
        <v>41754</v>
      </c>
      <c r="C388">
        <v>9976</v>
      </c>
      <c r="D388">
        <v>1</v>
      </c>
      <c r="E388" t="s">
        <v>2511</v>
      </c>
      <c r="F388" s="180" t="s">
        <v>2940</v>
      </c>
      <c r="G388" s="149" t="s">
        <v>2941</v>
      </c>
      <c r="H388" s="157">
        <f t="shared" si="23"/>
        <v>120.68749999999999</v>
      </c>
      <c r="I388" s="189">
        <v>19.309999999999999</v>
      </c>
      <c r="J388" s="3"/>
    </row>
    <row r="389" spans="1:12">
      <c r="A389" t="s">
        <v>1169</v>
      </c>
      <c r="B389" s="1">
        <v>41754</v>
      </c>
      <c r="C389">
        <v>9976</v>
      </c>
      <c r="D389">
        <v>1</v>
      </c>
      <c r="E389" t="s">
        <v>2511</v>
      </c>
      <c r="F389" s="180" t="s">
        <v>923</v>
      </c>
      <c r="G389" s="149" t="s">
        <v>927</v>
      </c>
      <c r="H389" s="157">
        <f t="shared" si="23"/>
        <v>237.0625</v>
      </c>
      <c r="I389" s="189">
        <v>37.93</v>
      </c>
      <c r="J389" s="3"/>
    </row>
    <row r="390" spans="1:12">
      <c r="A390" t="s">
        <v>1169</v>
      </c>
      <c r="B390" s="1">
        <v>41754</v>
      </c>
      <c r="C390">
        <v>9976</v>
      </c>
      <c r="D390">
        <v>1</v>
      </c>
      <c r="E390" t="s">
        <v>2511</v>
      </c>
      <c r="F390" s="180" t="s">
        <v>1629</v>
      </c>
      <c r="G390" s="149" t="s">
        <v>1630</v>
      </c>
      <c r="H390" s="157">
        <f t="shared" si="23"/>
        <v>381.0625</v>
      </c>
      <c r="I390" s="189">
        <v>60.97</v>
      </c>
      <c r="J390" s="3"/>
    </row>
    <row r="391" spans="1:12">
      <c r="A391" t="s">
        <v>1169</v>
      </c>
      <c r="B391" s="1">
        <v>41754</v>
      </c>
      <c r="C391">
        <v>9976</v>
      </c>
      <c r="D391">
        <v>1</v>
      </c>
      <c r="E391" t="s">
        <v>2511</v>
      </c>
      <c r="F391" s="180" t="s">
        <v>1629</v>
      </c>
      <c r="G391" s="149" t="s">
        <v>1630</v>
      </c>
      <c r="H391" s="157">
        <f t="shared" si="23"/>
        <v>172.4375</v>
      </c>
      <c r="I391" s="189">
        <v>27.59</v>
      </c>
      <c r="J391" s="3"/>
    </row>
    <row r="392" spans="1:12">
      <c r="A392" t="s">
        <v>1169</v>
      </c>
      <c r="B392" s="1">
        <v>41754</v>
      </c>
      <c r="C392">
        <v>9976</v>
      </c>
      <c r="D392">
        <v>1</v>
      </c>
      <c r="E392" t="s">
        <v>2511</v>
      </c>
      <c r="F392" s="180" t="s">
        <v>2942</v>
      </c>
      <c r="G392" s="149" t="s">
        <v>2943</v>
      </c>
      <c r="H392" s="157">
        <f t="shared" si="23"/>
        <v>523.25</v>
      </c>
      <c r="I392" s="157">
        <v>83.72</v>
      </c>
      <c r="J392" s="3"/>
    </row>
    <row r="393" spans="1:12">
      <c r="A393" t="s">
        <v>1169</v>
      </c>
      <c r="B393" s="1">
        <v>41754</v>
      </c>
      <c r="C393">
        <v>9976</v>
      </c>
      <c r="D393">
        <v>1</v>
      </c>
      <c r="E393" t="s">
        <v>2511</v>
      </c>
      <c r="F393" s="180" t="s">
        <v>2944</v>
      </c>
      <c r="G393" s="149" t="s">
        <v>2945</v>
      </c>
      <c r="H393" s="157">
        <f t="shared" si="23"/>
        <v>251.18749999999997</v>
      </c>
      <c r="I393" s="157">
        <v>40.19</v>
      </c>
    </row>
    <row r="394" spans="1:12">
      <c r="A394" t="s">
        <v>1169</v>
      </c>
      <c r="B394" s="1">
        <v>41754</v>
      </c>
      <c r="C394">
        <v>9976</v>
      </c>
      <c r="D394">
        <v>1</v>
      </c>
      <c r="E394" t="s">
        <v>2511</v>
      </c>
      <c r="F394" s="187" t="s">
        <v>763</v>
      </c>
      <c r="G394" t="s">
        <v>900</v>
      </c>
      <c r="H394" s="159">
        <f t="shared" si="23"/>
        <v>515.9375</v>
      </c>
      <c r="I394" s="159">
        <v>82.55</v>
      </c>
      <c r="J394" s="2">
        <f>2697.81-H387-H389-H388-H390-H391-H392-H393-H394</f>
        <v>0.43499999999994543</v>
      </c>
      <c r="K394" s="3">
        <f>431.65-I387-I388-I389-I390-I391-I392-I393-I394</f>
        <v>6.9999999999978968E-2</v>
      </c>
      <c r="L394" t="s">
        <v>850</v>
      </c>
    </row>
    <row r="395" spans="1:12">
      <c r="A395" t="s">
        <v>2449</v>
      </c>
      <c r="B395" s="1">
        <v>41743</v>
      </c>
      <c r="C395" t="s">
        <v>2450</v>
      </c>
      <c r="D395">
        <v>1</v>
      </c>
      <c r="E395" t="s">
        <v>2451</v>
      </c>
      <c r="F395" s="151" t="s">
        <v>901</v>
      </c>
      <c r="G395" s="149" t="s">
        <v>1598</v>
      </c>
      <c r="H395" s="157">
        <f t="shared" si="23"/>
        <v>80.1875</v>
      </c>
      <c r="I395" s="189">
        <v>12.83</v>
      </c>
      <c r="J395" s="3"/>
    </row>
    <row r="396" spans="1:12">
      <c r="A396" t="s">
        <v>2449</v>
      </c>
      <c r="B396" s="1">
        <v>41743</v>
      </c>
      <c r="C396" t="s">
        <v>2450</v>
      </c>
      <c r="D396">
        <v>1</v>
      </c>
      <c r="E396" t="s">
        <v>2451</v>
      </c>
      <c r="F396" s="180" t="s">
        <v>1591</v>
      </c>
      <c r="G396" s="149" t="s">
        <v>2917</v>
      </c>
      <c r="H396" s="157">
        <f t="shared" si="23"/>
        <v>293.0625</v>
      </c>
      <c r="I396" s="190">
        <v>46.89</v>
      </c>
    </row>
    <row r="397" spans="1:12">
      <c r="A397" t="s">
        <v>2449</v>
      </c>
      <c r="B397" s="1">
        <v>41743</v>
      </c>
      <c r="C397" t="s">
        <v>2450</v>
      </c>
      <c r="D397">
        <v>1</v>
      </c>
      <c r="E397" t="s">
        <v>2451</v>
      </c>
      <c r="F397" s="187" t="s">
        <v>763</v>
      </c>
      <c r="G397" t="s">
        <v>900</v>
      </c>
      <c r="H397" s="159">
        <f t="shared" si="23"/>
        <v>274.25</v>
      </c>
      <c r="I397" s="159">
        <v>43.88</v>
      </c>
    </row>
    <row r="398" spans="1:12">
      <c r="A398" t="s">
        <v>2449</v>
      </c>
      <c r="B398" s="1">
        <v>41743</v>
      </c>
      <c r="C398" t="s">
        <v>2450</v>
      </c>
      <c r="D398">
        <v>1</v>
      </c>
      <c r="E398" t="s">
        <v>2451</v>
      </c>
      <c r="F398" s="187" t="s">
        <v>763</v>
      </c>
      <c r="G398" t="s">
        <v>1548</v>
      </c>
      <c r="H398" s="159">
        <f t="shared" si="23"/>
        <v>298.25</v>
      </c>
      <c r="I398" s="159">
        <v>47.72</v>
      </c>
      <c r="J398" s="2">
        <f>945.75-H395-H396-H397-H398</f>
        <v>0</v>
      </c>
      <c r="K398" s="3">
        <f>151.32-I395-I396-I397-I398</f>
        <v>0</v>
      </c>
    </row>
    <row r="399" spans="1:12">
      <c r="A399" t="s">
        <v>2579</v>
      </c>
      <c r="B399" s="1">
        <v>41759</v>
      </c>
      <c r="C399" t="s">
        <v>2580</v>
      </c>
      <c r="D399">
        <v>1</v>
      </c>
      <c r="E399" t="s">
        <v>2581</v>
      </c>
      <c r="F399" s="178" t="s">
        <v>2369</v>
      </c>
      <c r="G399" s="149" t="s">
        <v>2370</v>
      </c>
      <c r="H399" s="3">
        <f t="shared" ref="H399:H409" si="24">+I399/0.16</f>
        <v>315421.1875</v>
      </c>
      <c r="I399" s="3">
        <v>50467.39</v>
      </c>
    </row>
    <row r="400" spans="1:12">
      <c r="A400" t="s">
        <v>2471</v>
      </c>
      <c r="B400" s="1">
        <v>41743</v>
      </c>
      <c r="C400" t="s">
        <v>2472</v>
      </c>
      <c r="D400">
        <v>1</v>
      </c>
      <c r="E400" t="s">
        <v>2473</v>
      </c>
      <c r="F400" s="150" t="s">
        <v>2367</v>
      </c>
      <c r="G400" s="149" t="s">
        <v>2368</v>
      </c>
      <c r="H400" s="3">
        <f t="shared" si="24"/>
        <v>356752.875</v>
      </c>
      <c r="I400" s="3">
        <v>57080.46</v>
      </c>
    </row>
    <row r="401" spans="1:9">
      <c r="A401" t="s">
        <v>2496</v>
      </c>
      <c r="B401" s="1">
        <v>41750</v>
      </c>
      <c r="C401" t="s">
        <v>2497</v>
      </c>
      <c r="D401">
        <v>1</v>
      </c>
      <c r="E401" t="s">
        <v>1924</v>
      </c>
      <c r="F401" s="178" t="s">
        <v>2369</v>
      </c>
      <c r="G401" s="149" t="s">
        <v>2370</v>
      </c>
      <c r="H401" s="3">
        <f t="shared" si="24"/>
        <v>162935.75</v>
      </c>
      <c r="I401" s="3">
        <v>26069.72</v>
      </c>
    </row>
    <row r="402" spans="1:9">
      <c r="A402" t="s">
        <v>2556</v>
      </c>
      <c r="B402" s="1">
        <v>41755</v>
      </c>
      <c r="C402" t="s">
        <v>2557</v>
      </c>
      <c r="D402">
        <v>1</v>
      </c>
      <c r="E402" t="s">
        <v>2558</v>
      </c>
      <c r="F402" s="152" t="s">
        <v>1658</v>
      </c>
      <c r="G402" s="149" t="s">
        <v>1659</v>
      </c>
      <c r="H402" s="3">
        <f t="shared" si="24"/>
        <v>271261.3125</v>
      </c>
      <c r="I402" s="3">
        <v>43401.81</v>
      </c>
    </row>
    <row r="403" spans="1:9">
      <c r="A403" t="s">
        <v>1395</v>
      </c>
      <c r="B403" s="1">
        <v>41744</v>
      </c>
      <c r="C403" t="s">
        <v>2748</v>
      </c>
      <c r="D403">
        <v>1</v>
      </c>
      <c r="E403" t="s">
        <v>2749</v>
      </c>
      <c r="F403" s="180" t="s">
        <v>2888</v>
      </c>
      <c r="G403" s="149" t="s">
        <v>2749</v>
      </c>
      <c r="H403" s="3">
        <f t="shared" si="24"/>
        <v>1800</v>
      </c>
      <c r="I403" s="3">
        <v>288</v>
      </c>
    </row>
    <row r="404" spans="1:9">
      <c r="A404" t="s">
        <v>1342</v>
      </c>
      <c r="B404" s="1">
        <v>41739</v>
      </c>
      <c r="C404" t="s">
        <v>2722</v>
      </c>
      <c r="D404">
        <v>1</v>
      </c>
      <c r="E404" t="s">
        <v>1319</v>
      </c>
      <c r="F404" s="180" t="s">
        <v>1662</v>
      </c>
      <c r="G404" s="149" t="s">
        <v>1319</v>
      </c>
      <c r="H404" s="3">
        <f t="shared" si="24"/>
        <v>600</v>
      </c>
      <c r="I404" s="3">
        <v>96</v>
      </c>
    </row>
    <row r="405" spans="1:9">
      <c r="A405" t="s">
        <v>574</v>
      </c>
      <c r="B405" s="1">
        <v>41745</v>
      </c>
      <c r="C405" t="s">
        <v>2769</v>
      </c>
      <c r="D405">
        <v>1</v>
      </c>
      <c r="E405" t="s">
        <v>1319</v>
      </c>
      <c r="F405" s="180" t="s">
        <v>1662</v>
      </c>
      <c r="G405" s="149" t="s">
        <v>1319</v>
      </c>
      <c r="H405" s="3">
        <f t="shared" si="24"/>
        <v>450</v>
      </c>
      <c r="I405" s="3">
        <v>72</v>
      </c>
    </row>
    <row r="406" spans="1:9">
      <c r="A406" t="s">
        <v>1607</v>
      </c>
      <c r="B406" s="1">
        <v>41759</v>
      </c>
      <c r="C406">
        <v>10040</v>
      </c>
      <c r="D406">
        <v>1</v>
      </c>
      <c r="E406" t="s">
        <v>2594</v>
      </c>
      <c r="F406" s="151" t="s">
        <v>2889</v>
      </c>
      <c r="G406" s="149" t="s">
        <v>2594</v>
      </c>
      <c r="H406" s="3">
        <f t="shared" si="24"/>
        <v>275</v>
      </c>
      <c r="I406" s="3">
        <v>44</v>
      </c>
    </row>
    <row r="407" spans="1:9">
      <c r="A407" t="s">
        <v>477</v>
      </c>
      <c r="B407" s="1">
        <v>41739</v>
      </c>
      <c r="C407" t="s">
        <v>2704</v>
      </c>
      <c r="D407">
        <v>1</v>
      </c>
      <c r="E407" t="s">
        <v>1493</v>
      </c>
      <c r="F407" s="180" t="s">
        <v>1663</v>
      </c>
      <c r="G407" s="149" t="s">
        <v>1493</v>
      </c>
      <c r="H407" s="3">
        <f t="shared" si="24"/>
        <v>533.125</v>
      </c>
      <c r="I407" s="3">
        <v>85.3</v>
      </c>
    </row>
    <row r="408" spans="1:9">
      <c r="A408" t="s">
        <v>1996</v>
      </c>
      <c r="B408" s="1">
        <v>41759</v>
      </c>
      <c r="C408">
        <v>10060</v>
      </c>
      <c r="D408">
        <v>1</v>
      </c>
      <c r="E408" t="s">
        <v>2613</v>
      </c>
      <c r="F408" s="180" t="s">
        <v>1662</v>
      </c>
      <c r="G408" s="149" t="s">
        <v>2613</v>
      </c>
      <c r="H408" s="3">
        <f t="shared" si="24"/>
        <v>240</v>
      </c>
      <c r="I408" s="3">
        <v>38.4</v>
      </c>
    </row>
    <row r="409" spans="1:9">
      <c r="A409" t="s">
        <v>2616</v>
      </c>
      <c r="B409" s="1">
        <v>41759</v>
      </c>
      <c r="C409">
        <v>10062</v>
      </c>
      <c r="D409">
        <v>1</v>
      </c>
      <c r="E409" t="s">
        <v>2613</v>
      </c>
      <c r="F409" s="180" t="s">
        <v>1662</v>
      </c>
      <c r="G409" s="149" t="s">
        <v>2613</v>
      </c>
      <c r="H409" s="3">
        <f t="shared" si="24"/>
        <v>240</v>
      </c>
      <c r="I409" s="3">
        <v>38.4</v>
      </c>
    </row>
    <row r="411" spans="1:9">
      <c r="H411" s="3">
        <f>SUM(H7:H410)</f>
        <v>14420218.2125</v>
      </c>
      <c r="I411" s="3">
        <f>SUM(I7:I410)</f>
        <v>2307234.9139999971</v>
      </c>
    </row>
    <row r="412" spans="1:9">
      <c r="H412" s="3">
        <f>2927223.71-623442.96</f>
        <v>2303780.75</v>
      </c>
      <c r="I412" s="3">
        <f>+H412-I411</f>
        <v>-3454.1639999970794</v>
      </c>
    </row>
  </sheetData>
  <sortState ref="A7:N327">
    <sortCondition ref="E7:E3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24"/>
  <sheetViews>
    <sheetView zoomScaleNormal="100" workbookViewId="0">
      <pane ySplit="6" topLeftCell="A7" activePane="bottomLeft" state="frozen"/>
      <selection pane="bottomLeft" activeCell="A7" sqref="A7:XFD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5703125" bestFit="1" customWidth="1"/>
    <col min="4" max="4" width="2" bestFit="1" customWidth="1"/>
    <col min="5" max="5" width="39.5703125" bestFit="1" customWidth="1"/>
    <col min="6" max="6" width="18.85546875" customWidth="1"/>
    <col min="7" max="7" width="17.140625" customWidth="1"/>
    <col min="8" max="8" width="20.140625" style="3" customWidth="1"/>
    <col min="9" max="9" width="13.140625" style="3" bestFit="1" customWidth="1"/>
    <col min="10" max="10" width="9.5703125" bestFit="1" customWidth="1"/>
  </cols>
  <sheetData>
    <row r="1" spans="1:9">
      <c r="A1" t="s">
        <v>707</v>
      </c>
    </row>
    <row r="2" spans="1:9">
      <c r="A2" t="s">
        <v>3454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1482</v>
      </c>
      <c r="B7" s="1">
        <v>41788</v>
      </c>
      <c r="C7" t="s">
        <v>3412</v>
      </c>
      <c r="D7">
        <v>1</v>
      </c>
      <c r="E7" t="s">
        <v>1401</v>
      </c>
      <c r="F7" s="191" t="s">
        <v>1532</v>
      </c>
      <c r="G7" s="192" t="s">
        <v>1401</v>
      </c>
      <c r="H7" s="3">
        <f>+I7/0.16</f>
        <v>7000</v>
      </c>
      <c r="I7" s="3">
        <v>1120</v>
      </c>
    </row>
    <row r="8" spans="1:9">
      <c r="A8" t="s">
        <v>1423</v>
      </c>
      <c r="B8" s="1">
        <v>41776</v>
      </c>
      <c r="C8" t="s">
        <v>3369</v>
      </c>
      <c r="D8">
        <v>1</v>
      </c>
      <c r="E8" t="s">
        <v>3370</v>
      </c>
      <c r="F8" s="191" t="s">
        <v>3455</v>
      </c>
      <c r="G8" s="192" t="s">
        <v>3370</v>
      </c>
      <c r="H8" s="3">
        <f t="shared" ref="H8:H71" si="0">+I8/0.16</f>
        <v>42500</v>
      </c>
      <c r="I8" s="3">
        <v>6800</v>
      </c>
    </row>
    <row r="9" spans="1:9">
      <c r="A9" t="s">
        <v>3096</v>
      </c>
      <c r="B9" s="1">
        <v>41782</v>
      </c>
      <c r="C9" t="s">
        <v>3097</v>
      </c>
      <c r="D9">
        <v>1</v>
      </c>
      <c r="E9" t="s">
        <v>3098</v>
      </c>
      <c r="F9" s="193" t="s">
        <v>787</v>
      </c>
      <c r="G9" s="192" t="s">
        <v>788</v>
      </c>
      <c r="H9" s="3">
        <f t="shared" si="0"/>
        <v>320437.1875</v>
      </c>
      <c r="I9" s="3">
        <v>51269.95</v>
      </c>
    </row>
    <row r="10" spans="1:9">
      <c r="A10" t="s">
        <v>184</v>
      </c>
      <c r="B10" s="1">
        <v>41783</v>
      </c>
      <c r="C10" t="s">
        <v>3099</v>
      </c>
      <c r="D10">
        <v>1</v>
      </c>
      <c r="E10" t="s">
        <v>788</v>
      </c>
      <c r="F10" s="193" t="s">
        <v>787</v>
      </c>
      <c r="G10" s="192" t="s">
        <v>788</v>
      </c>
      <c r="H10" s="3">
        <f t="shared" si="0"/>
        <v>246689.9375</v>
      </c>
      <c r="I10" s="3">
        <v>39470.39</v>
      </c>
    </row>
    <row r="11" spans="1:9">
      <c r="A11" t="s">
        <v>3180</v>
      </c>
      <c r="B11" s="1">
        <v>41789</v>
      </c>
      <c r="C11" t="s">
        <v>3181</v>
      </c>
      <c r="D11">
        <v>1</v>
      </c>
      <c r="E11" t="s">
        <v>3182</v>
      </c>
      <c r="F11" s="193" t="s">
        <v>1533</v>
      </c>
      <c r="G11" s="192" t="s">
        <v>1534</v>
      </c>
      <c r="H11" s="3">
        <f t="shared" si="0"/>
        <v>216185.75</v>
      </c>
      <c r="I11" s="3">
        <v>34589.72</v>
      </c>
    </row>
    <row r="12" spans="1:9">
      <c r="A12" t="s">
        <v>3177</v>
      </c>
      <c r="B12" s="1">
        <v>41788</v>
      </c>
      <c r="C12" t="s">
        <v>3178</v>
      </c>
      <c r="D12">
        <v>1</v>
      </c>
      <c r="E12" t="s">
        <v>3179</v>
      </c>
      <c r="F12" s="194" t="s">
        <v>783</v>
      </c>
      <c r="G12" s="192" t="s">
        <v>1987</v>
      </c>
      <c r="H12" s="3">
        <f t="shared" si="0"/>
        <v>216185.75</v>
      </c>
      <c r="I12" s="3">
        <v>34589.72</v>
      </c>
    </row>
    <row r="13" spans="1:9">
      <c r="A13" t="s">
        <v>1988</v>
      </c>
      <c r="B13" s="1">
        <v>41790</v>
      </c>
      <c r="C13" t="s">
        <v>3197</v>
      </c>
      <c r="D13">
        <v>1</v>
      </c>
      <c r="E13" t="s">
        <v>766</v>
      </c>
      <c r="F13" s="194" t="s">
        <v>783</v>
      </c>
      <c r="G13" s="192" t="s">
        <v>1987</v>
      </c>
      <c r="H13" s="3">
        <f t="shared" si="0"/>
        <v>216185.75</v>
      </c>
      <c r="I13" s="3">
        <v>34589.72</v>
      </c>
    </row>
    <row r="14" spans="1:9">
      <c r="A14" t="s">
        <v>3038</v>
      </c>
      <c r="B14" s="1">
        <v>41773</v>
      </c>
      <c r="C14">
        <v>10111</v>
      </c>
      <c r="D14">
        <v>1</v>
      </c>
      <c r="E14" t="s">
        <v>272</v>
      </c>
      <c r="F14" s="191" t="s">
        <v>719</v>
      </c>
      <c r="G14" s="192" t="s">
        <v>272</v>
      </c>
      <c r="H14" s="3">
        <f t="shared" si="0"/>
        <v>135.6875</v>
      </c>
      <c r="I14" s="3">
        <v>21.71</v>
      </c>
    </row>
    <row r="15" spans="1:9">
      <c r="A15" t="s">
        <v>2676</v>
      </c>
      <c r="B15" s="1">
        <v>41765</v>
      </c>
      <c r="C15" t="s">
        <v>3301</v>
      </c>
      <c r="D15">
        <v>2</v>
      </c>
      <c r="E15" t="s">
        <v>3302</v>
      </c>
      <c r="F15" s="191" t="s">
        <v>3456</v>
      </c>
      <c r="G15" s="192" t="s">
        <v>3302</v>
      </c>
      <c r="H15" s="3">
        <f t="shared" si="0"/>
        <v>2050</v>
      </c>
      <c r="I15" s="3">
        <v>328</v>
      </c>
    </row>
    <row r="16" spans="1:9">
      <c r="A16" t="s">
        <v>396</v>
      </c>
      <c r="B16" s="1">
        <v>41790</v>
      </c>
      <c r="C16" t="s">
        <v>3232</v>
      </c>
      <c r="D16">
        <v>1</v>
      </c>
      <c r="E16" t="s">
        <v>123</v>
      </c>
      <c r="F16" s="195" t="s">
        <v>721</v>
      </c>
      <c r="G16" s="192" t="s">
        <v>123</v>
      </c>
      <c r="H16" s="3">
        <f t="shared" si="0"/>
        <v>258.625</v>
      </c>
      <c r="I16" s="3">
        <v>41.38</v>
      </c>
    </row>
    <row r="17" spans="1:9">
      <c r="A17" t="s">
        <v>399</v>
      </c>
      <c r="B17" s="1">
        <v>41790</v>
      </c>
      <c r="C17" t="s">
        <v>3233</v>
      </c>
      <c r="D17">
        <v>1</v>
      </c>
      <c r="E17" t="s">
        <v>123</v>
      </c>
      <c r="F17" s="195" t="s">
        <v>721</v>
      </c>
      <c r="G17" s="192" t="s">
        <v>123</v>
      </c>
      <c r="H17" s="3">
        <f t="shared" si="0"/>
        <v>258.625</v>
      </c>
      <c r="I17" s="3">
        <v>41.38</v>
      </c>
    </row>
    <row r="18" spans="1:9">
      <c r="A18" t="s">
        <v>3234</v>
      </c>
      <c r="B18" s="1">
        <v>41790</v>
      </c>
      <c r="C18" t="s">
        <v>3235</v>
      </c>
      <c r="D18">
        <v>1</v>
      </c>
      <c r="E18" t="s">
        <v>123</v>
      </c>
      <c r="F18" s="195" t="s">
        <v>721</v>
      </c>
      <c r="G18" s="192" t="s">
        <v>123</v>
      </c>
      <c r="H18" s="3">
        <f t="shared" si="0"/>
        <v>215.49999999999997</v>
      </c>
      <c r="I18" s="3">
        <v>34.479999999999997</v>
      </c>
    </row>
    <row r="19" spans="1:9">
      <c r="A19" t="s">
        <v>2087</v>
      </c>
      <c r="B19" s="1">
        <v>41790</v>
      </c>
      <c r="C19">
        <v>10224</v>
      </c>
      <c r="D19">
        <v>1</v>
      </c>
      <c r="E19" t="s">
        <v>3249</v>
      </c>
      <c r="F19" s="191" t="s">
        <v>3457</v>
      </c>
      <c r="G19" s="192" t="s">
        <v>3249</v>
      </c>
      <c r="H19" s="3">
        <f t="shared" si="0"/>
        <v>605</v>
      </c>
      <c r="I19" s="3">
        <v>96.8</v>
      </c>
    </row>
    <row r="20" spans="1:9">
      <c r="A20" t="s">
        <v>3250</v>
      </c>
      <c r="B20" s="1">
        <v>41790</v>
      </c>
      <c r="C20">
        <v>10225</v>
      </c>
      <c r="D20">
        <v>1</v>
      </c>
      <c r="E20" t="s">
        <v>3249</v>
      </c>
      <c r="F20" s="191" t="s">
        <v>3457</v>
      </c>
      <c r="G20" s="192" t="s">
        <v>3249</v>
      </c>
      <c r="H20" s="3">
        <f t="shared" si="0"/>
        <v>495</v>
      </c>
      <c r="I20" s="3">
        <v>79.2</v>
      </c>
    </row>
    <row r="21" spans="1:9">
      <c r="A21" t="s">
        <v>2434</v>
      </c>
      <c r="B21" s="1">
        <v>41772</v>
      </c>
      <c r="C21" t="s">
        <v>3006</v>
      </c>
      <c r="D21">
        <v>1</v>
      </c>
      <c r="E21" t="s">
        <v>3007</v>
      </c>
      <c r="F21" s="191" t="s">
        <v>3458</v>
      </c>
      <c r="G21" s="192" t="s">
        <v>3007</v>
      </c>
      <c r="H21" s="3">
        <f t="shared" si="0"/>
        <v>356752.875</v>
      </c>
      <c r="I21" s="3">
        <v>57080.46</v>
      </c>
    </row>
    <row r="22" spans="1:9">
      <c r="A22" t="s">
        <v>1302</v>
      </c>
      <c r="B22" s="1">
        <v>41790</v>
      </c>
      <c r="C22" t="s">
        <v>3200</v>
      </c>
      <c r="D22">
        <v>1</v>
      </c>
      <c r="E22" t="s">
        <v>3201</v>
      </c>
      <c r="F22" s="196" t="s">
        <v>785</v>
      </c>
      <c r="G22" s="192" t="s">
        <v>786</v>
      </c>
      <c r="H22" s="3">
        <f t="shared" si="0"/>
        <v>216185.75</v>
      </c>
      <c r="I22" s="3">
        <v>34589.72</v>
      </c>
    </row>
    <row r="23" spans="1:9">
      <c r="A23" t="s">
        <v>2098</v>
      </c>
      <c r="B23" s="1">
        <v>41790</v>
      </c>
      <c r="C23" t="s">
        <v>3254</v>
      </c>
      <c r="D23">
        <v>1</v>
      </c>
      <c r="E23" t="s">
        <v>3255</v>
      </c>
      <c r="F23" s="191" t="s">
        <v>3459</v>
      </c>
      <c r="G23" s="192" t="s">
        <v>3255</v>
      </c>
      <c r="H23" s="3">
        <f t="shared" si="0"/>
        <v>275.875</v>
      </c>
      <c r="I23" s="3">
        <v>44.14</v>
      </c>
    </row>
    <row r="24" spans="1:9">
      <c r="A24" t="s">
        <v>2053</v>
      </c>
      <c r="B24" s="1">
        <v>41790</v>
      </c>
      <c r="C24">
        <v>10203</v>
      </c>
      <c r="D24">
        <v>1</v>
      </c>
      <c r="E24" t="s">
        <v>1137</v>
      </c>
      <c r="F24" s="191" t="s">
        <v>724</v>
      </c>
      <c r="G24" s="192" t="s">
        <v>1137</v>
      </c>
      <c r="H24" s="3">
        <f t="shared" si="0"/>
        <v>30.125</v>
      </c>
      <c r="I24" s="3">
        <v>4.82</v>
      </c>
    </row>
    <row r="25" spans="1:9">
      <c r="A25" t="s">
        <v>401</v>
      </c>
      <c r="B25" s="1">
        <v>41790</v>
      </c>
      <c r="C25" t="s">
        <v>3236</v>
      </c>
      <c r="D25">
        <v>1</v>
      </c>
      <c r="E25" t="s">
        <v>264</v>
      </c>
      <c r="F25" s="191" t="s">
        <v>724</v>
      </c>
      <c r="G25" s="192" t="s">
        <v>264</v>
      </c>
      <c r="H25" s="3">
        <f t="shared" si="0"/>
        <v>68.9375</v>
      </c>
      <c r="I25" s="3">
        <v>11.03</v>
      </c>
    </row>
    <row r="26" spans="1:9">
      <c r="A26" t="s">
        <v>3246</v>
      </c>
      <c r="B26" s="1">
        <v>41790</v>
      </c>
      <c r="C26">
        <v>10217</v>
      </c>
      <c r="D26">
        <v>1</v>
      </c>
      <c r="E26" t="s">
        <v>264</v>
      </c>
      <c r="F26" s="191" t="s">
        <v>724</v>
      </c>
      <c r="G26" s="192" t="s">
        <v>264</v>
      </c>
      <c r="H26" s="3">
        <f t="shared" si="0"/>
        <v>51.5625</v>
      </c>
      <c r="I26" s="3">
        <v>8.25</v>
      </c>
    </row>
    <row r="27" spans="1:9">
      <c r="A27" t="s">
        <v>54</v>
      </c>
      <c r="B27" s="1">
        <v>41774</v>
      </c>
      <c r="C27" t="s">
        <v>3062</v>
      </c>
      <c r="D27">
        <v>1</v>
      </c>
      <c r="E27" t="s">
        <v>1767</v>
      </c>
      <c r="F27" s="191" t="s">
        <v>724</v>
      </c>
      <c r="G27" s="192" t="s">
        <v>1767</v>
      </c>
      <c r="H27" s="3">
        <f t="shared" si="0"/>
        <v>68.9375</v>
      </c>
      <c r="I27" s="3">
        <v>11.03</v>
      </c>
    </row>
    <row r="28" spans="1:9">
      <c r="A28" t="s">
        <v>3045</v>
      </c>
      <c r="B28" s="1">
        <v>41773</v>
      </c>
      <c r="C28">
        <v>10126</v>
      </c>
      <c r="D28">
        <v>1</v>
      </c>
      <c r="E28" t="s">
        <v>1142</v>
      </c>
      <c r="F28" s="191" t="s">
        <v>820</v>
      </c>
      <c r="G28" s="192" t="s">
        <v>1142</v>
      </c>
      <c r="H28" s="3">
        <f t="shared" si="0"/>
        <v>50</v>
      </c>
      <c r="I28" s="3">
        <v>8</v>
      </c>
    </row>
    <row r="29" spans="1:9">
      <c r="A29" t="s">
        <v>408</v>
      </c>
      <c r="B29" s="1">
        <v>41790</v>
      </c>
      <c r="C29" t="s">
        <v>3239</v>
      </c>
      <c r="D29">
        <v>1</v>
      </c>
      <c r="E29" t="s">
        <v>3240</v>
      </c>
      <c r="F29" s="191" t="s">
        <v>3460</v>
      </c>
      <c r="G29" s="192" t="s">
        <v>3240</v>
      </c>
      <c r="H29" s="3">
        <f t="shared" si="0"/>
        <v>387.9375</v>
      </c>
      <c r="I29" s="3">
        <v>62.07</v>
      </c>
    </row>
    <row r="30" spans="1:9">
      <c r="A30" t="s">
        <v>1342</v>
      </c>
      <c r="B30" s="1">
        <v>41769</v>
      </c>
      <c r="C30" t="s">
        <v>3339</v>
      </c>
      <c r="D30">
        <v>1</v>
      </c>
      <c r="E30" t="s">
        <v>3340</v>
      </c>
      <c r="F30" s="191" t="s">
        <v>3461</v>
      </c>
      <c r="G30" s="192" t="s">
        <v>3340</v>
      </c>
      <c r="H30" s="3">
        <f t="shared" si="0"/>
        <v>5000</v>
      </c>
      <c r="I30" s="3">
        <v>800</v>
      </c>
    </row>
    <row r="31" spans="1:9">
      <c r="A31" t="s">
        <v>653</v>
      </c>
      <c r="B31" s="1">
        <v>41787</v>
      </c>
      <c r="C31" t="s">
        <v>3403</v>
      </c>
      <c r="D31">
        <v>1</v>
      </c>
      <c r="E31" t="s">
        <v>2800</v>
      </c>
      <c r="F31" s="191" t="s">
        <v>2867</v>
      </c>
      <c r="G31" s="192" t="s">
        <v>2800</v>
      </c>
      <c r="H31" s="3">
        <f t="shared" si="0"/>
        <v>1198.8125</v>
      </c>
      <c r="I31" s="3">
        <v>191.81</v>
      </c>
    </row>
    <row r="32" spans="1:9">
      <c r="A32" t="s">
        <v>1990</v>
      </c>
      <c r="B32" s="1">
        <v>41790</v>
      </c>
      <c r="C32" t="s">
        <v>3198</v>
      </c>
      <c r="D32">
        <v>1</v>
      </c>
      <c r="E32" t="s">
        <v>3199</v>
      </c>
      <c r="F32" s="191" t="s">
        <v>3462</v>
      </c>
      <c r="G32" s="192" t="s">
        <v>3199</v>
      </c>
      <c r="H32" s="3">
        <f t="shared" si="0"/>
        <v>216185.75</v>
      </c>
      <c r="I32" s="3">
        <v>34589.72</v>
      </c>
    </row>
    <row r="33" spans="1:9">
      <c r="A33" t="s">
        <v>3060</v>
      </c>
      <c r="B33" s="1">
        <v>41774</v>
      </c>
      <c r="C33">
        <v>10145</v>
      </c>
      <c r="D33">
        <v>1</v>
      </c>
      <c r="E33" t="s">
        <v>3061</v>
      </c>
      <c r="F33" s="187" t="s">
        <v>763</v>
      </c>
      <c r="G33" t="s">
        <v>3541</v>
      </c>
      <c r="H33" s="3">
        <f t="shared" si="0"/>
        <v>168.1875</v>
      </c>
      <c r="I33" s="3">
        <v>26.91</v>
      </c>
    </row>
    <row r="34" spans="1:9">
      <c r="A34" t="s">
        <v>3256</v>
      </c>
      <c r="B34" s="1">
        <v>41790</v>
      </c>
      <c r="C34" t="s">
        <v>3257</v>
      </c>
      <c r="D34">
        <v>1</v>
      </c>
      <c r="E34" t="s">
        <v>3258</v>
      </c>
      <c r="F34" s="187" t="s">
        <v>1553</v>
      </c>
      <c r="G34" t="s">
        <v>3258</v>
      </c>
      <c r="H34" s="3">
        <f t="shared" si="0"/>
        <v>112.125</v>
      </c>
      <c r="I34" s="3">
        <v>17.940000000000001</v>
      </c>
    </row>
    <row r="35" spans="1:9">
      <c r="A35" t="s">
        <v>566</v>
      </c>
      <c r="B35" s="1">
        <v>41775</v>
      </c>
      <c r="C35" t="s">
        <v>3361</v>
      </c>
      <c r="D35">
        <v>1</v>
      </c>
      <c r="E35" t="s">
        <v>1360</v>
      </c>
      <c r="F35" s="191" t="s">
        <v>1540</v>
      </c>
      <c r="G35" s="192" t="s">
        <v>1360</v>
      </c>
      <c r="H35" s="3">
        <f t="shared" si="0"/>
        <v>1118.5</v>
      </c>
      <c r="I35" s="3">
        <v>178.96</v>
      </c>
    </row>
    <row r="36" spans="1:9">
      <c r="A36" t="s">
        <v>463</v>
      </c>
      <c r="B36" s="1">
        <v>41767</v>
      </c>
      <c r="C36" t="s">
        <v>3326</v>
      </c>
      <c r="D36">
        <v>2</v>
      </c>
      <c r="E36" t="s">
        <v>619</v>
      </c>
      <c r="F36" s="191" t="s">
        <v>791</v>
      </c>
      <c r="G36" s="192" t="s">
        <v>619</v>
      </c>
      <c r="H36" s="3">
        <f t="shared" si="0"/>
        <v>1839.9999999999998</v>
      </c>
      <c r="I36" s="3">
        <v>294.39999999999998</v>
      </c>
    </row>
    <row r="37" spans="1:9">
      <c r="A37" t="s">
        <v>670</v>
      </c>
      <c r="B37" s="1">
        <v>41788</v>
      </c>
      <c r="C37" t="s">
        <v>3413</v>
      </c>
      <c r="D37">
        <v>2</v>
      </c>
      <c r="E37" t="s">
        <v>619</v>
      </c>
      <c r="F37" s="191" t="s">
        <v>791</v>
      </c>
      <c r="G37" s="192" t="s">
        <v>619</v>
      </c>
      <c r="H37" s="3">
        <f t="shared" si="0"/>
        <v>2241.375</v>
      </c>
      <c r="I37" s="3">
        <v>358.62</v>
      </c>
    </row>
    <row r="38" spans="1:9">
      <c r="A38" t="s">
        <v>3439</v>
      </c>
      <c r="B38" s="1">
        <v>41790</v>
      </c>
      <c r="C38" t="s">
        <v>2218</v>
      </c>
      <c r="D38">
        <v>1</v>
      </c>
      <c r="E38" t="s">
        <v>3440</v>
      </c>
      <c r="F38" s="197" t="s">
        <v>796</v>
      </c>
      <c r="G38" s="192" t="s">
        <v>797</v>
      </c>
      <c r="H38" s="3">
        <f t="shared" si="0"/>
        <v>1820</v>
      </c>
      <c r="I38" s="3">
        <v>291.2</v>
      </c>
    </row>
    <row r="39" spans="1:9">
      <c r="A39" t="s">
        <v>3443</v>
      </c>
      <c r="B39" s="1">
        <v>41790</v>
      </c>
      <c r="C39" t="s">
        <v>3444</v>
      </c>
      <c r="D39">
        <v>1</v>
      </c>
      <c r="E39" t="s">
        <v>3445</v>
      </c>
      <c r="F39" s="197" t="s">
        <v>804</v>
      </c>
      <c r="G39" s="198" t="s">
        <v>805</v>
      </c>
      <c r="H39" s="3">
        <f t="shared" si="0"/>
        <v>84</v>
      </c>
      <c r="I39" s="3">
        <v>13.44</v>
      </c>
    </row>
    <row r="40" spans="1:9">
      <c r="A40" t="s">
        <v>644</v>
      </c>
      <c r="B40" s="1">
        <v>41786</v>
      </c>
      <c r="C40" t="s">
        <v>2218</v>
      </c>
      <c r="D40">
        <v>1</v>
      </c>
      <c r="E40" t="s">
        <v>3402</v>
      </c>
      <c r="F40" s="197" t="s">
        <v>796</v>
      </c>
      <c r="G40" s="192" t="s">
        <v>797</v>
      </c>
      <c r="H40" s="3">
        <f t="shared" si="0"/>
        <v>3557.3124999999995</v>
      </c>
      <c r="I40" s="3">
        <v>569.16999999999996</v>
      </c>
    </row>
    <row r="41" spans="1:9">
      <c r="A41" t="s">
        <v>3217</v>
      </c>
      <c r="B41" s="1">
        <v>41790</v>
      </c>
      <c r="C41" t="s">
        <v>1520</v>
      </c>
      <c r="D41">
        <v>1</v>
      </c>
      <c r="E41" t="s">
        <v>3218</v>
      </c>
      <c r="F41" s="197" t="s">
        <v>800</v>
      </c>
      <c r="G41" s="198" t="s">
        <v>801</v>
      </c>
      <c r="H41" s="3">
        <f t="shared" si="0"/>
        <v>39</v>
      </c>
      <c r="I41" s="3">
        <v>6.24</v>
      </c>
    </row>
    <row r="42" spans="1:9">
      <c r="A42" t="s">
        <v>3437</v>
      </c>
      <c r="B42" s="1">
        <v>41790</v>
      </c>
      <c r="C42" t="s">
        <v>693</v>
      </c>
      <c r="D42">
        <v>1</v>
      </c>
      <c r="E42" t="s">
        <v>3438</v>
      </c>
      <c r="F42" s="199" t="s">
        <v>792</v>
      </c>
      <c r="G42" s="200" t="s">
        <v>793</v>
      </c>
      <c r="H42" s="3">
        <f t="shared" si="0"/>
        <v>3085.625</v>
      </c>
      <c r="I42" s="3">
        <v>493.7</v>
      </c>
    </row>
    <row r="43" spans="1:9">
      <c r="A43" t="s">
        <v>2794</v>
      </c>
      <c r="B43" s="1">
        <v>41779</v>
      </c>
      <c r="C43" t="s">
        <v>2193</v>
      </c>
      <c r="D43">
        <v>1</v>
      </c>
      <c r="E43" t="s">
        <v>3380</v>
      </c>
      <c r="F43" s="193" t="s">
        <v>802</v>
      </c>
      <c r="G43" s="192" t="s">
        <v>1542</v>
      </c>
      <c r="H43" s="3">
        <f t="shared" si="0"/>
        <v>265</v>
      </c>
      <c r="I43" s="3">
        <v>42.4</v>
      </c>
    </row>
    <row r="44" spans="1:9">
      <c r="A44" t="s">
        <v>2773</v>
      </c>
      <c r="B44" s="1">
        <v>41775</v>
      </c>
      <c r="C44" t="s">
        <v>2218</v>
      </c>
      <c r="D44">
        <v>1</v>
      </c>
      <c r="E44" t="s">
        <v>3368</v>
      </c>
      <c r="F44" s="197" t="s">
        <v>796</v>
      </c>
      <c r="G44" s="192" t="s">
        <v>797</v>
      </c>
      <c r="H44" s="3">
        <f t="shared" si="0"/>
        <v>5295.25</v>
      </c>
      <c r="I44" s="3">
        <v>847.24</v>
      </c>
    </row>
    <row r="45" spans="1:9">
      <c r="A45" t="s">
        <v>1433</v>
      </c>
      <c r="B45" s="1">
        <v>41779</v>
      </c>
      <c r="C45" t="s">
        <v>2218</v>
      </c>
      <c r="D45">
        <v>1</v>
      </c>
      <c r="E45" t="s">
        <v>3378</v>
      </c>
      <c r="F45" s="197" t="s">
        <v>796</v>
      </c>
      <c r="G45" s="192" t="s">
        <v>797</v>
      </c>
      <c r="H45" s="3">
        <f t="shared" si="0"/>
        <v>683.9375</v>
      </c>
      <c r="I45" s="3">
        <v>109.43</v>
      </c>
    </row>
    <row r="46" spans="1:9">
      <c r="A46" t="s">
        <v>1488</v>
      </c>
      <c r="B46" s="1">
        <v>41788</v>
      </c>
      <c r="C46" t="s">
        <v>2218</v>
      </c>
      <c r="D46">
        <v>1</v>
      </c>
      <c r="E46" t="s">
        <v>3417</v>
      </c>
      <c r="F46" s="197" t="s">
        <v>796</v>
      </c>
      <c r="G46" s="192" t="s">
        <v>797</v>
      </c>
      <c r="H46" s="3">
        <f t="shared" si="0"/>
        <v>377.125</v>
      </c>
      <c r="I46" s="3">
        <v>60.34</v>
      </c>
    </row>
    <row r="47" spans="1:9">
      <c r="A47" t="s">
        <v>1522</v>
      </c>
      <c r="B47" s="1">
        <v>41789</v>
      </c>
      <c r="C47" t="s">
        <v>2218</v>
      </c>
      <c r="D47">
        <v>1</v>
      </c>
      <c r="E47" t="s">
        <v>3433</v>
      </c>
      <c r="F47" s="197" t="s">
        <v>796</v>
      </c>
      <c r="G47" s="192" t="s">
        <v>797</v>
      </c>
      <c r="H47" s="3">
        <f t="shared" si="0"/>
        <v>1802.3125</v>
      </c>
      <c r="I47" s="3">
        <v>288.37</v>
      </c>
    </row>
    <row r="48" spans="1:9">
      <c r="A48" t="s">
        <v>695</v>
      </c>
      <c r="B48" s="1">
        <v>41789</v>
      </c>
      <c r="C48" t="s">
        <v>1528</v>
      </c>
      <c r="D48">
        <v>1</v>
      </c>
      <c r="E48" t="s">
        <v>3434</v>
      </c>
      <c r="F48" s="197" t="s">
        <v>798</v>
      </c>
      <c r="G48" s="198" t="s">
        <v>799</v>
      </c>
      <c r="H48" s="3">
        <f t="shared" si="0"/>
        <v>3423.9375</v>
      </c>
      <c r="I48" s="3">
        <v>547.83000000000004</v>
      </c>
    </row>
    <row r="49" spans="1:9">
      <c r="A49" t="s">
        <v>2792</v>
      </c>
      <c r="B49" s="1">
        <v>41779</v>
      </c>
      <c r="C49" t="s">
        <v>1528</v>
      </c>
      <c r="D49">
        <v>1</v>
      </c>
      <c r="E49" t="s">
        <v>3379</v>
      </c>
      <c r="F49" s="197" t="s">
        <v>798</v>
      </c>
      <c r="G49" s="198" t="s">
        <v>799</v>
      </c>
      <c r="H49" s="3">
        <f t="shared" si="0"/>
        <v>4973.6875</v>
      </c>
      <c r="I49" s="3">
        <v>795.79</v>
      </c>
    </row>
    <row r="50" spans="1:9">
      <c r="A50" t="s">
        <v>3441</v>
      </c>
      <c r="B50" s="1">
        <v>41790</v>
      </c>
      <c r="C50" t="s">
        <v>1528</v>
      </c>
      <c r="D50">
        <v>1</v>
      </c>
      <c r="E50" t="s">
        <v>3442</v>
      </c>
      <c r="F50" s="197" t="s">
        <v>798</v>
      </c>
      <c r="G50" s="198" t="s">
        <v>799</v>
      </c>
      <c r="H50" s="3">
        <f t="shared" si="0"/>
        <v>13</v>
      </c>
      <c r="I50" s="3">
        <v>2.08</v>
      </c>
    </row>
    <row r="51" spans="1:9">
      <c r="A51" t="s">
        <v>3435</v>
      </c>
      <c r="B51" s="1">
        <v>41789</v>
      </c>
      <c r="C51" t="s">
        <v>1525</v>
      </c>
      <c r="D51">
        <v>1</v>
      </c>
      <c r="E51" t="s">
        <v>3436</v>
      </c>
      <c r="F51" s="197" t="s">
        <v>804</v>
      </c>
      <c r="G51" s="198" t="s">
        <v>805</v>
      </c>
      <c r="H51" s="3">
        <f t="shared" si="0"/>
        <v>150</v>
      </c>
      <c r="I51" s="3">
        <v>24</v>
      </c>
    </row>
    <row r="52" spans="1:9">
      <c r="A52" t="s">
        <v>3446</v>
      </c>
      <c r="B52" s="1">
        <v>41790</v>
      </c>
      <c r="C52" t="s">
        <v>1518</v>
      </c>
      <c r="D52">
        <v>1</v>
      </c>
      <c r="E52" t="s">
        <v>3447</v>
      </c>
      <c r="F52" s="197" t="s">
        <v>806</v>
      </c>
      <c r="G52" s="198" t="s">
        <v>807</v>
      </c>
      <c r="H52" s="3">
        <f t="shared" si="0"/>
        <v>850</v>
      </c>
      <c r="I52" s="3">
        <v>136</v>
      </c>
    </row>
    <row r="53" spans="1:9">
      <c r="A53" t="s">
        <v>2067</v>
      </c>
      <c r="B53" s="1">
        <v>41790</v>
      </c>
      <c r="C53">
        <v>10211</v>
      </c>
      <c r="D53">
        <v>1</v>
      </c>
      <c r="E53" t="s">
        <v>1134</v>
      </c>
      <c r="F53" s="191" t="s">
        <v>790</v>
      </c>
      <c r="G53" s="192" t="s">
        <v>1134</v>
      </c>
      <c r="H53" s="3">
        <f t="shared" si="0"/>
        <v>56.875</v>
      </c>
      <c r="I53" s="3">
        <v>9.1</v>
      </c>
    </row>
    <row r="54" spans="1:9">
      <c r="A54" t="s">
        <v>2072</v>
      </c>
      <c r="B54" s="1">
        <v>41790</v>
      </c>
      <c r="C54">
        <v>10214</v>
      </c>
      <c r="D54">
        <v>1</v>
      </c>
      <c r="E54" t="s">
        <v>1134</v>
      </c>
      <c r="F54" s="191" t="s">
        <v>790</v>
      </c>
      <c r="G54" s="192" t="s">
        <v>1134</v>
      </c>
      <c r="H54" s="3">
        <f t="shared" si="0"/>
        <v>75</v>
      </c>
      <c r="I54" s="3">
        <v>12</v>
      </c>
    </row>
    <row r="55" spans="1:9">
      <c r="A55" t="s">
        <v>3291</v>
      </c>
      <c r="B55" s="1">
        <v>41790</v>
      </c>
      <c r="C55" t="s">
        <v>3292</v>
      </c>
      <c r="D55">
        <v>1</v>
      </c>
      <c r="E55" t="s">
        <v>3293</v>
      </c>
      <c r="F55" s="187" t="s">
        <v>3463</v>
      </c>
      <c r="G55" s="201" t="s">
        <v>3464</v>
      </c>
      <c r="H55" s="3">
        <f t="shared" si="0"/>
        <v>2600</v>
      </c>
      <c r="I55" s="3">
        <v>416</v>
      </c>
    </row>
    <row r="56" spans="1:9">
      <c r="A56" t="s">
        <v>1322</v>
      </c>
      <c r="B56" s="1">
        <v>41767</v>
      </c>
      <c r="C56" t="s">
        <v>3316</v>
      </c>
      <c r="D56">
        <v>1</v>
      </c>
      <c r="E56" t="s">
        <v>547</v>
      </c>
      <c r="F56" s="191" t="s">
        <v>817</v>
      </c>
      <c r="G56" s="192" t="s">
        <v>547</v>
      </c>
      <c r="H56" s="3">
        <f t="shared" si="0"/>
        <v>28289.999999999996</v>
      </c>
      <c r="I56" s="3">
        <v>4526.3999999999996</v>
      </c>
    </row>
    <row r="57" spans="1:9">
      <c r="A57" t="s">
        <v>625</v>
      </c>
      <c r="B57" s="1">
        <v>41786</v>
      </c>
      <c r="C57" t="s">
        <v>3394</v>
      </c>
      <c r="D57">
        <v>1</v>
      </c>
      <c r="E57" t="s">
        <v>547</v>
      </c>
      <c r="F57" s="191" t="s">
        <v>817</v>
      </c>
      <c r="G57" s="192" t="s">
        <v>547</v>
      </c>
      <c r="H57" s="3">
        <f t="shared" si="0"/>
        <v>2791</v>
      </c>
      <c r="I57" s="3">
        <v>446.56</v>
      </c>
    </row>
    <row r="58" spans="1:9">
      <c r="A58" t="s">
        <v>427</v>
      </c>
      <c r="B58" s="1">
        <v>41761</v>
      </c>
      <c r="C58" t="s">
        <v>3294</v>
      </c>
      <c r="D58">
        <v>1</v>
      </c>
      <c r="E58" t="s">
        <v>429</v>
      </c>
      <c r="F58" s="193" t="s">
        <v>818</v>
      </c>
      <c r="G58" s="192" t="s">
        <v>429</v>
      </c>
      <c r="H58" s="3">
        <f t="shared" si="0"/>
        <v>700.9375</v>
      </c>
      <c r="I58" s="3">
        <v>112.15</v>
      </c>
    </row>
    <row r="59" spans="1:9">
      <c r="A59" t="s">
        <v>3295</v>
      </c>
      <c r="B59" s="1">
        <v>41761</v>
      </c>
      <c r="C59" t="s">
        <v>3296</v>
      </c>
      <c r="D59">
        <v>1</v>
      </c>
      <c r="E59" t="s">
        <v>429</v>
      </c>
      <c r="F59" s="193" t="s">
        <v>818</v>
      </c>
      <c r="G59" s="192" t="s">
        <v>429</v>
      </c>
      <c r="H59" s="3">
        <f t="shared" si="0"/>
        <v>10589.9375</v>
      </c>
      <c r="I59" s="3">
        <v>1694.39</v>
      </c>
    </row>
    <row r="60" spans="1:9">
      <c r="A60" t="s">
        <v>3297</v>
      </c>
      <c r="B60" s="1">
        <v>41761</v>
      </c>
      <c r="C60" t="s">
        <v>3298</v>
      </c>
      <c r="D60">
        <v>1</v>
      </c>
      <c r="E60" t="s">
        <v>429</v>
      </c>
      <c r="F60" s="193" t="s">
        <v>818</v>
      </c>
      <c r="G60" s="192" t="s">
        <v>429</v>
      </c>
      <c r="H60" s="3">
        <f t="shared" si="0"/>
        <v>97975.75</v>
      </c>
      <c r="I60" s="3">
        <v>15676.12</v>
      </c>
    </row>
    <row r="61" spans="1:9">
      <c r="A61" t="s">
        <v>3307</v>
      </c>
      <c r="B61" s="1">
        <v>41765</v>
      </c>
      <c r="C61" t="s">
        <v>3308</v>
      </c>
      <c r="D61">
        <v>1</v>
      </c>
      <c r="E61" t="s">
        <v>429</v>
      </c>
      <c r="F61" s="193" t="s">
        <v>818</v>
      </c>
      <c r="G61" s="192" t="s">
        <v>429</v>
      </c>
      <c r="H61" s="3">
        <f t="shared" si="0"/>
        <v>21120</v>
      </c>
      <c r="I61" s="3">
        <v>3379.2</v>
      </c>
    </row>
    <row r="62" spans="1:9">
      <c r="A62" t="s">
        <v>1333</v>
      </c>
      <c r="B62" s="1">
        <v>41767</v>
      </c>
      <c r="C62" t="s">
        <v>3335</v>
      </c>
      <c r="D62">
        <v>1</v>
      </c>
      <c r="E62" t="s">
        <v>429</v>
      </c>
      <c r="F62" s="193" t="s">
        <v>818</v>
      </c>
      <c r="G62" s="192" t="s">
        <v>429</v>
      </c>
      <c r="H62" s="3">
        <f t="shared" si="0"/>
        <v>8122.0625</v>
      </c>
      <c r="I62" s="3">
        <v>1299.53</v>
      </c>
    </row>
    <row r="63" spans="1:9">
      <c r="A63" t="s">
        <v>471</v>
      </c>
      <c r="B63" s="1">
        <v>41768</v>
      </c>
      <c r="C63" t="s">
        <v>3336</v>
      </c>
      <c r="D63">
        <v>1</v>
      </c>
      <c r="E63" t="s">
        <v>429</v>
      </c>
      <c r="F63" s="193" t="s">
        <v>818</v>
      </c>
      <c r="G63" s="192" t="s">
        <v>429</v>
      </c>
      <c r="H63" s="3">
        <f t="shared" si="0"/>
        <v>2000</v>
      </c>
      <c r="I63" s="3">
        <v>320</v>
      </c>
    </row>
    <row r="64" spans="1:9">
      <c r="A64" t="s">
        <v>485</v>
      </c>
      <c r="B64" s="1">
        <v>41768</v>
      </c>
      <c r="C64" t="s">
        <v>3338</v>
      </c>
      <c r="D64">
        <v>1</v>
      </c>
      <c r="E64" t="s">
        <v>429</v>
      </c>
      <c r="F64" s="193" t="s">
        <v>818</v>
      </c>
      <c r="G64" s="192" t="s">
        <v>429</v>
      </c>
      <c r="H64" s="3">
        <f t="shared" si="0"/>
        <v>63218.1875</v>
      </c>
      <c r="I64" s="3">
        <v>10114.91</v>
      </c>
    </row>
    <row r="65" spans="1:9">
      <c r="A65" t="s">
        <v>1344</v>
      </c>
      <c r="B65" s="1">
        <v>41771</v>
      </c>
      <c r="C65" t="s">
        <v>3341</v>
      </c>
      <c r="D65">
        <v>1</v>
      </c>
      <c r="E65" t="s">
        <v>429</v>
      </c>
      <c r="F65" s="193" t="s">
        <v>818</v>
      </c>
      <c r="G65" s="192" t="s">
        <v>429</v>
      </c>
      <c r="H65" s="3">
        <f t="shared" si="0"/>
        <v>5572.125</v>
      </c>
      <c r="I65" s="3">
        <v>891.54</v>
      </c>
    </row>
    <row r="66" spans="1:9">
      <c r="A66" t="s">
        <v>519</v>
      </c>
      <c r="B66" s="1">
        <v>41773</v>
      </c>
      <c r="C66" t="s">
        <v>3354</v>
      </c>
      <c r="D66">
        <v>1</v>
      </c>
      <c r="E66" t="s">
        <v>429</v>
      </c>
      <c r="F66" s="193" t="s">
        <v>818</v>
      </c>
      <c r="G66" s="192" t="s">
        <v>429</v>
      </c>
      <c r="H66" s="3">
        <f t="shared" si="0"/>
        <v>1100</v>
      </c>
      <c r="I66" s="3">
        <v>176</v>
      </c>
    </row>
    <row r="67" spans="1:9">
      <c r="A67" t="s">
        <v>522</v>
      </c>
      <c r="B67" s="1">
        <v>41773</v>
      </c>
      <c r="C67" t="s">
        <v>3355</v>
      </c>
      <c r="D67">
        <v>1</v>
      </c>
      <c r="E67" t="s">
        <v>429</v>
      </c>
      <c r="F67" s="193" t="s">
        <v>818</v>
      </c>
      <c r="G67" s="192" t="s">
        <v>429</v>
      </c>
      <c r="H67" s="3">
        <f t="shared" si="0"/>
        <v>295659.375</v>
      </c>
      <c r="I67" s="3">
        <v>47305.5</v>
      </c>
    </row>
    <row r="68" spans="1:9">
      <c r="A68" t="s">
        <v>525</v>
      </c>
      <c r="B68" s="1">
        <v>41773</v>
      </c>
      <c r="C68" t="s">
        <v>3356</v>
      </c>
      <c r="D68">
        <v>1</v>
      </c>
      <c r="E68" t="s">
        <v>429</v>
      </c>
      <c r="F68" s="193" t="s">
        <v>818</v>
      </c>
      <c r="G68" s="192" t="s">
        <v>429</v>
      </c>
      <c r="H68" s="3">
        <f t="shared" si="0"/>
        <v>2778.375</v>
      </c>
      <c r="I68" s="3">
        <v>444.54</v>
      </c>
    </row>
    <row r="69" spans="1:9">
      <c r="A69" t="s">
        <v>564</v>
      </c>
      <c r="B69" s="1">
        <v>41775</v>
      </c>
      <c r="C69" t="s">
        <v>3360</v>
      </c>
      <c r="D69">
        <v>1</v>
      </c>
      <c r="E69" t="s">
        <v>429</v>
      </c>
      <c r="F69" s="193" t="s">
        <v>818</v>
      </c>
      <c r="G69" s="192" t="s">
        <v>429</v>
      </c>
      <c r="H69" s="3">
        <f t="shared" si="0"/>
        <v>37228.5</v>
      </c>
      <c r="I69" s="3">
        <v>5956.56</v>
      </c>
    </row>
    <row r="70" spans="1:9">
      <c r="A70" t="s">
        <v>1425</v>
      </c>
      <c r="B70" s="1">
        <v>41778</v>
      </c>
      <c r="C70" t="s">
        <v>3373</v>
      </c>
      <c r="D70">
        <v>1</v>
      </c>
      <c r="E70" t="s">
        <v>429</v>
      </c>
      <c r="F70" s="193" t="s">
        <v>818</v>
      </c>
      <c r="G70" s="192" t="s">
        <v>429</v>
      </c>
      <c r="H70" s="3">
        <f t="shared" si="0"/>
        <v>26280.8125</v>
      </c>
      <c r="I70" s="3">
        <v>4204.93</v>
      </c>
    </row>
    <row r="71" spans="1:9">
      <c r="A71" t="s">
        <v>1427</v>
      </c>
      <c r="B71" s="1">
        <v>41778</v>
      </c>
      <c r="C71" t="s">
        <v>3374</v>
      </c>
      <c r="D71">
        <v>1</v>
      </c>
      <c r="E71" t="s">
        <v>429</v>
      </c>
      <c r="F71" s="193" t="s">
        <v>818</v>
      </c>
      <c r="G71" s="192" t="s">
        <v>429</v>
      </c>
      <c r="H71" s="3">
        <f t="shared" si="0"/>
        <v>30152.999999999996</v>
      </c>
      <c r="I71" s="3">
        <v>4824.4799999999996</v>
      </c>
    </row>
    <row r="72" spans="1:9">
      <c r="A72" t="s">
        <v>3375</v>
      </c>
      <c r="B72" s="1">
        <v>41778</v>
      </c>
      <c r="C72" t="s">
        <v>3376</v>
      </c>
      <c r="D72">
        <v>1</v>
      </c>
      <c r="E72" t="s">
        <v>429</v>
      </c>
      <c r="F72" s="193" t="s">
        <v>818</v>
      </c>
      <c r="G72" s="192" t="s">
        <v>429</v>
      </c>
      <c r="H72" s="3">
        <f t="shared" ref="H72:H135" si="1">+I72/0.16</f>
        <v>631.125</v>
      </c>
      <c r="I72" s="3">
        <v>100.98</v>
      </c>
    </row>
    <row r="73" spans="1:9">
      <c r="A73" t="s">
        <v>2779</v>
      </c>
      <c r="B73" s="1">
        <v>41778</v>
      </c>
      <c r="C73" t="s">
        <v>3377</v>
      </c>
      <c r="D73">
        <v>1</v>
      </c>
      <c r="E73" t="s">
        <v>429</v>
      </c>
      <c r="F73" s="193" t="s">
        <v>818</v>
      </c>
      <c r="G73" s="192" t="s">
        <v>429</v>
      </c>
      <c r="H73" s="3">
        <f t="shared" si="1"/>
        <v>860.43749999999989</v>
      </c>
      <c r="I73" s="3">
        <v>137.66999999999999</v>
      </c>
    </row>
    <row r="74" spans="1:9">
      <c r="A74" t="s">
        <v>594</v>
      </c>
      <c r="B74" s="1">
        <v>41780</v>
      </c>
      <c r="C74" t="s">
        <v>3381</v>
      </c>
      <c r="D74">
        <v>1</v>
      </c>
      <c r="E74" t="s">
        <v>429</v>
      </c>
      <c r="F74" s="193" t="s">
        <v>818</v>
      </c>
      <c r="G74" s="192" t="s">
        <v>429</v>
      </c>
      <c r="H74" s="3">
        <f t="shared" si="1"/>
        <v>8050.8750000000009</v>
      </c>
      <c r="I74" s="3">
        <v>1288.1400000000001</v>
      </c>
    </row>
    <row r="75" spans="1:9">
      <c r="A75" t="s">
        <v>2809</v>
      </c>
      <c r="B75" s="1">
        <v>41782</v>
      </c>
      <c r="C75" t="s">
        <v>3382</v>
      </c>
      <c r="D75">
        <v>1</v>
      </c>
      <c r="E75" t="s">
        <v>429</v>
      </c>
      <c r="F75" s="193" t="s">
        <v>818</v>
      </c>
      <c r="G75" s="192" t="s">
        <v>429</v>
      </c>
      <c r="H75" s="3">
        <f t="shared" si="1"/>
        <v>57416.937499999993</v>
      </c>
      <c r="I75" s="3">
        <v>9186.7099999999991</v>
      </c>
    </row>
    <row r="76" spans="1:9">
      <c r="A76" t="s">
        <v>2812</v>
      </c>
      <c r="B76" s="1">
        <v>41782</v>
      </c>
      <c r="C76" t="s">
        <v>3383</v>
      </c>
      <c r="D76">
        <v>1</v>
      </c>
      <c r="E76" t="s">
        <v>429</v>
      </c>
      <c r="F76" s="193" t="s">
        <v>818</v>
      </c>
      <c r="G76" s="192" t="s">
        <v>429</v>
      </c>
      <c r="H76" s="3">
        <f t="shared" si="1"/>
        <v>22000</v>
      </c>
      <c r="I76" s="3">
        <v>3520</v>
      </c>
    </row>
    <row r="77" spans="1:9">
      <c r="A77" t="s">
        <v>2220</v>
      </c>
      <c r="B77" s="1">
        <v>41782</v>
      </c>
      <c r="C77" t="s">
        <v>3384</v>
      </c>
      <c r="D77">
        <v>1</v>
      </c>
      <c r="E77" t="s">
        <v>429</v>
      </c>
      <c r="F77" s="193" t="s">
        <v>818</v>
      </c>
      <c r="G77" s="192" t="s">
        <v>429</v>
      </c>
      <c r="H77" s="3">
        <f t="shared" si="1"/>
        <v>63259.3125</v>
      </c>
      <c r="I77" s="3">
        <v>10121.49</v>
      </c>
    </row>
    <row r="78" spans="1:9">
      <c r="A78" t="s">
        <v>617</v>
      </c>
      <c r="B78" s="1">
        <v>41786</v>
      </c>
      <c r="C78" t="s">
        <v>3388</v>
      </c>
      <c r="D78">
        <v>1</v>
      </c>
      <c r="E78" t="s">
        <v>429</v>
      </c>
      <c r="F78" s="193" t="s">
        <v>818</v>
      </c>
      <c r="G78" s="192" t="s">
        <v>429</v>
      </c>
      <c r="H78" s="3">
        <f t="shared" si="1"/>
        <v>23843.125</v>
      </c>
      <c r="I78" s="3">
        <v>3814.9</v>
      </c>
    </row>
    <row r="79" spans="1:9">
      <c r="A79" t="s">
        <v>3389</v>
      </c>
      <c r="B79" s="1">
        <v>41786</v>
      </c>
      <c r="C79" t="s">
        <v>3390</v>
      </c>
      <c r="D79">
        <v>1</v>
      </c>
      <c r="E79" t="s">
        <v>429</v>
      </c>
      <c r="F79" s="193" t="s">
        <v>818</v>
      </c>
      <c r="G79" s="192" t="s">
        <v>429</v>
      </c>
      <c r="H79" s="3">
        <f t="shared" si="1"/>
        <v>46992.5625</v>
      </c>
      <c r="I79" s="3">
        <v>7518.81</v>
      </c>
    </row>
    <row r="80" spans="1:9">
      <c r="A80" t="s">
        <v>673</v>
      </c>
      <c r="B80" s="1">
        <v>41788</v>
      </c>
      <c r="C80" t="s">
        <v>3414</v>
      </c>
      <c r="D80">
        <v>1</v>
      </c>
      <c r="E80" t="s">
        <v>429</v>
      </c>
      <c r="F80" s="193" t="s">
        <v>818</v>
      </c>
      <c r="G80" s="192" t="s">
        <v>429</v>
      </c>
      <c r="H80" s="3">
        <f t="shared" si="1"/>
        <v>5714.25</v>
      </c>
      <c r="I80" s="3">
        <v>914.28</v>
      </c>
    </row>
    <row r="81" spans="1:9">
      <c r="A81" t="s">
        <v>1499</v>
      </c>
      <c r="B81" s="1">
        <v>41788</v>
      </c>
      <c r="C81" t="s">
        <v>3422</v>
      </c>
      <c r="D81">
        <v>1</v>
      </c>
      <c r="E81" t="s">
        <v>429</v>
      </c>
      <c r="F81" s="193" t="s">
        <v>818</v>
      </c>
      <c r="G81" s="192" t="s">
        <v>429</v>
      </c>
      <c r="H81" s="3">
        <f t="shared" si="1"/>
        <v>1100</v>
      </c>
      <c r="I81" s="3">
        <v>176</v>
      </c>
    </row>
    <row r="82" spans="1:9">
      <c r="A82" t="s">
        <v>690</v>
      </c>
      <c r="B82" s="1">
        <v>41789</v>
      </c>
      <c r="C82" t="s">
        <v>3431</v>
      </c>
      <c r="D82">
        <v>1</v>
      </c>
      <c r="E82" t="s">
        <v>429</v>
      </c>
      <c r="F82" s="193" t="s">
        <v>818</v>
      </c>
      <c r="G82" s="192" t="s">
        <v>429</v>
      </c>
      <c r="H82" s="3">
        <f t="shared" si="1"/>
        <v>188931.8125</v>
      </c>
      <c r="I82" s="3">
        <v>30229.09</v>
      </c>
    </row>
    <row r="83" spans="1:9">
      <c r="A83" t="s">
        <v>692</v>
      </c>
      <c r="B83" s="1">
        <v>41789</v>
      </c>
      <c r="C83" t="s">
        <v>3432</v>
      </c>
      <c r="D83">
        <v>1</v>
      </c>
      <c r="E83" t="s">
        <v>429</v>
      </c>
      <c r="F83" s="193" t="s">
        <v>818</v>
      </c>
      <c r="G83" s="192" t="s">
        <v>429</v>
      </c>
      <c r="H83" s="3">
        <f t="shared" si="1"/>
        <v>156720.6875</v>
      </c>
      <c r="I83" s="3">
        <v>25075.31</v>
      </c>
    </row>
    <row r="84" spans="1:9">
      <c r="A84" t="s">
        <v>1368</v>
      </c>
      <c r="B84" s="1">
        <v>41773</v>
      </c>
      <c r="C84" t="s">
        <v>3347</v>
      </c>
      <c r="D84">
        <v>1</v>
      </c>
      <c r="E84" t="s">
        <v>3348</v>
      </c>
      <c r="F84" s="191" t="s">
        <v>3465</v>
      </c>
      <c r="G84" s="192" t="s">
        <v>3348</v>
      </c>
      <c r="H84" s="3">
        <f t="shared" si="1"/>
        <v>600</v>
      </c>
      <c r="I84" s="3">
        <v>96</v>
      </c>
    </row>
    <row r="85" spans="1:9">
      <c r="A85" t="s">
        <v>3041</v>
      </c>
      <c r="B85" s="1">
        <v>41773</v>
      </c>
      <c r="C85">
        <v>10115</v>
      </c>
      <c r="D85">
        <v>1</v>
      </c>
      <c r="E85" t="s">
        <v>268</v>
      </c>
      <c r="F85" s="191" t="s">
        <v>819</v>
      </c>
      <c r="G85" s="192" t="s">
        <v>268</v>
      </c>
      <c r="H85" s="3">
        <f t="shared" si="1"/>
        <v>155.0625</v>
      </c>
      <c r="I85" s="3">
        <v>24.81</v>
      </c>
    </row>
    <row r="86" spans="1:9">
      <c r="A86" t="s">
        <v>1723</v>
      </c>
      <c r="B86" s="1">
        <v>41773</v>
      </c>
      <c r="C86">
        <v>10119</v>
      </c>
      <c r="D86">
        <v>1</v>
      </c>
      <c r="E86" t="s">
        <v>268</v>
      </c>
      <c r="F86" s="191" t="s">
        <v>819</v>
      </c>
      <c r="G86" s="192" t="s">
        <v>268</v>
      </c>
      <c r="H86" s="3">
        <f t="shared" si="1"/>
        <v>387.9375</v>
      </c>
      <c r="I86" s="3">
        <v>62.07</v>
      </c>
    </row>
    <row r="87" spans="1:9">
      <c r="A87" t="s">
        <v>3043</v>
      </c>
      <c r="B87" s="1">
        <v>41773</v>
      </c>
      <c r="C87">
        <v>10120</v>
      </c>
      <c r="D87">
        <v>1</v>
      </c>
      <c r="E87" t="s">
        <v>268</v>
      </c>
      <c r="F87" s="191" t="s">
        <v>819</v>
      </c>
      <c r="G87" s="192" t="s">
        <v>268</v>
      </c>
      <c r="H87" s="3">
        <f t="shared" si="1"/>
        <v>56.000000000000007</v>
      </c>
      <c r="I87" s="3">
        <v>8.9600000000000009</v>
      </c>
    </row>
    <row r="88" spans="1:9">
      <c r="A88" t="s">
        <v>3053</v>
      </c>
      <c r="B88" s="1">
        <v>41774</v>
      </c>
      <c r="C88">
        <v>10142</v>
      </c>
      <c r="D88">
        <v>1</v>
      </c>
      <c r="E88" t="s">
        <v>268</v>
      </c>
      <c r="F88" s="191" t="s">
        <v>819</v>
      </c>
      <c r="G88" s="192" t="s">
        <v>268</v>
      </c>
      <c r="H88" s="3">
        <f t="shared" si="1"/>
        <v>154.3125</v>
      </c>
      <c r="I88" s="3">
        <v>24.69</v>
      </c>
    </row>
    <row r="89" spans="1:9">
      <c r="A89" t="s">
        <v>3054</v>
      </c>
      <c r="B89" s="1">
        <v>41774</v>
      </c>
      <c r="C89">
        <v>10143</v>
      </c>
      <c r="D89">
        <v>1</v>
      </c>
      <c r="E89" t="s">
        <v>268</v>
      </c>
      <c r="F89" s="191" t="s">
        <v>819</v>
      </c>
      <c r="G89" s="192" t="s">
        <v>268</v>
      </c>
      <c r="H89" s="3">
        <f t="shared" si="1"/>
        <v>103.37499999999999</v>
      </c>
      <c r="I89" s="3">
        <v>16.54</v>
      </c>
    </row>
    <row r="90" spans="1:9">
      <c r="A90" t="s">
        <v>3243</v>
      </c>
      <c r="B90" s="1">
        <v>41790</v>
      </c>
      <c r="C90">
        <v>10213</v>
      </c>
      <c r="D90">
        <v>1</v>
      </c>
      <c r="E90" t="s">
        <v>268</v>
      </c>
      <c r="F90" s="191" t="s">
        <v>819</v>
      </c>
      <c r="G90" s="192" t="s">
        <v>3466</v>
      </c>
      <c r="H90" s="3">
        <f t="shared" si="1"/>
        <v>34.4375</v>
      </c>
      <c r="I90" s="3">
        <v>5.51</v>
      </c>
    </row>
    <row r="91" spans="1:9">
      <c r="A91" t="s">
        <v>1370</v>
      </c>
      <c r="B91" s="1">
        <v>41773</v>
      </c>
      <c r="C91" t="s">
        <v>3349</v>
      </c>
      <c r="D91">
        <v>1</v>
      </c>
      <c r="E91" t="s">
        <v>268</v>
      </c>
      <c r="F91" s="191" t="s">
        <v>819</v>
      </c>
      <c r="G91" s="192" t="s">
        <v>268</v>
      </c>
      <c r="H91" s="3">
        <f t="shared" si="1"/>
        <v>7582.5625</v>
      </c>
      <c r="I91" s="3">
        <v>1213.21</v>
      </c>
    </row>
    <row r="92" spans="1:9">
      <c r="A92" t="s">
        <v>3084</v>
      </c>
      <c r="B92" s="1">
        <v>41780</v>
      </c>
      <c r="C92" t="s">
        <v>3085</v>
      </c>
      <c r="D92">
        <v>1</v>
      </c>
      <c r="E92" t="s">
        <v>3086</v>
      </c>
      <c r="F92" s="197" t="s">
        <v>737</v>
      </c>
      <c r="G92" s="192" t="s">
        <v>738</v>
      </c>
      <c r="H92" s="3">
        <f t="shared" si="1"/>
        <v>216185.75</v>
      </c>
      <c r="I92" s="3">
        <v>34589.72</v>
      </c>
    </row>
    <row r="93" spans="1:9">
      <c r="A93" t="s">
        <v>1001</v>
      </c>
      <c r="B93" s="1">
        <v>41768</v>
      </c>
      <c r="C93" t="s">
        <v>2995</v>
      </c>
      <c r="D93">
        <v>1</v>
      </c>
      <c r="E93" t="s">
        <v>1058</v>
      </c>
      <c r="F93" s="197" t="s">
        <v>737</v>
      </c>
      <c r="G93" s="192" t="s">
        <v>738</v>
      </c>
      <c r="H93" s="3">
        <f t="shared" si="1"/>
        <v>318825.6875</v>
      </c>
      <c r="I93" s="3">
        <v>51012.11</v>
      </c>
    </row>
    <row r="94" spans="1:9">
      <c r="A94" t="s">
        <v>2694</v>
      </c>
      <c r="B94" s="1">
        <v>41767</v>
      </c>
      <c r="C94" t="s">
        <v>3320</v>
      </c>
      <c r="D94">
        <v>2</v>
      </c>
      <c r="E94" t="s">
        <v>456</v>
      </c>
      <c r="F94" s="191" t="s">
        <v>824</v>
      </c>
      <c r="G94" s="192" t="s">
        <v>456</v>
      </c>
      <c r="H94" s="3">
        <f t="shared" si="1"/>
        <v>9000</v>
      </c>
      <c r="I94" s="3">
        <v>1440</v>
      </c>
    </row>
    <row r="95" spans="1:9">
      <c r="A95" t="s">
        <v>666</v>
      </c>
      <c r="B95" s="1">
        <v>41788</v>
      </c>
      <c r="C95" t="s">
        <v>3407</v>
      </c>
      <c r="D95">
        <v>1</v>
      </c>
      <c r="E95" t="s">
        <v>533</v>
      </c>
      <c r="F95" s="191" t="s">
        <v>825</v>
      </c>
      <c r="G95" s="192" t="s">
        <v>533</v>
      </c>
      <c r="H95" s="3">
        <f t="shared" si="1"/>
        <v>30468</v>
      </c>
      <c r="I95" s="3">
        <v>4874.88</v>
      </c>
    </row>
    <row r="96" spans="1:9">
      <c r="A96" t="s">
        <v>555</v>
      </c>
      <c r="B96" s="1">
        <v>41773</v>
      </c>
      <c r="C96" t="s">
        <v>3357</v>
      </c>
      <c r="D96">
        <v>1</v>
      </c>
      <c r="E96" t="s">
        <v>462</v>
      </c>
      <c r="F96" s="191" t="s">
        <v>829</v>
      </c>
      <c r="G96" s="192" t="s">
        <v>462</v>
      </c>
      <c r="H96" s="3">
        <f t="shared" si="1"/>
        <v>4949.125</v>
      </c>
      <c r="I96" s="3">
        <v>791.86</v>
      </c>
    </row>
    <row r="97" spans="1:9">
      <c r="A97" t="s">
        <v>1399</v>
      </c>
      <c r="B97" s="1">
        <v>41774</v>
      </c>
      <c r="C97" t="s">
        <v>3358</v>
      </c>
      <c r="D97">
        <v>1</v>
      </c>
      <c r="E97" t="s">
        <v>462</v>
      </c>
      <c r="F97" s="191" t="s">
        <v>829</v>
      </c>
      <c r="G97" s="192" t="s">
        <v>462</v>
      </c>
      <c r="H97" s="3">
        <f t="shared" si="1"/>
        <v>8151.75</v>
      </c>
      <c r="I97" s="3">
        <v>1304.28</v>
      </c>
    </row>
    <row r="98" spans="1:9">
      <c r="A98" t="s">
        <v>3451</v>
      </c>
      <c r="B98" s="1">
        <v>41788</v>
      </c>
      <c r="C98" t="s">
        <v>3452</v>
      </c>
      <c r="D98">
        <v>1</v>
      </c>
      <c r="E98" t="s">
        <v>3453</v>
      </c>
      <c r="F98" s="72" t="s">
        <v>831</v>
      </c>
      <c r="G98" s="202" t="s">
        <v>467</v>
      </c>
      <c r="H98" s="3">
        <f t="shared" si="1"/>
        <v>1413</v>
      </c>
      <c r="I98" s="3">
        <v>226.08</v>
      </c>
    </row>
    <row r="99" spans="1:9">
      <c r="A99" t="s">
        <v>3448</v>
      </c>
      <c r="B99" s="1">
        <v>41773</v>
      </c>
      <c r="C99" t="s">
        <v>3449</v>
      </c>
      <c r="D99">
        <v>1</v>
      </c>
      <c r="E99" t="s">
        <v>3450</v>
      </c>
      <c r="F99" s="72" t="s">
        <v>831</v>
      </c>
      <c r="G99" s="202" t="s">
        <v>467</v>
      </c>
      <c r="H99" s="3">
        <f t="shared" si="1"/>
        <v>834.24999999999989</v>
      </c>
      <c r="I99" s="3">
        <v>133.47999999999999</v>
      </c>
    </row>
    <row r="100" spans="1:9">
      <c r="A100" t="s">
        <v>2059</v>
      </c>
      <c r="B100" s="1">
        <v>41790</v>
      </c>
      <c r="C100">
        <v>10207</v>
      </c>
      <c r="D100">
        <v>1</v>
      </c>
      <c r="E100" t="s">
        <v>2020</v>
      </c>
      <c r="F100" s="191" t="s">
        <v>2292</v>
      </c>
      <c r="G100" s="192" t="s">
        <v>2020</v>
      </c>
      <c r="H100" s="3">
        <f t="shared" si="1"/>
        <v>290.9375</v>
      </c>
      <c r="I100" s="3">
        <v>46.55</v>
      </c>
    </row>
    <row r="101" spans="1:9">
      <c r="A101" t="s">
        <v>3248</v>
      </c>
      <c r="B101" s="1">
        <v>41790</v>
      </c>
      <c r="C101">
        <v>10221</v>
      </c>
      <c r="D101">
        <v>1</v>
      </c>
      <c r="E101" t="s">
        <v>2020</v>
      </c>
      <c r="F101" s="191" t="s">
        <v>2292</v>
      </c>
      <c r="G101" s="192" t="s">
        <v>2020</v>
      </c>
      <c r="H101" s="3">
        <f t="shared" si="1"/>
        <v>413.81249999999994</v>
      </c>
      <c r="I101" s="3">
        <v>66.209999999999994</v>
      </c>
    </row>
    <row r="102" spans="1:9">
      <c r="A102" t="s">
        <v>1736</v>
      </c>
      <c r="B102" s="1">
        <v>41773</v>
      </c>
      <c r="C102">
        <v>10128</v>
      </c>
      <c r="D102">
        <v>1</v>
      </c>
      <c r="E102" t="s">
        <v>343</v>
      </c>
      <c r="F102" s="191" t="s">
        <v>835</v>
      </c>
      <c r="G102" s="192" t="s">
        <v>343</v>
      </c>
      <c r="H102" s="3">
        <f t="shared" si="1"/>
        <v>235.4375</v>
      </c>
      <c r="I102" s="3">
        <v>37.67</v>
      </c>
    </row>
    <row r="103" spans="1:9">
      <c r="A103" t="s">
        <v>2069</v>
      </c>
      <c r="B103" s="1">
        <v>41790</v>
      </c>
      <c r="C103">
        <v>10212</v>
      </c>
      <c r="D103">
        <v>1</v>
      </c>
      <c r="E103" t="s">
        <v>270</v>
      </c>
      <c r="F103" s="191" t="s">
        <v>836</v>
      </c>
      <c r="G103" s="192" t="s">
        <v>270</v>
      </c>
      <c r="H103" s="3">
        <f t="shared" si="1"/>
        <v>280.625</v>
      </c>
      <c r="I103" s="3">
        <v>44.9</v>
      </c>
    </row>
    <row r="104" spans="1:9">
      <c r="A104" t="s">
        <v>1720</v>
      </c>
      <c r="B104" s="1">
        <v>41773</v>
      </c>
      <c r="C104">
        <v>10118</v>
      </c>
      <c r="D104">
        <v>1</v>
      </c>
      <c r="E104" t="s">
        <v>3042</v>
      </c>
      <c r="F104" s="191" t="s">
        <v>790</v>
      </c>
      <c r="G104" s="192" t="s">
        <v>1134</v>
      </c>
      <c r="H104" s="3">
        <f t="shared" si="1"/>
        <v>37.9375</v>
      </c>
      <c r="I104" s="3">
        <v>6.07</v>
      </c>
    </row>
    <row r="105" spans="1:9">
      <c r="A105" t="s">
        <v>2678</v>
      </c>
      <c r="B105" s="1">
        <v>41765</v>
      </c>
      <c r="C105" t="s">
        <v>3303</v>
      </c>
      <c r="D105">
        <v>1</v>
      </c>
      <c r="E105" t="s">
        <v>453</v>
      </c>
      <c r="F105" s="191" t="s">
        <v>838</v>
      </c>
      <c r="G105" s="192" t="s">
        <v>453</v>
      </c>
      <c r="H105" s="3">
        <f t="shared" si="1"/>
        <v>10898.375</v>
      </c>
      <c r="I105" s="3">
        <v>1743.74</v>
      </c>
    </row>
    <row r="106" spans="1:9">
      <c r="A106" t="s">
        <v>1365</v>
      </c>
      <c r="B106" s="1">
        <v>41773</v>
      </c>
      <c r="C106" t="s">
        <v>3346</v>
      </c>
      <c r="D106">
        <v>1</v>
      </c>
      <c r="E106" t="s">
        <v>453</v>
      </c>
      <c r="F106" s="191" t="s">
        <v>838</v>
      </c>
      <c r="G106" s="192" t="s">
        <v>453</v>
      </c>
      <c r="H106" s="3">
        <f t="shared" si="1"/>
        <v>10898.375</v>
      </c>
      <c r="I106" s="3">
        <v>1743.74</v>
      </c>
    </row>
    <row r="107" spans="1:9">
      <c r="A107" t="s">
        <v>3050</v>
      </c>
      <c r="B107" s="1">
        <v>41773</v>
      </c>
      <c r="C107">
        <v>10139</v>
      </c>
      <c r="D107">
        <v>1</v>
      </c>
      <c r="E107" t="s">
        <v>2588</v>
      </c>
      <c r="F107" s="191" t="s">
        <v>823</v>
      </c>
      <c r="G107" s="192" t="s">
        <v>2588</v>
      </c>
      <c r="H107" s="3">
        <f t="shared" si="1"/>
        <v>1000</v>
      </c>
      <c r="I107" s="3">
        <v>160</v>
      </c>
    </row>
    <row r="108" spans="1:9">
      <c r="A108" t="s">
        <v>3299</v>
      </c>
      <c r="B108" s="1">
        <v>41764</v>
      </c>
      <c r="C108" t="s">
        <v>3300</v>
      </c>
      <c r="D108">
        <v>1</v>
      </c>
      <c r="E108" t="s">
        <v>450</v>
      </c>
      <c r="F108" s="203" t="s">
        <v>841</v>
      </c>
      <c r="G108" s="204" t="s">
        <v>3468</v>
      </c>
      <c r="H108" s="3">
        <f t="shared" si="1"/>
        <v>1719</v>
      </c>
      <c r="I108" s="3">
        <v>275.04000000000002</v>
      </c>
    </row>
    <row r="109" spans="1:9">
      <c r="A109" t="s">
        <v>510</v>
      </c>
      <c r="B109" s="1">
        <v>41772</v>
      </c>
      <c r="C109" t="s">
        <v>3344</v>
      </c>
      <c r="D109">
        <v>1</v>
      </c>
      <c r="E109" t="s">
        <v>450</v>
      </c>
      <c r="F109" s="184" t="s">
        <v>839</v>
      </c>
      <c r="G109" s="205" t="s">
        <v>1567</v>
      </c>
      <c r="H109" s="3">
        <f t="shared" si="1"/>
        <v>249.9375</v>
      </c>
      <c r="I109" s="3">
        <v>39.99</v>
      </c>
    </row>
    <row r="110" spans="1:9">
      <c r="A110" t="s">
        <v>1363</v>
      </c>
      <c r="B110" s="1">
        <v>41773</v>
      </c>
      <c r="C110" t="s">
        <v>3345</v>
      </c>
      <c r="D110">
        <v>1</v>
      </c>
      <c r="E110" t="s">
        <v>450</v>
      </c>
      <c r="F110" s="184" t="s">
        <v>1563</v>
      </c>
      <c r="G110" s="205" t="s">
        <v>3469</v>
      </c>
      <c r="H110" s="3">
        <f t="shared" si="1"/>
        <v>1500</v>
      </c>
      <c r="I110" s="3">
        <v>240</v>
      </c>
    </row>
    <row r="111" spans="1:9">
      <c r="A111" t="s">
        <v>2818</v>
      </c>
      <c r="B111" s="1">
        <v>41785</v>
      </c>
      <c r="C111" t="s">
        <v>3387</v>
      </c>
      <c r="D111">
        <v>1</v>
      </c>
      <c r="E111" t="s">
        <v>450</v>
      </c>
      <c r="F111" s="191" t="s">
        <v>2872</v>
      </c>
      <c r="G111" s="192" t="s">
        <v>3470</v>
      </c>
      <c r="H111" s="3">
        <f t="shared" si="1"/>
        <v>2841.375</v>
      </c>
      <c r="I111" s="3">
        <v>454.62</v>
      </c>
    </row>
    <row r="112" spans="1:9">
      <c r="A112" t="s">
        <v>655</v>
      </c>
      <c r="B112" s="1">
        <v>41787</v>
      </c>
      <c r="C112" t="s">
        <v>3404</v>
      </c>
      <c r="D112">
        <v>1</v>
      </c>
      <c r="E112" t="s">
        <v>450</v>
      </c>
      <c r="F112" s="184" t="s">
        <v>1563</v>
      </c>
      <c r="G112" s="205" t="s">
        <v>3469</v>
      </c>
      <c r="H112" s="3">
        <f t="shared" si="1"/>
        <v>775.875</v>
      </c>
      <c r="I112" s="3">
        <v>124.14</v>
      </c>
    </row>
    <row r="113" spans="1:9">
      <c r="A113" t="s">
        <v>2258</v>
      </c>
      <c r="B113" s="1">
        <v>41788</v>
      </c>
      <c r="C113" t="s">
        <v>3421</v>
      </c>
      <c r="D113">
        <v>1</v>
      </c>
      <c r="E113" t="s">
        <v>450</v>
      </c>
      <c r="F113" s="191" t="s">
        <v>3471</v>
      </c>
      <c r="G113" s="192" t="s">
        <v>3472</v>
      </c>
      <c r="H113" s="3">
        <f t="shared" si="1"/>
        <v>3079.3125</v>
      </c>
      <c r="I113" s="3">
        <v>492.69</v>
      </c>
    </row>
    <row r="114" spans="1:9">
      <c r="A114" t="s">
        <v>1510</v>
      </c>
      <c r="B114" s="1">
        <v>41789</v>
      </c>
      <c r="C114" t="s">
        <v>3428</v>
      </c>
      <c r="D114">
        <v>1</v>
      </c>
      <c r="E114" t="s">
        <v>450</v>
      </c>
      <c r="F114" s="191" t="s">
        <v>878</v>
      </c>
      <c r="G114" s="192" t="s">
        <v>3473</v>
      </c>
      <c r="H114" s="3">
        <f t="shared" si="1"/>
        <v>3279.9999999999995</v>
      </c>
      <c r="I114" s="3">
        <v>524.79999999999995</v>
      </c>
    </row>
    <row r="115" spans="1:9">
      <c r="A115" t="s">
        <v>3251</v>
      </c>
      <c r="B115" s="1">
        <v>41790</v>
      </c>
      <c r="C115" t="s">
        <v>3252</v>
      </c>
      <c r="D115">
        <v>1</v>
      </c>
      <c r="E115" t="s">
        <v>3253</v>
      </c>
      <c r="F115" s="191" t="s">
        <v>787</v>
      </c>
      <c r="G115" s="192" t="s">
        <v>3467</v>
      </c>
      <c r="H115" s="3">
        <f t="shared" si="1"/>
        <v>413.81249999999994</v>
      </c>
      <c r="I115" s="3">
        <v>66.209999999999994</v>
      </c>
    </row>
    <row r="116" spans="1:9">
      <c r="A116" t="s">
        <v>460</v>
      </c>
      <c r="B116" s="1">
        <v>41767</v>
      </c>
      <c r="C116" t="s">
        <v>3319</v>
      </c>
      <c r="D116">
        <v>2</v>
      </c>
      <c r="E116" t="s">
        <v>2768</v>
      </c>
      <c r="F116" s="191" t="s">
        <v>2875</v>
      </c>
      <c r="G116" s="192" t="s">
        <v>2768</v>
      </c>
      <c r="H116" s="3">
        <f t="shared" si="1"/>
        <v>9995</v>
      </c>
      <c r="I116" s="3">
        <v>1599.2</v>
      </c>
    </row>
    <row r="117" spans="1:9">
      <c r="A117" t="s">
        <v>2135</v>
      </c>
      <c r="B117" s="1">
        <v>41767</v>
      </c>
      <c r="C117" t="s">
        <v>3313</v>
      </c>
      <c r="D117">
        <v>1</v>
      </c>
      <c r="E117" t="s">
        <v>499</v>
      </c>
      <c r="F117" s="191" t="s">
        <v>845</v>
      </c>
      <c r="G117" s="192" t="s">
        <v>499</v>
      </c>
      <c r="H117" s="3">
        <f t="shared" si="1"/>
        <v>3877.1875</v>
      </c>
      <c r="I117" s="3">
        <v>620.35</v>
      </c>
    </row>
    <row r="118" spans="1:9">
      <c r="A118" t="s">
        <v>2696</v>
      </c>
      <c r="B118" s="1">
        <v>41767</v>
      </c>
      <c r="C118" t="s">
        <v>3325</v>
      </c>
      <c r="D118">
        <v>1</v>
      </c>
      <c r="E118" t="s">
        <v>499</v>
      </c>
      <c r="F118" s="191" t="s">
        <v>845</v>
      </c>
      <c r="G118" s="192" t="s">
        <v>499</v>
      </c>
      <c r="H118" s="3">
        <f t="shared" si="1"/>
        <v>500</v>
      </c>
      <c r="I118" s="3">
        <v>80</v>
      </c>
    </row>
    <row r="119" spans="1:9">
      <c r="A119" t="s">
        <v>629</v>
      </c>
      <c r="B119" s="1">
        <v>41786</v>
      </c>
      <c r="C119" t="s">
        <v>3396</v>
      </c>
      <c r="D119">
        <v>1</v>
      </c>
      <c r="E119" t="s">
        <v>499</v>
      </c>
      <c r="F119" s="191" t="s">
        <v>845</v>
      </c>
      <c r="G119" s="192" t="s">
        <v>499</v>
      </c>
      <c r="H119" s="3">
        <f t="shared" si="1"/>
        <v>318.8125</v>
      </c>
      <c r="I119" s="3">
        <v>51.01</v>
      </c>
    </row>
    <row r="120" spans="1:9">
      <c r="A120" t="s">
        <v>1475</v>
      </c>
      <c r="B120" s="1">
        <v>41788</v>
      </c>
      <c r="C120" t="s">
        <v>3408</v>
      </c>
      <c r="D120">
        <v>1</v>
      </c>
      <c r="E120" t="s">
        <v>499</v>
      </c>
      <c r="F120" s="191" t="s">
        <v>845</v>
      </c>
      <c r="G120" s="192" t="s">
        <v>499</v>
      </c>
      <c r="H120" s="3">
        <f t="shared" si="1"/>
        <v>737</v>
      </c>
      <c r="I120" s="3">
        <v>117.92</v>
      </c>
    </row>
    <row r="121" spans="1:9">
      <c r="A121" t="s">
        <v>3371</v>
      </c>
      <c r="B121" s="1">
        <v>41778</v>
      </c>
      <c r="C121" t="s">
        <v>3372</v>
      </c>
      <c r="D121">
        <v>1</v>
      </c>
      <c r="E121" t="s">
        <v>2820</v>
      </c>
      <c r="F121" s="191" t="s">
        <v>2876</v>
      </c>
      <c r="G121" s="192" t="s">
        <v>2820</v>
      </c>
      <c r="H121" s="3">
        <f t="shared" si="1"/>
        <v>6000</v>
      </c>
      <c r="I121" s="3">
        <v>960</v>
      </c>
    </row>
    <row r="122" spans="1:9">
      <c r="A122" t="s">
        <v>3048</v>
      </c>
      <c r="B122" s="1">
        <v>41773</v>
      </c>
      <c r="C122">
        <v>10137</v>
      </c>
      <c r="D122">
        <v>1</v>
      </c>
      <c r="E122" t="s">
        <v>3049</v>
      </c>
      <c r="F122" s="191" t="s">
        <v>847</v>
      </c>
      <c r="G122" s="192" t="s">
        <v>3049</v>
      </c>
      <c r="H122" s="3">
        <f t="shared" si="1"/>
        <v>163.625</v>
      </c>
      <c r="I122" s="3">
        <v>26.18</v>
      </c>
    </row>
    <row r="123" spans="1:9">
      <c r="A123" t="s">
        <v>633</v>
      </c>
      <c r="B123" s="1">
        <v>41786</v>
      </c>
      <c r="C123" t="s">
        <v>3398</v>
      </c>
      <c r="D123">
        <v>1</v>
      </c>
      <c r="E123" t="s">
        <v>1472</v>
      </c>
      <c r="F123" s="191" t="s">
        <v>1575</v>
      </c>
      <c r="G123" s="192" t="s">
        <v>1472</v>
      </c>
      <c r="H123" s="3">
        <f t="shared" si="1"/>
        <v>8400</v>
      </c>
      <c r="I123" s="3">
        <v>1344</v>
      </c>
    </row>
    <row r="124" spans="1:9">
      <c r="A124" t="s">
        <v>1726</v>
      </c>
      <c r="B124" s="1">
        <v>41773</v>
      </c>
      <c r="C124">
        <v>10121</v>
      </c>
      <c r="D124">
        <v>1</v>
      </c>
      <c r="E124" t="s">
        <v>1750</v>
      </c>
      <c r="F124" s="191" t="s">
        <v>848</v>
      </c>
      <c r="G124" s="192" t="s">
        <v>1750</v>
      </c>
      <c r="H124" s="3">
        <f t="shared" si="1"/>
        <v>344.8125</v>
      </c>
      <c r="I124" s="3">
        <v>55.17</v>
      </c>
    </row>
    <row r="125" spans="1:9">
      <c r="A125" t="s">
        <v>3063</v>
      </c>
      <c r="B125" s="1">
        <v>41774</v>
      </c>
      <c r="C125">
        <v>10154</v>
      </c>
      <c r="D125">
        <v>1</v>
      </c>
      <c r="E125" t="s">
        <v>1750</v>
      </c>
      <c r="F125" s="191" t="s">
        <v>848</v>
      </c>
      <c r="G125" s="192" t="s">
        <v>1750</v>
      </c>
      <c r="H125" s="3">
        <f t="shared" si="1"/>
        <v>344.8125</v>
      </c>
      <c r="I125" s="3">
        <v>55.17</v>
      </c>
    </row>
    <row r="126" spans="1:9">
      <c r="A126" t="s">
        <v>416</v>
      </c>
      <c r="B126" s="1">
        <v>41790</v>
      </c>
      <c r="C126">
        <v>10205</v>
      </c>
      <c r="D126">
        <v>1</v>
      </c>
      <c r="E126" t="s">
        <v>1750</v>
      </c>
      <c r="F126" s="191" t="s">
        <v>848</v>
      </c>
      <c r="G126" s="192" t="s">
        <v>1750</v>
      </c>
      <c r="H126" s="3">
        <f t="shared" si="1"/>
        <v>344.8125</v>
      </c>
      <c r="I126" s="3">
        <v>55.17</v>
      </c>
    </row>
    <row r="127" spans="1:9">
      <c r="A127" t="s">
        <v>2065</v>
      </c>
      <c r="B127" s="1">
        <v>41790</v>
      </c>
      <c r="C127">
        <v>10210</v>
      </c>
      <c r="D127">
        <v>1</v>
      </c>
      <c r="E127" t="s">
        <v>1750</v>
      </c>
      <c r="F127" s="191" t="s">
        <v>848</v>
      </c>
      <c r="G127" s="192" t="s">
        <v>1750</v>
      </c>
      <c r="H127" s="3">
        <f t="shared" si="1"/>
        <v>379.3125</v>
      </c>
      <c r="I127" s="3">
        <v>60.69</v>
      </c>
    </row>
    <row r="128" spans="1:9">
      <c r="A128" t="s">
        <v>3247</v>
      </c>
      <c r="B128" s="1">
        <v>41790</v>
      </c>
      <c r="C128">
        <v>10219</v>
      </c>
      <c r="D128">
        <v>1</v>
      </c>
      <c r="E128" t="s">
        <v>2596</v>
      </c>
      <c r="F128" s="191" t="s">
        <v>848</v>
      </c>
      <c r="G128" s="192" t="s">
        <v>2596</v>
      </c>
      <c r="H128" s="3">
        <f t="shared" si="1"/>
        <v>344.8125</v>
      </c>
      <c r="I128" s="3">
        <v>55.17</v>
      </c>
    </row>
    <row r="129" spans="1:9">
      <c r="A129" t="s">
        <v>457</v>
      </c>
      <c r="B129" s="1">
        <v>41767</v>
      </c>
      <c r="C129" t="s">
        <v>3315</v>
      </c>
      <c r="D129">
        <v>1</v>
      </c>
      <c r="E129" t="s">
        <v>1389</v>
      </c>
      <c r="F129" s="191" t="s">
        <v>1576</v>
      </c>
      <c r="G129" s="192" t="s">
        <v>1389</v>
      </c>
      <c r="H129" s="3">
        <f t="shared" si="1"/>
        <v>179.6875</v>
      </c>
      <c r="I129" s="3">
        <v>28.75</v>
      </c>
    </row>
    <row r="130" spans="1:9">
      <c r="A130" t="s">
        <v>1327</v>
      </c>
      <c r="B130" s="1">
        <v>41767</v>
      </c>
      <c r="C130" t="s">
        <v>3322</v>
      </c>
      <c r="D130">
        <v>2</v>
      </c>
      <c r="E130" t="s">
        <v>512</v>
      </c>
      <c r="F130" s="191" t="s">
        <v>849</v>
      </c>
      <c r="G130" s="192" t="s">
        <v>512</v>
      </c>
      <c r="H130" s="3">
        <f t="shared" si="1"/>
        <v>963.74999999999989</v>
      </c>
      <c r="I130" s="3">
        <v>154.19999999999999</v>
      </c>
    </row>
    <row r="131" spans="1:9">
      <c r="A131" t="s">
        <v>568</v>
      </c>
      <c r="B131" s="1">
        <v>41775</v>
      </c>
      <c r="C131" t="s">
        <v>3362</v>
      </c>
      <c r="D131">
        <v>2</v>
      </c>
      <c r="E131" t="s">
        <v>512</v>
      </c>
      <c r="F131" s="191" t="s">
        <v>849</v>
      </c>
      <c r="G131" s="192" t="s">
        <v>512</v>
      </c>
      <c r="H131" s="3">
        <f t="shared" si="1"/>
        <v>2422.5</v>
      </c>
      <c r="I131" s="3">
        <v>387.6</v>
      </c>
    </row>
    <row r="132" spans="1:9">
      <c r="A132" t="s">
        <v>623</v>
      </c>
      <c r="B132" s="1">
        <v>41786</v>
      </c>
      <c r="C132" t="s">
        <v>3393</v>
      </c>
      <c r="D132">
        <v>2</v>
      </c>
      <c r="E132" t="s">
        <v>512</v>
      </c>
      <c r="F132" s="191" t="s">
        <v>849</v>
      </c>
      <c r="G132" s="192" t="s">
        <v>512</v>
      </c>
      <c r="H132" s="3">
        <f t="shared" si="1"/>
        <v>2422.5</v>
      </c>
      <c r="I132" s="3">
        <v>387.6</v>
      </c>
    </row>
    <row r="133" spans="1:9">
      <c r="A133" t="s">
        <v>3332</v>
      </c>
      <c r="B133" s="1">
        <v>41767</v>
      </c>
      <c r="C133" t="s">
        <v>3333</v>
      </c>
      <c r="D133">
        <v>1</v>
      </c>
      <c r="E133" t="s">
        <v>2708</v>
      </c>
      <c r="F133" s="191" t="s">
        <v>2879</v>
      </c>
      <c r="G133" s="192" t="s">
        <v>2708</v>
      </c>
      <c r="H133" s="3">
        <f t="shared" si="1"/>
        <v>2072.1875</v>
      </c>
      <c r="I133" s="3">
        <v>331.55</v>
      </c>
    </row>
    <row r="134" spans="1:9">
      <c r="A134" t="s">
        <v>1745</v>
      </c>
      <c r="B134" s="1">
        <v>41773</v>
      </c>
      <c r="C134">
        <v>10140</v>
      </c>
      <c r="D134">
        <v>1</v>
      </c>
      <c r="E134" t="s">
        <v>3051</v>
      </c>
      <c r="F134" s="191" t="s">
        <v>3474</v>
      </c>
      <c r="G134" s="192" t="s">
        <v>3051</v>
      </c>
      <c r="H134" s="3">
        <f t="shared" si="1"/>
        <v>32.75</v>
      </c>
      <c r="I134" s="3">
        <v>5.24</v>
      </c>
    </row>
    <row r="135" spans="1:9">
      <c r="A135" t="s">
        <v>465</v>
      </c>
      <c r="B135" s="1">
        <v>41767</v>
      </c>
      <c r="C135" t="s">
        <v>3328</v>
      </c>
      <c r="D135">
        <v>2</v>
      </c>
      <c r="E135" t="s">
        <v>608</v>
      </c>
      <c r="F135" s="191" t="s">
        <v>853</v>
      </c>
      <c r="G135" s="192" t="s">
        <v>608</v>
      </c>
      <c r="H135" s="3">
        <f t="shared" si="1"/>
        <v>332.5</v>
      </c>
      <c r="I135" s="3">
        <v>53.2</v>
      </c>
    </row>
    <row r="136" spans="1:9">
      <c r="A136" t="s">
        <v>3329</v>
      </c>
      <c r="B136" s="1">
        <v>41767</v>
      </c>
      <c r="C136" t="s">
        <v>3330</v>
      </c>
      <c r="D136">
        <v>1</v>
      </c>
      <c r="E136" t="s">
        <v>608</v>
      </c>
      <c r="F136" s="191" t="s">
        <v>853</v>
      </c>
      <c r="G136" s="192" t="s">
        <v>608</v>
      </c>
      <c r="H136" s="3">
        <f t="shared" ref="H136:H199" si="2">+I136/0.16</f>
        <v>3192</v>
      </c>
      <c r="I136" s="3">
        <v>510.72</v>
      </c>
    </row>
    <row r="137" spans="1:9">
      <c r="A137" t="s">
        <v>2228</v>
      </c>
      <c r="B137" s="1">
        <v>41786</v>
      </c>
      <c r="C137" t="s">
        <v>3391</v>
      </c>
      <c r="D137">
        <v>2</v>
      </c>
      <c r="E137" t="s">
        <v>608</v>
      </c>
      <c r="F137" s="191" t="s">
        <v>853</v>
      </c>
      <c r="G137" s="192" t="s">
        <v>608</v>
      </c>
      <c r="H137" s="3">
        <f t="shared" si="2"/>
        <v>798</v>
      </c>
      <c r="I137" s="3">
        <v>127.68</v>
      </c>
    </row>
    <row r="138" spans="1:9">
      <c r="A138" t="s">
        <v>3057</v>
      </c>
      <c r="B138" s="1">
        <v>41774</v>
      </c>
      <c r="C138" t="s">
        <v>3058</v>
      </c>
      <c r="D138">
        <v>1</v>
      </c>
      <c r="E138" t="s">
        <v>3059</v>
      </c>
      <c r="F138" s="191" t="s">
        <v>888</v>
      </c>
      <c r="G138" s="192" t="s">
        <v>3059</v>
      </c>
      <c r="H138" s="3">
        <f t="shared" si="2"/>
        <v>47.6875</v>
      </c>
      <c r="I138" s="3">
        <v>7.63</v>
      </c>
    </row>
    <row r="139" spans="1:9">
      <c r="A139" t="s">
        <v>561</v>
      </c>
      <c r="B139" s="1">
        <v>41774</v>
      </c>
      <c r="C139" t="s">
        <v>3359</v>
      </c>
      <c r="D139">
        <v>1</v>
      </c>
      <c r="E139" t="s">
        <v>432</v>
      </c>
      <c r="F139" s="194" t="s">
        <v>855</v>
      </c>
      <c r="G139" s="192" t="s">
        <v>432</v>
      </c>
      <c r="H139" s="3">
        <f t="shared" si="2"/>
        <v>4170</v>
      </c>
      <c r="I139" s="3">
        <v>667.2</v>
      </c>
    </row>
    <row r="140" spans="1:9">
      <c r="A140" t="s">
        <v>2965</v>
      </c>
      <c r="B140" s="1">
        <v>41764</v>
      </c>
      <c r="C140" t="s">
        <v>2966</v>
      </c>
      <c r="D140">
        <v>1</v>
      </c>
      <c r="E140" t="s">
        <v>2967</v>
      </c>
      <c r="F140" s="206" t="s">
        <v>742</v>
      </c>
      <c r="G140" s="192" t="s">
        <v>743</v>
      </c>
      <c r="H140" s="3">
        <f t="shared" si="2"/>
        <v>425101.875</v>
      </c>
      <c r="I140" s="3">
        <v>68016.3</v>
      </c>
    </row>
    <row r="141" spans="1:9">
      <c r="A141" t="s">
        <v>3170</v>
      </c>
      <c r="B141" s="1">
        <v>41788</v>
      </c>
      <c r="C141" t="s">
        <v>3171</v>
      </c>
      <c r="D141">
        <v>1</v>
      </c>
      <c r="E141" t="s">
        <v>3172</v>
      </c>
      <c r="F141" s="197" t="s">
        <v>742</v>
      </c>
      <c r="G141" s="192" t="s">
        <v>3172</v>
      </c>
      <c r="H141" s="3">
        <f t="shared" si="2"/>
        <v>323465.75</v>
      </c>
      <c r="I141" s="3">
        <v>51754.52</v>
      </c>
    </row>
    <row r="142" spans="1:9">
      <c r="A142" t="s">
        <v>3072</v>
      </c>
      <c r="B142" s="1">
        <v>41778</v>
      </c>
      <c r="C142" t="s">
        <v>2417</v>
      </c>
      <c r="D142">
        <v>1</v>
      </c>
      <c r="E142" t="s">
        <v>3073</v>
      </c>
      <c r="H142" s="3">
        <f t="shared" si="2"/>
        <v>120689.68749999999</v>
      </c>
      <c r="I142" s="3">
        <v>19310.349999999999</v>
      </c>
    </row>
    <row r="143" spans="1:9">
      <c r="A143" t="s">
        <v>3069</v>
      </c>
      <c r="B143" s="1">
        <v>41776</v>
      </c>
      <c r="C143" t="s">
        <v>3070</v>
      </c>
      <c r="D143">
        <v>1</v>
      </c>
      <c r="E143" t="s">
        <v>3071</v>
      </c>
      <c r="F143" s="191" t="s">
        <v>3475</v>
      </c>
      <c r="G143" s="192" t="s">
        <v>3476</v>
      </c>
      <c r="H143" s="3">
        <f t="shared" si="2"/>
        <v>146.5625</v>
      </c>
      <c r="I143" s="3">
        <v>23.45</v>
      </c>
    </row>
    <row r="144" spans="1:9">
      <c r="A144" t="s">
        <v>497</v>
      </c>
      <c r="B144" s="1">
        <v>41772</v>
      </c>
      <c r="C144" t="s">
        <v>3343</v>
      </c>
      <c r="D144">
        <v>1</v>
      </c>
      <c r="E144" t="s">
        <v>1501</v>
      </c>
      <c r="F144" s="148" t="s">
        <v>1664</v>
      </c>
      <c r="G144" s="207" t="s">
        <v>1665</v>
      </c>
      <c r="H144" s="3">
        <f t="shared" si="2"/>
        <v>31802.125</v>
      </c>
      <c r="I144" s="3">
        <v>5088.34</v>
      </c>
    </row>
    <row r="145" spans="1:12">
      <c r="A145" t="s">
        <v>2129</v>
      </c>
      <c r="B145" s="1">
        <v>41766</v>
      </c>
      <c r="C145" t="s">
        <v>3309</v>
      </c>
      <c r="D145">
        <v>1</v>
      </c>
      <c r="E145" t="s">
        <v>3310</v>
      </c>
      <c r="F145" s="191" t="s">
        <v>795</v>
      </c>
      <c r="G145" s="192" t="s">
        <v>563</v>
      </c>
      <c r="H145" s="3">
        <f t="shared" si="2"/>
        <v>21999</v>
      </c>
      <c r="I145" s="3">
        <v>3519.84</v>
      </c>
    </row>
    <row r="146" spans="1:12">
      <c r="A146" t="s">
        <v>2575</v>
      </c>
      <c r="B146" s="1">
        <v>41788</v>
      </c>
      <c r="C146" t="s">
        <v>3168</v>
      </c>
      <c r="D146">
        <v>1</v>
      </c>
      <c r="E146" t="s">
        <v>3169</v>
      </c>
      <c r="H146" s="3">
        <f t="shared" si="2"/>
        <v>1275</v>
      </c>
      <c r="I146" s="3">
        <v>204</v>
      </c>
    </row>
    <row r="147" spans="1:12">
      <c r="A147" t="s">
        <v>659</v>
      </c>
      <c r="B147" s="1">
        <v>41787</v>
      </c>
      <c r="C147" t="s">
        <v>3406</v>
      </c>
      <c r="D147">
        <v>1</v>
      </c>
      <c r="E147" t="s">
        <v>675</v>
      </c>
      <c r="F147" s="147" t="s">
        <v>974</v>
      </c>
      <c r="G147" s="207" t="s">
        <v>975</v>
      </c>
      <c r="H147" s="3">
        <f t="shared" si="2"/>
        <v>133928.5625</v>
      </c>
      <c r="I147" s="3">
        <v>21428.57</v>
      </c>
      <c r="J147" s="13">
        <f>+H147-[1]MAY!$H$183</f>
        <v>949.8125</v>
      </c>
      <c r="K147" s="13">
        <f>+I147-[1]MAY!$I$183</f>
        <v>151.97000000000116</v>
      </c>
      <c r="L147" t="s">
        <v>850</v>
      </c>
    </row>
    <row r="148" spans="1:12">
      <c r="A148" t="s">
        <v>2953</v>
      </c>
      <c r="B148" s="1">
        <v>41764</v>
      </c>
      <c r="C148" t="s">
        <v>2954</v>
      </c>
      <c r="D148">
        <v>1</v>
      </c>
      <c r="E148" t="s">
        <v>2955</v>
      </c>
      <c r="H148" s="3">
        <f t="shared" si="2"/>
        <v>1213.0625</v>
      </c>
      <c r="I148" s="3">
        <v>194.09</v>
      </c>
    </row>
    <row r="149" spans="1:12">
      <c r="A149" t="s">
        <v>2956</v>
      </c>
      <c r="B149" s="1">
        <v>41764</v>
      </c>
      <c r="C149" t="s">
        <v>2957</v>
      </c>
      <c r="D149">
        <v>1</v>
      </c>
      <c r="E149" t="s">
        <v>2958</v>
      </c>
      <c r="H149" s="3">
        <f t="shared" si="2"/>
        <v>2266.625</v>
      </c>
      <c r="I149" s="3">
        <v>362.66</v>
      </c>
    </row>
    <row r="150" spans="1:12">
      <c r="A150" t="s">
        <v>3033</v>
      </c>
      <c r="B150" s="1">
        <v>41772</v>
      </c>
      <c r="C150" t="s">
        <v>3034</v>
      </c>
      <c r="D150">
        <v>1</v>
      </c>
      <c r="E150" t="s">
        <v>3035</v>
      </c>
      <c r="H150" s="3">
        <f t="shared" si="2"/>
        <v>14963.874999999998</v>
      </c>
      <c r="I150" s="3">
        <v>2394.2199999999998</v>
      </c>
    </row>
    <row r="151" spans="1:12">
      <c r="A151" t="s">
        <v>657</v>
      </c>
      <c r="B151" s="1">
        <v>41787</v>
      </c>
      <c r="C151" t="s">
        <v>3405</v>
      </c>
      <c r="D151">
        <v>1</v>
      </c>
      <c r="E151" t="s">
        <v>672</v>
      </c>
      <c r="F151" s="147" t="s">
        <v>972</v>
      </c>
      <c r="G151" s="207" t="s">
        <v>973</v>
      </c>
      <c r="H151" s="3">
        <f t="shared" si="2"/>
        <v>133928.5625</v>
      </c>
      <c r="I151" s="3">
        <v>21428.57</v>
      </c>
      <c r="J151" s="13">
        <f>+H151-[1]MAY!$H$212</f>
        <v>949.8125</v>
      </c>
      <c r="K151" s="13">
        <f>+I151-[1]MAY!$I$212</f>
        <v>151.97000000000116</v>
      </c>
      <c r="L151" t="s">
        <v>850</v>
      </c>
    </row>
    <row r="152" spans="1:12">
      <c r="A152" t="s">
        <v>3036</v>
      </c>
      <c r="B152" s="1">
        <v>41772</v>
      </c>
      <c r="C152" t="s">
        <v>3037</v>
      </c>
      <c r="D152">
        <v>1</v>
      </c>
      <c r="E152" t="s">
        <v>109</v>
      </c>
      <c r="F152" s="193" t="s">
        <v>858</v>
      </c>
      <c r="G152" s="192" t="s">
        <v>859</v>
      </c>
      <c r="H152" s="3">
        <f t="shared" si="2"/>
        <v>20243.0625</v>
      </c>
      <c r="I152" s="3">
        <v>3238.89</v>
      </c>
    </row>
    <row r="153" spans="1:12">
      <c r="A153" t="s">
        <v>3087</v>
      </c>
      <c r="B153" s="1">
        <v>41782</v>
      </c>
      <c r="C153" t="s">
        <v>3088</v>
      </c>
      <c r="D153">
        <v>1</v>
      </c>
      <c r="E153" t="s">
        <v>109</v>
      </c>
      <c r="F153" s="193" t="s">
        <v>858</v>
      </c>
      <c r="G153" s="192" t="s">
        <v>859</v>
      </c>
      <c r="H153" s="3">
        <f t="shared" si="2"/>
        <v>3571.125</v>
      </c>
      <c r="I153" s="3">
        <v>571.38</v>
      </c>
    </row>
    <row r="154" spans="1:12">
      <c r="A154" t="s">
        <v>3089</v>
      </c>
      <c r="B154" s="1">
        <v>41782</v>
      </c>
      <c r="C154" t="s">
        <v>3090</v>
      </c>
      <c r="D154">
        <v>1</v>
      </c>
      <c r="E154" t="s">
        <v>109</v>
      </c>
      <c r="F154" s="193" t="s">
        <v>858</v>
      </c>
      <c r="G154" s="192" t="s">
        <v>859</v>
      </c>
      <c r="H154" s="3">
        <f t="shared" si="2"/>
        <v>1587.625</v>
      </c>
      <c r="I154" s="3">
        <v>254.02</v>
      </c>
    </row>
    <row r="155" spans="1:12">
      <c r="A155" t="s">
        <v>3120</v>
      </c>
      <c r="B155" s="1">
        <v>41787</v>
      </c>
      <c r="C155" t="s">
        <v>3121</v>
      </c>
      <c r="D155">
        <v>1</v>
      </c>
      <c r="E155" t="s">
        <v>109</v>
      </c>
      <c r="F155" s="194" t="s">
        <v>858</v>
      </c>
      <c r="G155" s="192" t="s">
        <v>859</v>
      </c>
      <c r="H155" s="3">
        <f t="shared" si="2"/>
        <v>595</v>
      </c>
      <c r="I155" s="3">
        <v>95.2</v>
      </c>
    </row>
    <row r="156" spans="1:12">
      <c r="A156" t="s">
        <v>3122</v>
      </c>
      <c r="B156" s="1">
        <v>41787</v>
      </c>
      <c r="C156" t="s">
        <v>3123</v>
      </c>
      <c r="D156">
        <v>1</v>
      </c>
      <c r="E156" t="s">
        <v>109</v>
      </c>
      <c r="F156" s="194" t="s">
        <v>858</v>
      </c>
      <c r="G156" s="192" t="s">
        <v>859</v>
      </c>
      <c r="H156" s="3">
        <f t="shared" si="2"/>
        <v>638.1875</v>
      </c>
      <c r="I156" s="3">
        <v>102.11</v>
      </c>
    </row>
    <row r="157" spans="1:12">
      <c r="A157" t="s">
        <v>306</v>
      </c>
      <c r="B157" s="1">
        <v>41790</v>
      </c>
      <c r="C157" t="s">
        <v>3202</v>
      </c>
      <c r="D157">
        <v>1</v>
      </c>
      <c r="E157" t="s">
        <v>109</v>
      </c>
      <c r="F157" s="193" t="s">
        <v>858</v>
      </c>
      <c r="G157" s="192" t="s">
        <v>859</v>
      </c>
      <c r="H157" s="3">
        <f t="shared" si="2"/>
        <v>15689.125000000002</v>
      </c>
      <c r="I157" s="3">
        <v>2510.2600000000002</v>
      </c>
    </row>
    <row r="158" spans="1:12">
      <c r="A158" t="s">
        <v>684</v>
      </c>
      <c r="B158" s="1">
        <v>41788</v>
      </c>
      <c r="C158" t="s">
        <v>3423</v>
      </c>
      <c r="D158">
        <v>1</v>
      </c>
      <c r="E158" t="s">
        <v>3424</v>
      </c>
      <c r="F158" s="72" t="s">
        <v>831</v>
      </c>
      <c r="G158" s="202" t="s">
        <v>467</v>
      </c>
      <c r="H158" s="3">
        <f t="shared" si="2"/>
        <v>515499.75000000006</v>
      </c>
      <c r="I158" s="3">
        <v>82479.960000000006</v>
      </c>
    </row>
    <row r="159" spans="1:12">
      <c r="A159" t="s">
        <v>1507</v>
      </c>
      <c r="B159" s="1">
        <v>41788</v>
      </c>
      <c r="C159" t="s">
        <v>3425</v>
      </c>
      <c r="D159">
        <v>1</v>
      </c>
      <c r="E159" t="s">
        <v>3426</v>
      </c>
      <c r="F159" s="72" t="s">
        <v>831</v>
      </c>
      <c r="G159" s="202" t="s">
        <v>467</v>
      </c>
      <c r="H159" s="3">
        <f t="shared" si="2"/>
        <v>440976.75</v>
      </c>
      <c r="I159" s="3">
        <v>70556.28</v>
      </c>
    </row>
    <row r="160" spans="1:12">
      <c r="A160" t="s">
        <v>1490</v>
      </c>
      <c r="B160" s="1">
        <v>41788</v>
      </c>
      <c r="C160" t="s">
        <v>3418</v>
      </c>
      <c r="D160">
        <v>1</v>
      </c>
      <c r="E160" t="s">
        <v>2736</v>
      </c>
      <c r="F160" s="184" t="s">
        <v>890</v>
      </c>
      <c r="G160" s="205" t="s">
        <v>521</v>
      </c>
      <c r="H160" s="3">
        <f t="shared" si="2"/>
        <v>1924.3749999999998</v>
      </c>
      <c r="I160" s="3">
        <v>307.89999999999998</v>
      </c>
    </row>
    <row r="161" spans="1:9">
      <c r="A161" t="s">
        <v>2144</v>
      </c>
      <c r="B161" s="1">
        <v>41767</v>
      </c>
      <c r="C161" t="s">
        <v>3321</v>
      </c>
      <c r="D161">
        <v>1</v>
      </c>
      <c r="E161" t="s">
        <v>1367</v>
      </c>
      <c r="F161" s="184" t="s">
        <v>894</v>
      </c>
      <c r="G161" s="205" t="s">
        <v>502</v>
      </c>
      <c r="H161" s="3">
        <f t="shared" si="2"/>
        <v>8305</v>
      </c>
      <c r="I161" s="3">
        <v>1328.8</v>
      </c>
    </row>
    <row r="162" spans="1:9">
      <c r="A162" t="s">
        <v>578</v>
      </c>
      <c r="B162" s="1">
        <v>41775</v>
      </c>
      <c r="C162" t="s">
        <v>3367</v>
      </c>
      <c r="D162">
        <v>1</v>
      </c>
      <c r="E162" t="s">
        <v>1367</v>
      </c>
      <c r="F162" s="184" t="s">
        <v>894</v>
      </c>
      <c r="G162" s="205" t="s">
        <v>502</v>
      </c>
      <c r="H162" s="3">
        <f t="shared" si="2"/>
        <v>10726.3125</v>
      </c>
      <c r="I162" s="3">
        <v>1716.21</v>
      </c>
    </row>
    <row r="163" spans="1:9">
      <c r="A163" t="s">
        <v>631</v>
      </c>
      <c r="B163" s="1">
        <v>41786</v>
      </c>
      <c r="C163" t="s">
        <v>3397</v>
      </c>
      <c r="D163">
        <v>1</v>
      </c>
      <c r="E163" t="s">
        <v>1367</v>
      </c>
      <c r="F163" s="184" t="s">
        <v>894</v>
      </c>
      <c r="G163" s="205" t="s">
        <v>502</v>
      </c>
      <c r="H163" s="3">
        <f t="shared" si="2"/>
        <v>10274.625</v>
      </c>
      <c r="I163" s="3">
        <v>1643.94</v>
      </c>
    </row>
    <row r="164" spans="1:9">
      <c r="A164" t="s">
        <v>1477</v>
      </c>
      <c r="B164" s="1">
        <v>41788</v>
      </c>
      <c r="C164" t="s">
        <v>3409</v>
      </c>
      <c r="D164">
        <v>1</v>
      </c>
      <c r="E164" t="s">
        <v>1367</v>
      </c>
      <c r="F164" s="184" t="s">
        <v>894</v>
      </c>
      <c r="G164" s="205" t="s">
        <v>502</v>
      </c>
      <c r="H164" s="3">
        <f t="shared" si="2"/>
        <v>18940.5625</v>
      </c>
      <c r="I164" s="3">
        <v>3030.49</v>
      </c>
    </row>
    <row r="165" spans="1:9">
      <c r="A165" t="s">
        <v>483</v>
      </c>
      <c r="B165" s="1">
        <v>41768</v>
      </c>
      <c r="C165" t="s">
        <v>3337</v>
      </c>
      <c r="D165">
        <v>1</v>
      </c>
      <c r="E165" t="s">
        <v>1441</v>
      </c>
      <c r="F165" s="72" t="s">
        <v>831</v>
      </c>
      <c r="G165" s="202" t="s">
        <v>467</v>
      </c>
      <c r="H165" s="3">
        <f t="shared" si="2"/>
        <v>336578.4375</v>
      </c>
      <c r="I165" s="3">
        <v>53852.55</v>
      </c>
    </row>
    <row r="166" spans="1:9">
      <c r="A166" t="s">
        <v>492</v>
      </c>
      <c r="B166" s="1">
        <v>41771</v>
      </c>
      <c r="C166" t="s">
        <v>3342</v>
      </c>
      <c r="D166">
        <v>1</v>
      </c>
      <c r="E166" t="s">
        <v>1441</v>
      </c>
      <c r="F166" s="72" t="s">
        <v>831</v>
      </c>
      <c r="G166" s="202" t="s">
        <v>467</v>
      </c>
      <c r="H166" s="3">
        <f t="shared" si="2"/>
        <v>151165.5</v>
      </c>
      <c r="I166" s="3">
        <v>24186.48</v>
      </c>
    </row>
    <row r="167" spans="1:9">
      <c r="A167" t="s">
        <v>1486</v>
      </c>
      <c r="B167" s="1">
        <v>41788</v>
      </c>
      <c r="C167" t="s">
        <v>3415</v>
      </c>
      <c r="D167">
        <v>1</v>
      </c>
      <c r="E167" t="s">
        <v>3416</v>
      </c>
      <c r="H167" s="3">
        <f t="shared" si="2"/>
        <v>59059.5</v>
      </c>
      <c r="I167" s="3">
        <v>9449.52</v>
      </c>
    </row>
    <row r="168" spans="1:9">
      <c r="A168" t="s">
        <v>3429</v>
      </c>
      <c r="B168" s="1">
        <v>41789</v>
      </c>
      <c r="C168" t="s">
        <v>3430</v>
      </c>
      <c r="D168">
        <v>1</v>
      </c>
      <c r="E168" t="s">
        <v>3416</v>
      </c>
      <c r="H168" s="3">
        <f t="shared" si="2"/>
        <v>68973.25</v>
      </c>
      <c r="I168" s="3">
        <v>11035.72</v>
      </c>
    </row>
    <row r="169" spans="1:9">
      <c r="A169" t="s">
        <v>2146</v>
      </c>
      <c r="B169" s="1">
        <v>41767</v>
      </c>
      <c r="C169" t="s">
        <v>3331</v>
      </c>
      <c r="D169">
        <v>2</v>
      </c>
      <c r="E169" t="s">
        <v>590</v>
      </c>
      <c r="F169" s="191" t="s">
        <v>861</v>
      </c>
      <c r="G169" s="192" t="s">
        <v>590</v>
      </c>
      <c r="H169" s="3">
        <f t="shared" si="2"/>
        <v>4897.9375</v>
      </c>
      <c r="I169" s="3">
        <v>783.67</v>
      </c>
    </row>
    <row r="170" spans="1:9">
      <c r="A170" t="s">
        <v>3040</v>
      </c>
      <c r="B170" s="1">
        <v>41773</v>
      </c>
      <c r="C170">
        <v>10113</v>
      </c>
      <c r="D170">
        <v>1</v>
      </c>
      <c r="E170" t="s">
        <v>338</v>
      </c>
      <c r="F170" s="191" t="s">
        <v>862</v>
      </c>
      <c r="G170" s="192" t="s">
        <v>338</v>
      </c>
      <c r="H170" s="3">
        <f t="shared" si="2"/>
        <v>341.25</v>
      </c>
      <c r="I170" s="3">
        <v>54.6</v>
      </c>
    </row>
    <row r="171" spans="1:9">
      <c r="A171" t="s">
        <v>3052</v>
      </c>
      <c r="B171" s="1">
        <v>41774</v>
      </c>
      <c r="C171">
        <v>10141</v>
      </c>
      <c r="D171">
        <v>1</v>
      </c>
      <c r="E171" t="s">
        <v>338</v>
      </c>
      <c r="F171" s="191" t="s">
        <v>862</v>
      </c>
      <c r="G171" s="192" t="s">
        <v>338</v>
      </c>
      <c r="H171" s="3">
        <f t="shared" si="2"/>
        <v>101.25</v>
      </c>
      <c r="I171" s="3">
        <v>16.2</v>
      </c>
    </row>
    <row r="172" spans="1:9">
      <c r="A172" t="s">
        <v>3064</v>
      </c>
      <c r="B172" s="1">
        <v>41774</v>
      </c>
      <c r="C172">
        <v>10155</v>
      </c>
      <c r="D172">
        <v>1</v>
      </c>
      <c r="E172" t="s">
        <v>347</v>
      </c>
      <c r="F172" s="191" t="s">
        <v>865</v>
      </c>
      <c r="G172" s="192" t="s">
        <v>347</v>
      </c>
      <c r="H172" s="3">
        <f t="shared" si="2"/>
        <v>304.875</v>
      </c>
      <c r="I172" s="3">
        <v>48.78</v>
      </c>
    </row>
    <row r="173" spans="1:9">
      <c r="A173" t="s">
        <v>2061</v>
      </c>
      <c r="B173" s="1">
        <v>41790</v>
      </c>
      <c r="C173">
        <v>10208</v>
      </c>
      <c r="D173">
        <v>1</v>
      </c>
      <c r="E173" t="s">
        <v>347</v>
      </c>
      <c r="F173" s="191" t="s">
        <v>865</v>
      </c>
      <c r="G173" s="192" t="s">
        <v>347</v>
      </c>
      <c r="H173" s="3">
        <f t="shared" si="2"/>
        <v>358.5</v>
      </c>
      <c r="I173" s="3">
        <v>57.36</v>
      </c>
    </row>
    <row r="174" spans="1:9">
      <c r="A174" t="s">
        <v>570</v>
      </c>
      <c r="B174" s="1">
        <v>41775</v>
      </c>
      <c r="C174" t="s">
        <v>3364</v>
      </c>
      <c r="D174">
        <v>1</v>
      </c>
      <c r="E174" t="s">
        <v>640</v>
      </c>
      <c r="F174" s="191" t="s">
        <v>866</v>
      </c>
      <c r="G174" s="192" t="s">
        <v>640</v>
      </c>
      <c r="H174" s="3">
        <f t="shared" si="2"/>
        <v>3311.8125</v>
      </c>
      <c r="I174" s="3">
        <v>529.89</v>
      </c>
    </row>
    <row r="175" spans="1:9">
      <c r="A175" t="s">
        <v>3065</v>
      </c>
      <c r="B175" s="1">
        <v>41774</v>
      </c>
      <c r="C175">
        <v>10156</v>
      </c>
      <c r="D175">
        <v>1</v>
      </c>
      <c r="E175" t="s">
        <v>3066</v>
      </c>
      <c r="F175" s="191" t="s">
        <v>3477</v>
      </c>
      <c r="G175" s="192" t="s">
        <v>3066</v>
      </c>
      <c r="H175" s="3">
        <f t="shared" si="2"/>
        <v>22.4375</v>
      </c>
      <c r="I175" s="3">
        <v>3.59</v>
      </c>
    </row>
    <row r="176" spans="1:9">
      <c r="A176" t="s">
        <v>1731</v>
      </c>
      <c r="B176" s="1">
        <v>41773</v>
      </c>
      <c r="C176">
        <v>10124</v>
      </c>
      <c r="D176">
        <v>1</v>
      </c>
      <c r="E176" t="s">
        <v>1090</v>
      </c>
      <c r="F176" s="191" t="s">
        <v>1579</v>
      </c>
      <c r="G176" s="192" t="s">
        <v>1090</v>
      </c>
      <c r="H176" s="3">
        <f t="shared" si="2"/>
        <v>172.4375</v>
      </c>
      <c r="I176" s="3">
        <v>27.59</v>
      </c>
    </row>
    <row r="177" spans="1:9">
      <c r="A177" t="s">
        <v>403</v>
      </c>
      <c r="B177" s="1">
        <v>41790</v>
      </c>
      <c r="C177" t="s">
        <v>3237</v>
      </c>
      <c r="D177">
        <v>1</v>
      </c>
      <c r="E177" t="s">
        <v>364</v>
      </c>
      <c r="F177" s="187" t="s">
        <v>868</v>
      </c>
      <c r="G177" s="201" t="s">
        <v>364</v>
      </c>
      <c r="H177" s="3">
        <f t="shared" si="2"/>
        <v>344.875</v>
      </c>
      <c r="I177" s="3">
        <v>55.18</v>
      </c>
    </row>
    <row r="178" spans="1:9">
      <c r="A178" t="s">
        <v>1413</v>
      </c>
      <c r="B178" s="1">
        <v>41775</v>
      </c>
      <c r="C178" t="s">
        <v>3363</v>
      </c>
      <c r="D178">
        <v>1</v>
      </c>
      <c r="E178" t="s">
        <v>535</v>
      </c>
      <c r="F178" s="191" t="s">
        <v>764</v>
      </c>
      <c r="G178" s="192" t="s">
        <v>535</v>
      </c>
      <c r="H178" s="3">
        <f t="shared" si="2"/>
        <v>860</v>
      </c>
      <c r="I178" s="3">
        <v>137.6</v>
      </c>
    </row>
    <row r="179" spans="1:9">
      <c r="A179" t="s">
        <v>636</v>
      </c>
      <c r="B179" s="1">
        <v>41786</v>
      </c>
      <c r="C179" t="s">
        <v>3399</v>
      </c>
      <c r="D179">
        <v>1</v>
      </c>
      <c r="E179" t="s">
        <v>643</v>
      </c>
      <c r="F179" s="191" t="s">
        <v>870</v>
      </c>
      <c r="G179" s="192" t="s">
        <v>643</v>
      </c>
      <c r="H179" s="3">
        <f t="shared" si="2"/>
        <v>2330</v>
      </c>
      <c r="I179" s="3">
        <v>372.8</v>
      </c>
    </row>
    <row r="180" spans="1:9">
      <c r="A180" t="s">
        <v>1479</v>
      </c>
      <c r="B180" s="1">
        <v>41788</v>
      </c>
      <c r="C180" t="s">
        <v>3410</v>
      </c>
      <c r="D180">
        <v>1</v>
      </c>
      <c r="E180" t="s">
        <v>643</v>
      </c>
      <c r="F180" s="191" t="s">
        <v>870</v>
      </c>
      <c r="G180" s="192" t="s">
        <v>643</v>
      </c>
      <c r="H180" s="3">
        <f t="shared" si="2"/>
        <v>944.99999999999989</v>
      </c>
      <c r="I180" s="3">
        <v>151.19999999999999</v>
      </c>
    </row>
    <row r="181" spans="1:9">
      <c r="A181" t="s">
        <v>438</v>
      </c>
      <c r="B181" s="1">
        <v>41765</v>
      </c>
      <c r="C181" t="s">
        <v>3304</v>
      </c>
      <c r="D181">
        <v>1</v>
      </c>
      <c r="E181" t="s">
        <v>596</v>
      </c>
      <c r="F181" s="191" t="s">
        <v>871</v>
      </c>
      <c r="G181" s="192" t="s">
        <v>596</v>
      </c>
      <c r="H181" s="3">
        <f t="shared" si="2"/>
        <v>325</v>
      </c>
      <c r="I181" s="3">
        <v>52</v>
      </c>
    </row>
    <row r="182" spans="1:9">
      <c r="A182" t="s">
        <v>1313</v>
      </c>
      <c r="B182" s="1">
        <v>41765</v>
      </c>
      <c r="C182" t="s">
        <v>3305</v>
      </c>
      <c r="D182">
        <v>1</v>
      </c>
      <c r="E182" t="s">
        <v>3306</v>
      </c>
      <c r="F182" s="191" t="s">
        <v>3478</v>
      </c>
      <c r="G182" s="192" t="s">
        <v>3306</v>
      </c>
      <c r="H182" s="3">
        <f t="shared" si="2"/>
        <v>3640</v>
      </c>
      <c r="I182" s="3">
        <v>582.4</v>
      </c>
    </row>
    <row r="183" spans="1:9">
      <c r="A183" t="s">
        <v>1329</v>
      </c>
      <c r="B183" s="1">
        <v>41767</v>
      </c>
      <c r="C183" t="s">
        <v>3323</v>
      </c>
      <c r="D183">
        <v>1</v>
      </c>
      <c r="E183" t="s">
        <v>3324</v>
      </c>
      <c r="F183" s="191" t="s">
        <v>3479</v>
      </c>
      <c r="G183" s="192" t="s">
        <v>3324</v>
      </c>
      <c r="H183" s="3">
        <f t="shared" si="2"/>
        <v>31775.375000000004</v>
      </c>
      <c r="I183" s="3">
        <v>5084.0600000000004</v>
      </c>
    </row>
    <row r="184" spans="1:9">
      <c r="A184" t="s">
        <v>574</v>
      </c>
      <c r="B184" s="1">
        <v>41775</v>
      </c>
      <c r="C184" t="s">
        <v>3366</v>
      </c>
      <c r="D184">
        <v>1</v>
      </c>
      <c r="E184" t="s">
        <v>3324</v>
      </c>
      <c r="F184" s="191" t="s">
        <v>3479</v>
      </c>
      <c r="G184" s="192" t="s">
        <v>3324</v>
      </c>
      <c r="H184" s="3">
        <f t="shared" si="2"/>
        <v>2970</v>
      </c>
      <c r="I184" s="3">
        <v>475.2</v>
      </c>
    </row>
    <row r="185" spans="1:9">
      <c r="A185" t="s">
        <v>2047</v>
      </c>
      <c r="B185" s="1">
        <v>41790</v>
      </c>
      <c r="C185">
        <v>10200</v>
      </c>
      <c r="D185">
        <v>1</v>
      </c>
      <c r="E185" t="s">
        <v>336</v>
      </c>
      <c r="F185" s="191" t="s">
        <v>873</v>
      </c>
      <c r="G185" s="192" t="s">
        <v>336</v>
      </c>
      <c r="H185" s="3">
        <f t="shared" si="2"/>
        <v>24.5</v>
      </c>
      <c r="I185" s="3">
        <v>3.92</v>
      </c>
    </row>
    <row r="186" spans="1:9">
      <c r="A186" t="s">
        <v>3039</v>
      </c>
      <c r="B186" s="1">
        <v>41773</v>
      </c>
      <c r="C186">
        <v>10112</v>
      </c>
      <c r="D186">
        <v>1</v>
      </c>
      <c r="E186" t="s">
        <v>1887</v>
      </c>
      <c r="F186" s="191" t="s">
        <v>873</v>
      </c>
      <c r="G186" s="192" t="s">
        <v>1887</v>
      </c>
      <c r="H186" s="3">
        <f t="shared" si="2"/>
        <v>264</v>
      </c>
      <c r="I186" s="3">
        <v>42.24</v>
      </c>
    </row>
    <row r="187" spans="1:9">
      <c r="A187" t="s">
        <v>2132</v>
      </c>
      <c r="B187" s="1">
        <v>41767</v>
      </c>
      <c r="C187" t="s">
        <v>3311</v>
      </c>
      <c r="D187">
        <v>1</v>
      </c>
      <c r="E187" t="s">
        <v>527</v>
      </c>
      <c r="F187" s="191" t="s">
        <v>875</v>
      </c>
      <c r="G187" s="192" t="s">
        <v>527</v>
      </c>
      <c r="H187" s="3">
        <f t="shared" si="2"/>
        <v>10650</v>
      </c>
      <c r="I187" s="3">
        <v>1704</v>
      </c>
    </row>
    <row r="188" spans="1:9">
      <c r="A188" t="s">
        <v>2140</v>
      </c>
      <c r="B188" s="1">
        <v>41767</v>
      </c>
      <c r="C188" t="s">
        <v>3317</v>
      </c>
      <c r="D188">
        <v>1</v>
      </c>
      <c r="E188" t="s">
        <v>527</v>
      </c>
      <c r="F188" s="191" t="s">
        <v>875</v>
      </c>
      <c r="G188" s="192" t="s">
        <v>527</v>
      </c>
      <c r="H188" s="3">
        <f t="shared" si="2"/>
        <v>11700</v>
      </c>
      <c r="I188" s="3">
        <v>1872</v>
      </c>
    </row>
    <row r="189" spans="1:9">
      <c r="A189" t="s">
        <v>454</v>
      </c>
      <c r="B189" s="1">
        <v>41767</v>
      </c>
      <c r="C189" t="s">
        <v>3314</v>
      </c>
      <c r="D189">
        <v>1</v>
      </c>
      <c r="E189" t="s">
        <v>496</v>
      </c>
      <c r="F189" s="191" t="s">
        <v>876</v>
      </c>
      <c r="G189" s="192" t="s">
        <v>496</v>
      </c>
      <c r="H189" s="3">
        <f t="shared" si="2"/>
        <v>4500.6875</v>
      </c>
      <c r="I189" s="3">
        <v>720.11</v>
      </c>
    </row>
    <row r="190" spans="1:9">
      <c r="A190" t="s">
        <v>1461</v>
      </c>
      <c r="B190" s="1">
        <v>41786</v>
      </c>
      <c r="C190" t="s">
        <v>3400</v>
      </c>
      <c r="D190">
        <v>1</v>
      </c>
      <c r="E190" t="s">
        <v>496</v>
      </c>
      <c r="F190" s="191" t="s">
        <v>876</v>
      </c>
      <c r="G190" s="192" t="s">
        <v>496</v>
      </c>
      <c r="H190" s="3">
        <f t="shared" si="2"/>
        <v>676.1875</v>
      </c>
      <c r="I190" s="3">
        <v>108.19</v>
      </c>
    </row>
    <row r="191" spans="1:9">
      <c r="A191" t="s">
        <v>3269</v>
      </c>
      <c r="B191" s="1">
        <v>41790</v>
      </c>
      <c r="C191">
        <v>10235</v>
      </c>
      <c r="D191">
        <v>1</v>
      </c>
      <c r="E191" t="s">
        <v>377</v>
      </c>
      <c r="F191" s="191" t="s">
        <v>876</v>
      </c>
      <c r="G191" s="192" t="s">
        <v>377</v>
      </c>
      <c r="H191" s="3">
        <f t="shared" si="2"/>
        <v>232.5</v>
      </c>
      <c r="I191" s="3">
        <v>37.200000000000003</v>
      </c>
    </row>
    <row r="192" spans="1:9">
      <c r="A192" t="s">
        <v>3146</v>
      </c>
      <c r="B192" s="1">
        <v>41787</v>
      </c>
      <c r="C192" t="s">
        <v>3147</v>
      </c>
      <c r="D192">
        <v>1</v>
      </c>
      <c r="E192" t="s">
        <v>3148</v>
      </c>
      <c r="F192" s="197" t="s">
        <v>744</v>
      </c>
      <c r="G192" s="192" t="s">
        <v>745</v>
      </c>
      <c r="H192" s="3">
        <f t="shared" si="2"/>
        <v>162935.75</v>
      </c>
      <c r="I192" s="3">
        <v>26069.72</v>
      </c>
    </row>
    <row r="193" spans="1:9">
      <c r="A193" t="s">
        <v>3183</v>
      </c>
      <c r="B193" s="1">
        <v>41789</v>
      </c>
      <c r="C193" t="s">
        <v>3184</v>
      </c>
      <c r="D193">
        <v>1</v>
      </c>
      <c r="E193" t="s">
        <v>3185</v>
      </c>
      <c r="F193" s="197" t="s">
        <v>744</v>
      </c>
      <c r="G193" s="192" t="s">
        <v>745</v>
      </c>
      <c r="H193" s="3">
        <f t="shared" si="2"/>
        <v>216185.75</v>
      </c>
      <c r="I193" s="3">
        <v>34589.72</v>
      </c>
    </row>
    <row r="194" spans="1:9">
      <c r="A194" t="s">
        <v>3186</v>
      </c>
      <c r="B194" s="1">
        <v>41789</v>
      </c>
      <c r="C194" t="s">
        <v>3187</v>
      </c>
      <c r="D194">
        <v>1</v>
      </c>
      <c r="E194" t="s">
        <v>3188</v>
      </c>
      <c r="F194" s="197" t="s">
        <v>744</v>
      </c>
      <c r="G194" s="192" t="s">
        <v>745</v>
      </c>
      <c r="H194" s="3">
        <f t="shared" si="2"/>
        <v>216185.75</v>
      </c>
      <c r="I194" s="3">
        <v>34589.72</v>
      </c>
    </row>
    <row r="195" spans="1:9">
      <c r="A195" t="s">
        <v>3174</v>
      </c>
      <c r="B195" s="1">
        <v>41788</v>
      </c>
      <c r="C195" t="s">
        <v>3175</v>
      </c>
      <c r="D195">
        <v>1</v>
      </c>
      <c r="E195" t="s">
        <v>3176</v>
      </c>
      <c r="F195" s="197" t="s">
        <v>744</v>
      </c>
      <c r="G195" s="192" t="s">
        <v>745</v>
      </c>
      <c r="H195" s="3">
        <f t="shared" si="2"/>
        <v>216185.75</v>
      </c>
      <c r="I195" s="3">
        <v>34589.72</v>
      </c>
    </row>
    <row r="196" spans="1:9">
      <c r="A196" t="s">
        <v>3082</v>
      </c>
      <c r="B196" s="1">
        <v>41779</v>
      </c>
      <c r="C196" t="s">
        <v>3083</v>
      </c>
      <c r="D196">
        <v>1</v>
      </c>
      <c r="E196" t="s">
        <v>2433</v>
      </c>
      <c r="F196" s="197" t="s">
        <v>744</v>
      </c>
      <c r="G196" s="192" t="s">
        <v>745</v>
      </c>
      <c r="H196" s="3">
        <f t="shared" si="2"/>
        <v>148194.375</v>
      </c>
      <c r="I196" s="3">
        <v>23711.1</v>
      </c>
    </row>
    <row r="197" spans="1:9">
      <c r="A197" t="s">
        <v>3192</v>
      </c>
      <c r="B197" s="1">
        <v>41789</v>
      </c>
      <c r="C197" t="s">
        <v>3193</v>
      </c>
      <c r="D197">
        <v>1</v>
      </c>
      <c r="E197" t="s">
        <v>3194</v>
      </c>
      <c r="F197" s="197" t="s">
        <v>744</v>
      </c>
      <c r="G197" s="192" t="s">
        <v>745</v>
      </c>
      <c r="H197" s="3">
        <f t="shared" si="2"/>
        <v>216185.75</v>
      </c>
      <c r="I197" s="3">
        <v>34589.72</v>
      </c>
    </row>
    <row r="198" spans="1:9">
      <c r="A198" t="s">
        <v>3189</v>
      </c>
      <c r="B198" s="1">
        <v>41789</v>
      </c>
      <c r="C198" t="s">
        <v>3190</v>
      </c>
      <c r="D198">
        <v>1</v>
      </c>
      <c r="E198" t="s">
        <v>3191</v>
      </c>
      <c r="F198" s="197" t="s">
        <v>744</v>
      </c>
      <c r="G198" s="192" t="s">
        <v>745</v>
      </c>
      <c r="H198" s="3">
        <f t="shared" si="2"/>
        <v>216185.75</v>
      </c>
      <c r="I198" s="3">
        <v>34589.72</v>
      </c>
    </row>
    <row r="199" spans="1:9">
      <c r="A199" t="s">
        <v>2075</v>
      </c>
      <c r="B199" s="1">
        <v>41790</v>
      </c>
      <c r="C199">
        <v>10216</v>
      </c>
      <c r="D199">
        <v>1</v>
      </c>
      <c r="E199" t="s">
        <v>3245</v>
      </c>
      <c r="F199" s="191" t="s">
        <v>794</v>
      </c>
      <c r="G199" s="192" t="s">
        <v>3245</v>
      </c>
      <c r="H199" s="3">
        <f t="shared" si="2"/>
        <v>103.4375</v>
      </c>
      <c r="I199" s="3">
        <v>16.55</v>
      </c>
    </row>
    <row r="200" spans="1:9">
      <c r="A200" t="s">
        <v>3419</v>
      </c>
      <c r="B200" s="1">
        <v>41788</v>
      </c>
      <c r="C200" t="s">
        <v>3420</v>
      </c>
      <c r="D200">
        <v>1</v>
      </c>
      <c r="E200" t="s">
        <v>470</v>
      </c>
      <c r="F200" s="194" t="s">
        <v>880</v>
      </c>
      <c r="G200" s="192" t="s">
        <v>470</v>
      </c>
      <c r="H200" s="3">
        <f t="shared" ref="H200:H263" si="3">+I200/0.16</f>
        <v>5399</v>
      </c>
      <c r="I200" s="3">
        <v>863.84</v>
      </c>
    </row>
    <row r="201" spans="1:9">
      <c r="A201" t="s">
        <v>3101</v>
      </c>
      <c r="B201" s="1">
        <v>41785</v>
      </c>
      <c r="C201" t="s">
        <v>3102</v>
      </c>
      <c r="D201">
        <v>1</v>
      </c>
      <c r="E201" t="s">
        <v>3103</v>
      </c>
      <c r="F201" s="191" t="s">
        <v>2310</v>
      </c>
      <c r="G201" s="192" t="s">
        <v>3103</v>
      </c>
      <c r="H201" s="3">
        <f t="shared" si="3"/>
        <v>177668.5</v>
      </c>
      <c r="I201" s="3">
        <v>28426.959999999999</v>
      </c>
    </row>
    <row r="202" spans="1:9">
      <c r="A202" t="s">
        <v>3117</v>
      </c>
      <c r="B202" s="1">
        <v>41786</v>
      </c>
      <c r="C202" t="s">
        <v>3118</v>
      </c>
      <c r="D202">
        <v>1</v>
      </c>
      <c r="E202" t="s">
        <v>3119</v>
      </c>
      <c r="F202" s="191" t="s">
        <v>2310</v>
      </c>
      <c r="G202" s="192" t="s">
        <v>3119</v>
      </c>
      <c r="H202" s="3">
        <f t="shared" si="3"/>
        <v>216185.75</v>
      </c>
      <c r="I202" s="3">
        <v>34589.72</v>
      </c>
    </row>
    <row r="203" spans="1:9">
      <c r="A203" t="s">
        <v>3001</v>
      </c>
      <c r="B203" s="1">
        <v>41771</v>
      </c>
      <c r="C203" t="s">
        <v>3002</v>
      </c>
      <c r="D203">
        <v>1</v>
      </c>
      <c r="E203" t="s">
        <v>3003</v>
      </c>
      <c r="F203" s="194" t="s">
        <v>758</v>
      </c>
      <c r="G203" s="192" t="s">
        <v>754</v>
      </c>
      <c r="H203" s="3">
        <f t="shared" si="3"/>
        <v>322978.625</v>
      </c>
      <c r="I203" s="3">
        <v>51676.58</v>
      </c>
    </row>
    <row r="204" spans="1:9">
      <c r="A204" t="s">
        <v>3079</v>
      </c>
      <c r="B204" s="1">
        <v>41779</v>
      </c>
      <c r="C204" t="s">
        <v>3080</v>
      </c>
      <c r="D204">
        <v>1</v>
      </c>
      <c r="E204" t="s">
        <v>3081</v>
      </c>
      <c r="F204" s="194" t="s">
        <v>758</v>
      </c>
      <c r="G204" s="192" t="s">
        <v>754</v>
      </c>
      <c r="H204" s="3">
        <f t="shared" si="3"/>
        <v>246689.9375</v>
      </c>
      <c r="I204" s="3">
        <v>39470.39</v>
      </c>
    </row>
    <row r="205" spans="1:9">
      <c r="A205" t="s">
        <v>1733</v>
      </c>
      <c r="B205" s="1">
        <v>41773</v>
      </c>
      <c r="C205">
        <v>10125</v>
      </c>
      <c r="D205">
        <v>1</v>
      </c>
      <c r="E205" t="s">
        <v>3044</v>
      </c>
      <c r="F205" s="191" t="s">
        <v>3480</v>
      </c>
      <c r="G205" s="192" t="s">
        <v>3044</v>
      </c>
      <c r="H205" s="3">
        <f t="shared" si="3"/>
        <v>128</v>
      </c>
      <c r="I205" s="3">
        <v>20.48</v>
      </c>
    </row>
    <row r="206" spans="1:9">
      <c r="A206" t="s">
        <v>2263</v>
      </c>
      <c r="B206" s="1">
        <v>41789</v>
      </c>
      <c r="C206" t="s">
        <v>3427</v>
      </c>
      <c r="D206">
        <v>2</v>
      </c>
      <c r="E206" t="s">
        <v>1420</v>
      </c>
      <c r="F206" s="191" t="s">
        <v>1587</v>
      </c>
      <c r="G206" s="192" t="s">
        <v>1420</v>
      </c>
      <c r="H206" s="3">
        <f t="shared" si="3"/>
        <v>1560</v>
      </c>
      <c r="I206" s="3">
        <v>249.6</v>
      </c>
    </row>
    <row r="207" spans="1:9">
      <c r="A207" t="s">
        <v>3244</v>
      </c>
      <c r="B207" s="1">
        <v>41790</v>
      </c>
      <c r="C207">
        <v>10215</v>
      </c>
      <c r="D207">
        <v>1</v>
      </c>
      <c r="E207" t="s">
        <v>1243</v>
      </c>
      <c r="F207" s="191" t="s">
        <v>885</v>
      </c>
      <c r="G207" s="192" t="s">
        <v>1243</v>
      </c>
      <c r="H207" s="3">
        <f t="shared" si="3"/>
        <v>86.4375</v>
      </c>
      <c r="I207" s="3">
        <v>13.83</v>
      </c>
    </row>
    <row r="208" spans="1:9">
      <c r="A208" t="s">
        <v>2699</v>
      </c>
      <c r="B208" s="1">
        <v>41767</v>
      </c>
      <c r="C208" t="s">
        <v>3327</v>
      </c>
      <c r="D208">
        <v>1</v>
      </c>
      <c r="E208" t="s">
        <v>505</v>
      </c>
      <c r="F208" s="191" t="s">
        <v>885</v>
      </c>
      <c r="G208" s="192" t="s">
        <v>505</v>
      </c>
      <c r="H208" s="3">
        <f t="shared" si="3"/>
        <v>4153.0625</v>
      </c>
      <c r="I208" s="3">
        <v>664.49</v>
      </c>
    </row>
    <row r="209" spans="1:12">
      <c r="A209" t="s">
        <v>451</v>
      </c>
      <c r="B209" s="1">
        <v>41767</v>
      </c>
      <c r="C209" t="s">
        <v>3312</v>
      </c>
      <c r="D209">
        <v>2</v>
      </c>
      <c r="E209" t="s">
        <v>550</v>
      </c>
      <c r="F209" s="191" t="s">
        <v>886</v>
      </c>
      <c r="G209" s="192" t="s">
        <v>550</v>
      </c>
      <c r="H209" s="3">
        <f t="shared" si="3"/>
        <v>3200</v>
      </c>
      <c r="I209" s="3">
        <v>512</v>
      </c>
    </row>
    <row r="210" spans="1:12">
      <c r="A210" t="s">
        <v>1324</v>
      </c>
      <c r="B210" s="1">
        <v>41767</v>
      </c>
      <c r="C210" t="s">
        <v>3318</v>
      </c>
      <c r="D210">
        <v>2</v>
      </c>
      <c r="E210" t="s">
        <v>550</v>
      </c>
      <c r="F210" s="191" t="s">
        <v>886</v>
      </c>
      <c r="G210" s="192" t="s">
        <v>550</v>
      </c>
      <c r="H210" s="3">
        <f t="shared" si="3"/>
        <v>11000</v>
      </c>
      <c r="I210" s="3">
        <v>1760</v>
      </c>
    </row>
    <row r="211" spans="1:12">
      <c r="A211" t="s">
        <v>572</v>
      </c>
      <c r="B211" s="1">
        <v>41775</v>
      </c>
      <c r="C211" t="s">
        <v>3365</v>
      </c>
      <c r="D211">
        <v>2</v>
      </c>
      <c r="E211" t="s">
        <v>550</v>
      </c>
      <c r="F211" s="191" t="s">
        <v>886</v>
      </c>
      <c r="G211" s="192" t="s">
        <v>550</v>
      </c>
      <c r="H211" s="3">
        <f t="shared" si="3"/>
        <v>2500</v>
      </c>
      <c r="I211" s="3">
        <v>400</v>
      </c>
    </row>
    <row r="212" spans="1:12">
      <c r="A212" t="s">
        <v>2231</v>
      </c>
      <c r="B212" s="1">
        <v>41786</v>
      </c>
      <c r="C212" t="s">
        <v>3392</v>
      </c>
      <c r="D212">
        <v>2</v>
      </c>
      <c r="E212" t="s">
        <v>550</v>
      </c>
      <c r="F212" s="191" t="s">
        <v>886</v>
      </c>
      <c r="G212" s="192" t="s">
        <v>550</v>
      </c>
      <c r="H212" s="3">
        <f t="shared" si="3"/>
        <v>800</v>
      </c>
      <c r="I212" s="3">
        <v>128</v>
      </c>
    </row>
    <row r="213" spans="1:12">
      <c r="A213" t="s">
        <v>641</v>
      </c>
      <c r="B213" s="1">
        <v>41786</v>
      </c>
      <c r="C213" t="s">
        <v>3401</v>
      </c>
      <c r="D213">
        <v>2</v>
      </c>
      <c r="E213" t="s">
        <v>550</v>
      </c>
      <c r="F213" s="191" t="s">
        <v>886</v>
      </c>
      <c r="G213" s="192" t="s">
        <v>550</v>
      </c>
      <c r="H213" s="3">
        <f t="shared" si="3"/>
        <v>2800</v>
      </c>
      <c r="I213" s="3">
        <v>448</v>
      </c>
    </row>
    <row r="214" spans="1:12">
      <c r="A214" t="s">
        <v>668</v>
      </c>
      <c r="B214" s="1">
        <v>41788</v>
      </c>
      <c r="C214" t="s">
        <v>3411</v>
      </c>
      <c r="D214">
        <v>2</v>
      </c>
      <c r="E214" t="s">
        <v>550</v>
      </c>
      <c r="F214" s="191" t="s">
        <v>886</v>
      </c>
      <c r="G214" s="192" t="s">
        <v>550</v>
      </c>
      <c r="H214" s="3">
        <f t="shared" si="3"/>
        <v>6000</v>
      </c>
      <c r="I214" s="3">
        <v>960</v>
      </c>
    </row>
    <row r="215" spans="1:12">
      <c r="A215" t="s">
        <v>2977</v>
      </c>
      <c r="B215" s="1">
        <v>41765</v>
      </c>
      <c r="C215" t="s">
        <v>2978</v>
      </c>
      <c r="D215">
        <v>1</v>
      </c>
      <c r="E215" t="s">
        <v>2979</v>
      </c>
      <c r="F215" s="208" t="s">
        <v>2890</v>
      </c>
      <c r="G215" s="209" t="s">
        <v>2406</v>
      </c>
      <c r="H215" s="3">
        <f t="shared" si="3"/>
        <v>263409.75</v>
      </c>
      <c r="I215" s="3">
        <v>42145.56</v>
      </c>
    </row>
    <row r="216" spans="1:12">
      <c r="A216" t="s">
        <v>627</v>
      </c>
      <c r="B216" s="1">
        <v>41786</v>
      </c>
      <c r="C216" t="s">
        <v>3395</v>
      </c>
      <c r="D216">
        <v>1</v>
      </c>
      <c r="E216" t="s">
        <v>521</v>
      </c>
      <c r="F216" s="184" t="s">
        <v>890</v>
      </c>
      <c r="G216" s="205" t="s">
        <v>521</v>
      </c>
      <c r="H216" s="3">
        <f t="shared" si="3"/>
        <v>775.875</v>
      </c>
      <c r="I216" s="3">
        <v>124.14</v>
      </c>
      <c r="J216" s="13">
        <f>+H216-[1]MAY!$H$249</f>
        <v>25.75</v>
      </c>
      <c r="K216" s="13">
        <f>+I216-[1]MAY!$I$249</f>
        <v>4.1200000000000045</v>
      </c>
      <c r="L216" t="s">
        <v>850</v>
      </c>
    </row>
    <row r="217" spans="1:12">
      <c r="A217" t="s">
        <v>3055</v>
      </c>
      <c r="B217" s="1">
        <v>41774</v>
      </c>
      <c r="C217">
        <v>10144</v>
      </c>
      <c r="D217">
        <v>1</v>
      </c>
      <c r="E217" t="s">
        <v>3056</v>
      </c>
      <c r="F217" s="210" t="s">
        <v>3481</v>
      </c>
      <c r="G217" s="192" t="s">
        <v>3056</v>
      </c>
      <c r="H217" s="3">
        <f t="shared" si="3"/>
        <v>65.4375</v>
      </c>
      <c r="I217" s="3">
        <v>10.47</v>
      </c>
    </row>
    <row r="218" spans="1:12">
      <c r="A218" t="s">
        <v>405</v>
      </c>
      <c r="B218" s="1">
        <v>41790</v>
      </c>
      <c r="C218" t="s">
        <v>3238</v>
      </c>
      <c r="D218">
        <v>1</v>
      </c>
      <c r="E218" t="s">
        <v>2591</v>
      </c>
      <c r="F218" s="191" t="s">
        <v>2887</v>
      </c>
      <c r="G218" s="192" t="s">
        <v>2591</v>
      </c>
      <c r="H218" s="3">
        <f t="shared" si="3"/>
        <v>60.375</v>
      </c>
      <c r="I218" s="3">
        <v>9.66</v>
      </c>
    </row>
    <row r="219" spans="1:12">
      <c r="A219" t="s">
        <v>2222</v>
      </c>
      <c r="B219" s="1">
        <v>41785</v>
      </c>
      <c r="C219" t="s">
        <v>3385</v>
      </c>
      <c r="D219">
        <v>1</v>
      </c>
      <c r="E219" t="s">
        <v>665</v>
      </c>
      <c r="F219" s="191" t="s">
        <v>892</v>
      </c>
      <c r="G219" s="192" t="s">
        <v>665</v>
      </c>
      <c r="H219" s="3">
        <f t="shared" si="3"/>
        <v>11100.625</v>
      </c>
      <c r="I219" s="3">
        <v>1776.1</v>
      </c>
    </row>
    <row r="220" spans="1:12">
      <c r="A220" t="s">
        <v>2816</v>
      </c>
      <c r="B220" s="1">
        <v>41785</v>
      </c>
      <c r="C220" t="s">
        <v>3386</v>
      </c>
      <c r="D220">
        <v>1</v>
      </c>
      <c r="E220" t="s">
        <v>665</v>
      </c>
      <c r="F220" s="191" t="s">
        <v>892</v>
      </c>
      <c r="G220" s="192" t="s">
        <v>665</v>
      </c>
      <c r="H220" s="3">
        <f t="shared" si="3"/>
        <v>6445</v>
      </c>
      <c r="I220" s="3">
        <v>1031.2</v>
      </c>
    </row>
    <row r="221" spans="1:12">
      <c r="A221" t="s">
        <v>3149</v>
      </c>
      <c r="B221" s="1">
        <v>41787</v>
      </c>
      <c r="C221" t="s">
        <v>3150</v>
      </c>
      <c r="D221">
        <v>1</v>
      </c>
      <c r="E221" t="s">
        <v>2480</v>
      </c>
      <c r="F221" s="191" t="s">
        <v>1589</v>
      </c>
      <c r="G221" s="192" t="s">
        <v>2480</v>
      </c>
      <c r="H221" s="3">
        <f t="shared" si="3"/>
        <v>216185.75</v>
      </c>
      <c r="I221" s="3">
        <v>34589.72</v>
      </c>
    </row>
    <row r="222" spans="1:12">
      <c r="A222" t="s">
        <v>2998</v>
      </c>
      <c r="B222" s="1">
        <v>41771</v>
      </c>
      <c r="C222" t="s">
        <v>2999</v>
      </c>
      <c r="D222">
        <v>1</v>
      </c>
      <c r="E222" t="s">
        <v>3000</v>
      </c>
      <c r="F222" s="191" t="s">
        <v>3482</v>
      </c>
      <c r="G222" s="192" t="s">
        <v>3000</v>
      </c>
      <c r="H222" s="3">
        <f t="shared" si="3"/>
        <v>139737.5</v>
      </c>
      <c r="I222" s="3">
        <v>22358</v>
      </c>
    </row>
    <row r="223" spans="1:12">
      <c r="A223" t="s">
        <v>3076</v>
      </c>
      <c r="B223" s="1">
        <v>41778</v>
      </c>
      <c r="C223" t="s">
        <v>3077</v>
      </c>
      <c r="D223">
        <v>1</v>
      </c>
      <c r="E223" t="s">
        <v>3078</v>
      </c>
      <c r="F223" s="191" t="s">
        <v>3482</v>
      </c>
      <c r="G223" s="192" t="s">
        <v>3078</v>
      </c>
      <c r="H223" s="3">
        <f t="shared" si="3"/>
        <v>177668.5</v>
      </c>
      <c r="I223" s="3">
        <v>28426.959999999999</v>
      </c>
    </row>
    <row r="224" spans="1:12">
      <c r="A224" t="s">
        <v>513</v>
      </c>
      <c r="B224" s="1">
        <v>41773</v>
      </c>
      <c r="C224" t="s">
        <v>3352</v>
      </c>
      <c r="D224">
        <v>1</v>
      </c>
      <c r="E224" t="s">
        <v>3353</v>
      </c>
      <c r="F224" s="191" t="s">
        <v>759</v>
      </c>
      <c r="G224" s="192" t="s">
        <v>3353</v>
      </c>
      <c r="H224" s="3">
        <f t="shared" si="3"/>
        <v>492.12499999999994</v>
      </c>
      <c r="I224" s="3">
        <v>78.739999999999995</v>
      </c>
    </row>
    <row r="225" spans="1:9">
      <c r="A225" t="s">
        <v>2949</v>
      </c>
      <c r="B225" s="1">
        <v>41764</v>
      </c>
      <c r="C225" t="s">
        <v>2950</v>
      </c>
      <c r="D225">
        <v>1</v>
      </c>
      <c r="E225" t="s">
        <v>467</v>
      </c>
      <c r="F225" s="162" t="s">
        <v>760</v>
      </c>
      <c r="G225" s="211" t="s">
        <v>761</v>
      </c>
      <c r="H225" s="3">
        <f t="shared" si="3"/>
        <v>187966.5</v>
      </c>
      <c r="I225" s="3">
        <v>30074.639999999999</v>
      </c>
    </row>
    <row r="226" spans="1:9">
      <c r="A226" t="s">
        <v>2951</v>
      </c>
      <c r="B226" s="1">
        <v>41764</v>
      </c>
      <c r="C226" t="s">
        <v>2952</v>
      </c>
      <c r="D226">
        <v>1</v>
      </c>
      <c r="E226" t="s">
        <v>467</v>
      </c>
      <c r="F226" s="162" t="s">
        <v>760</v>
      </c>
      <c r="G226" s="211" t="s">
        <v>761</v>
      </c>
      <c r="H226" s="3">
        <f t="shared" si="3"/>
        <v>202818.6875</v>
      </c>
      <c r="I226" s="3">
        <v>32450.99</v>
      </c>
    </row>
    <row r="227" spans="1:9">
      <c r="A227" t="s">
        <v>2959</v>
      </c>
      <c r="B227" s="1">
        <v>41764</v>
      </c>
      <c r="C227" t="s">
        <v>2960</v>
      </c>
      <c r="D227">
        <v>1</v>
      </c>
      <c r="E227" t="s">
        <v>467</v>
      </c>
      <c r="F227" s="162" t="s">
        <v>760</v>
      </c>
      <c r="G227" s="211" t="s">
        <v>761</v>
      </c>
      <c r="H227" s="3">
        <f t="shared" si="3"/>
        <v>297961.625</v>
      </c>
      <c r="I227" s="3">
        <v>47673.86</v>
      </c>
    </row>
    <row r="228" spans="1:9">
      <c r="A228" t="s">
        <v>2961</v>
      </c>
      <c r="B228" s="1">
        <v>41764</v>
      </c>
      <c r="C228" t="s">
        <v>2962</v>
      </c>
      <c r="D228">
        <v>1</v>
      </c>
      <c r="E228" t="s">
        <v>467</v>
      </c>
      <c r="F228" s="162" t="s">
        <v>760</v>
      </c>
      <c r="G228" s="211" t="s">
        <v>761</v>
      </c>
      <c r="H228" s="3">
        <f t="shared" si="3"/>
        <v>297961.625</v>
      </c>
      <c r="I228" s="3">
        <v>47673.86</v>
      </c>
    </row>
    <row r="229" spans="1:9">
      <c r="A229" t="s">
        <v>2963</v>
      </c>
      <c r="B229" s="1">
        <v>41764</v>
      </c>
      <c r="C229" t="s">
        <v>2964</v>
      </c>
      <c r="D229">
        <v>1</v>
      </c>
      <c r="E229" t="s">
        <v>467</v>
      </c>
      <c r="F229" s="162" t="s">
        <v>760</v>
      </c>
      <c r="G229" s="211" t="s">
        <v>761</v>
      </c>
      <c r="H229" s="3">
        <f t="shared" si="3"/>
        <v>139737.5</v>
      </c>
      <c r="I229" s="3">
        <v>22358</v>
      </c>
    </row>
    <row r="230" spans="1:9">
      <c r="A230" t="s">
        <v>2968</v>
      </c>
      <c r="B230" s="1">
        <v>41764</v>
      </c>
      <c r="C230" t="s">
        <v>2969</v>
      </c>
      <c r="D230">
        <v>1</v>
      </c>
      <c r="E230" t="s">
        <v>467</v>
      </c>
      <c r="F230" s="162" t="s">
        <v>760</v>
      </c>
      <c r="G230" s="211" t="s">
        <v>761</v>
      </c>
      <c r="H230" s="3">
        <f t="shared" si="3"/>
        <v>356752.875</v>
      </c>
      <c r="I230" s="3">
        <v>57080.46</v>
      </c>
    </row>
    <row r="231" spans="1:9">
      <c r="A231" t="s">
        <v>2970</v>
      </c>
      <c r="B231" s="1">
        <v>41764</v>
      </c>
      <c r="C231" t="s">
        <v>2971</v>
      </c>
      <c r="D231">
        <v>1</v>
      </c>
      <c r="E231" t="s">
        <v>467</v>
      </c>
      <c r="F231" s="162" t="s">
        <v>760</v>
      </c>
      <c r="G231" s="211" t="s">
        <v>761</v>
      </c>
      <c r="H231" s="3">
        <f t="shared" si="3"/>
        <v>297961.625</v>
      </c>
      <c r="I231" s="3">
        <v>47673.86</v>
      </c>
    </row>
    <row r="232" spans="1:9">
      <c r="A232" t="s">
        <v>2972</v>
      </c>
      <c r="B232" s="1">
        <v>41764</v>
      </c>
      <c r="C232" t="s">
        <v>2973</v>
      </c>
      <c r="D232">
        <v>1</v>
      </c>
      <c r="E232" t="s">
        <v>467</v>
      </c>
      <c r="F232" s="162" t="s">
        <v>760</v>
      </c>
      <c r="G232" s="211" t="s">
        <v>761</v>
      </c>
      <c r="H232" s="3">
        <f t="shared" si="3"/>
        <v>187966.5</v>
      </c>
      <c r="I232" s="3">
        <v>30074.639999999999</v>
      </c>
    </row>
    <row r="233" spans="1:9">
      <c r="A233" t="s">
        <v>6</v>
      </c>
      <c r="B233" s="1">
        <v>41764</v>
      </c>
      <c r="C233" t="s">
        <v>2974</v>
      </c>
      <c r="D233">
        <v>1</v>
      </c>
      <c r="E233" t="s">
        <v>467</v>
      </c>
      <c r="F233" s="162" t="s">
        <v>760</v>
      </c>
      <c r="G233" s="211" t="s">
        <v>761</v>
      </c>
      <c r="H233" s="3">
        <f t="shared" si="3"/>
        <v>478010.75</v>
      </c>
      <c r="I233" s="3">
        <v>76481.72</v>
      </c>
    </row>
    <row r="234" spans="1:9">
      <c r="A234" t="s">
        <v>2975</v>
      </c>
      <c r="B234" s="1">
        <v>41764</v>
      </c>
      <c r="C234" t="s">
        <v>2976</v>
      </c>
      <c r="D234">
        <v>1</v>
      </c>
      <c r="E234" t="s">
        <v>467</v>
      </c>
      <c r="F234" s="162" t="s">
        <v>760</v>
      </c>
      <c r="G234" s="211" t="s">
        <v>761</v>
      </c>
      <c r="H234" s="3">
        <f t="shared" si="3"/>
        <v>260965.56249999997</v>
      </c>
      <c r="I234" s="3">
        <v>41754.49</v>
      </c>
    </row>
    <row r="235" spans="1:9">
      <c r="A235" t="s">
        <v>2980</v>
      </c>
      <c r="B235" s="1">
        <v>41766</v>
      </c>
      <c r="C235" t="s">
        <v>2981</v>
      </c>
      <c r="D235">
        <v>1</v>
      </c>
      <c r="E235" t="s">
        <v>467</v>
      </c>
      <c r="F235" s="162" t="s">
        <v>760</v>
      </c>
      <c r="G235" s="211" t="s">
        <v>761</v>
      </c>
      <c r="H235" s="3">
        <f t="shared" si="3"/>
        <v>320437.1875</v>
      </c>
      <c r="I235" s="3">
        <v>51269.95</v>
      </c>
    </row>
    <row r="236" spans="1:9">
      <c r="A236" t="s">
        <v>2982</v>
      </c>
      <c r="B236" s="1">
        <v>41766</v>
      </c>
      <c r="C236" t="s">
        <v>2983</v>
      </c>
      <c r="D236">
        <v>1</v>
      </c>
      <c r="E236" t="s">
        <v>467</v>
      </c>
      <c r="F236" s="162" t="s">
        <v>760</v>
      </c>
      <c r="G236" s="211" t="s">
        <v>761</v>
      </c>
      <c r="H236" s="3">
        <f t="shared" si="3"/>
        <v>297961.625</v>
      </c>
      <c r="I236" s="3">
        <v>47673.86</v>
      </c>
    </row>
    <row r="237" spans="1:9">
      <c r="A237" t="s">
        <v>2984</v>
      </c>
      <c r="B237" s="1">
        <v>41766</v>
      </c>
      <c r="C237" t="s">
        <v>2985</v>
      </c>
      <c r="D237">
        <v>1</v>
      </c>
      <c r="E237" t="s">
        <v>467</v>
      </c>
      <c r="F237" s="162" t="s">
        <v>760</v>
      </c>
      <c r="G237" s="211" t="s">
        <v>761</v>
      </c>
      <c r="H237" s="3">
        <f t="shared" si="3"/>
        <v>233864.375</v>
      </c>
      <c r="I237" s="3">
        <v>37418.300000000003</v>
      </c>
    </row>
    <row r="238" spans="1:9">
      <c r="A238" t="s">
        <v>2986</v>
      </c>
      <c r="B238" s="1">
        <v>41767</v>
      </c>
      <c r="C238" t="s">
        <v>2987</v>
      </c>
      <c r="D238">
        <v>1</v>
      </c>
      <c r="E238" t="s">
        <v>467</v>
      </c>
      <c r="F238" s="162" t="s">
        <v>760</v>
      </c>
      <c r="G238" s="211" t="s">
        <v>761</v>
      </c>
      <c r="H238" s="3">
        <f t="shared" si="3"/>
        <v>271235.4375</v>
      </c>
      <c r="I238" s="3">
        <v>43397.67</v>
      </c>
    </row>
    <row r="239" spans="1:9">
      <c r="A239" t="s">
        <v>2988</v>
      </c>
      <c r="B239" s="1">
        <v>41767</v>
      </c>
      <c r="C239" t="s">
        <v>2989</v>
      </c>
      <c r="D239">
        <v>1</v>
      </c>
      <c r="E239" t="s">
        <v>467</v>
      </c>
      <c r="F239" s="162" t="s">
        <v>760</v>
      </c>
      <c r="G239" s="211" t="s">
        <v>761</v>
      </c>
      <c r="H239" s="3">
        <f t="shared" si="3"/>
        <v>271235.4375</v>
      </c>
      <c r="I239" s="3">
        <v>43397.67</v>
      </c>
    </row>
    <row r="240" spans="1:9">
      <c r="A240" t="s">
        <v>2990</v>
      </c>
      <c r="B240" s="1">
        <v>41767</v>
      </c>
      <c r="C240" t="s">
        <v>2991</v>
      </c>
      <c r="D240">
        <v>1</v>
      </c>
      <c r="E240" t="s">
        <v>467</v>
      </c>
      <c r="F240" s="162" t="s">
        <v>760</v>
      </c>
      <c r="G240" s="211" t="s">
        <v>761</v>
      </c>
      <c r="H240" s="3">
        <f t="shared" si="3"/>
        <v>182289.6875</v>
      </c>
      <c r="I240" s="3">
        <v>29166.35</v>
      </c>
    </row>
    <row r="241" spans="1:9">
      <c r="A241" t="s">
        <v>2414</v>
      </c>
      <c r="B241" s="1">
        <v>41768</v>
      </c>
      <c r="C241" t="s">
        <v>2992</v>
      </c>
      <c r="D241">
        <v>1</v>
      </c>
      <c r="E241" t="s">
        <v>467</v>
      </c>
      <c r="F241" s="162" t="s">
        <v>760</v>
      </c>
      <c r="G241" s="211" t="s">
        <v>761</v>
      </c>
      <c r="H241" s="3">
        <f t="shared" si="3"/>
        <v>162935.4375</v>
      </c>
      <c r="I241" s="3">
        <v>26069.67</v>
      </c>
    </row>
    <row r="242" spans="1:9">
      <c r="A242" t="s">
        <v>2993</v>
      </c>
      <c r="B242" s="1">
        <v>41768</v>
      </c>
      <c r="C242" t="s">
        <v>2994</v>
      </c>
      <c r="D242">
        <v>1</v>
      </c>
      <c r="E242" t="s">
        <v>467</v>
      </c>
      <c r="F242" s="162" t="s">
        <v>760</v>
      </c>
      <c r="G242" s="211" t="s">
        <v>761</v>
      </c>
      <c r="H242" s="3">
        <f t="shared" si="3"/>
        <v>271235.4375</v>
      </c>
      <c r="I242" s="3">
        <v>43397.67</v>
      </c>
    </row>
    <row r="243" spans="1:9">
      <c r="A243" t="s">
        <v>2996</v>
      </c>
      <c r="B243" s="1">
        <v>41771</v>
      </c>
      <c r="C243" t="s">
        <v>2997</v>
      </c>
      <c r="D243">
        <v>1</v>
      </c>
      <c r="E243" t="s">
        <v>467</v>
      </c>
      <c r="F243" s="162" t="s">
        <v>760</v>
      </c>
      <c r="G243" s="211" t="s">
        <v>761</v>
      </c>
      <c r="H243" s="3">
        <f t="shared" si="3"/>
        <v>148194.375</v>
      </c>
      <c r="I243" s="3">
        <v>23711.1</v>
      </c>
    </row>
    <row r="244" spans="1:9">
      <c r="A244" t="s">
        <v>3004</v>
      </c>
      <c r="B244" s="1">
        <v>41771</v>
      </c>
      <c r="C244" t="s">
        <v>3005</v>
      </c>
      <c r="D244">
        <v>1</v>
      </c>
      <c r="E244" t="s">
        <v>467</v>
      </c>
      <c r="F244" s="162" t="s">
        <v>760</v>
      </c>
      <c r="G244" s="211" t="s">
        <v>761</v>
      </c>
      <c r="H244" s="3">
        <f t="shared" si="3"/>
        <v>264987.5</v>
      </c>
      <c r="I244" s="3">
        <v>42398</v>
      </c>
    </row>
    <row r="245" spans="1:9">
      <c r="A245" t="s">
        <v>3008</v>
      </c>
      <c r="B245" s="1">
        <v>41772</v>
      </c>
      <c r="C245" t="s">
        <v>3009</v>
      </c>
      <c r="D245">
        <v>1</v>
      </c>
      <c r="E245" t="s">
        <v>467</v>
      </c>
      <c r="F245" s="162" t="s">
        <v>760</v>
      </c>
      <c r="G245" s="211" t="s">
        <v>761</v>
      </c>
      <c r="H245" s="3">
        <f t="shared" si="3"/>
        <v>315421.1875</v>
      </c>
      <c r="I245" s="3">
        <v>50467.39</v>
      </c>
    </row>
    <row r="246" spans="1:9">
      <c r="A246" t="s">
        <v>3010</v>
      </c>
      <c r="B246" s="1">
        <v>41772</v>
      </c>
      <c r="C246" t="s">
        <v>3011</v>
      </c>
      <c r="D246">
        <v>1</v>
      </c>
      <c r="E246" t="s">
        <v>467</v>
      </c>
      <c r="F246" s="162" t="s">
        <v>760</v>
      </c>
      <c r="G246" s="211" t="s">
        <v>761</v>
      </c>
      <c r="H246" s="3">
        <f t="shared" si="3"/>
        <v>187966.5</v>
      </c>
      <c r="I246" s="3">
        <v>30074.639999999999</v>
      </c>
    </row>
    <row r="247" spans="1:9">
      <c r="A247" t="s">
        <v>23</v>
      </c>
      <c r="B247" s="1">
        <v>41772</v>
      </c>
      <c r="C247" t="s">
        <v>3012</v>
      </c>
      <c r="D247">
        <v>1</v>
      </c>
      <c r="E247" t="s">
        <v>467</v>
      </c>
      <c r="F247" s="162" t="s">
        <v>760</v>
      </c>
      <c r="G247" s="211" t="s">
        <v>761</v>
      </c>
      <c r="H247" s="3">
        <f t="shared" si="3"/>
        <v>297961.625</v>
      </c>
      <c r="I247" s="3">
        <v>47673.86</v>
      </c>
    </row>
    <row r="248" spans="1:9">
      <c r="A248" t="s">
        <v>3013</v>
      </c>
      <c r="B248" s="1">
        <v>41772</v>
      </c>
      <c r="C248" t="s">
        <v>3014</v>
      </c>
      <c r="D248">
        <v>1</v>
      </c>
      <c r="E248" t="s">
        <v>467</v>
      </c>
      <c r="F248" s="162" t="s">
        <v>760</v>
      </c>
      <c r="G248" s="211" t="s">
        <v>761</v>
      </c>
      <c r="H248" s="3">
        <f t="shared" si="3"/>
        <v>297961.625</v>
      </c>
      <c r="I248" s="3">
        <v>47673.86</v>
      </c>
    </row>
    <row r="249" spans="1:9">
      <c r="A249" t="s">
        <v>3015</v>
      </c>
      <c r="B249" s="1">
        <v>41772</v>
      </c>
      <c r="C249" t="s">
        <v>3016</v>
      </c>
      <c r="D249">
        <v>1</v>
      </c>
      <c r="E249" t="s">
        <v>467</v>
      </c>
      <c r="F249" s="162" t="s">
        <v>760</v>
      </c>
      <c r="G249" s="211" t="s">
        <v>761</v>
      </c>
      <c r="H249" s="3">
        <f t="shared" si="3"/>
        <v>202818.6875</v>
      </c>
      <c r="I249" s="3">
        <v>32450.99</v>
      </c>
    </row>
    <row r="250" spans="1:9">
      <c r="A250" t="s">
        <v>3017</v>
      </c>
      <c r="B250" s="1">
        <v>41772</v>
      </c>
      <c r="C250" t="s">
        <v>3018</v>
      </c>
      <c r="D250">
        <v>1</v>
      </c>
      <c r="E250" t="s">
        <v>467</v>
      </c>
      <c r="F250" s="162" t="s">
        <v>760</v>
      </c>
      <c r="G250" s="211" t="s">
        <v>761</v>
      </c>
      <c r="H250" s="3">
        <f t="shared" si="3"/>
        <v>202818.6875</v>
      </c>
      <c r="I250" s="3">
        <v>32450.99</v>
      </c>
    </row>
    <row r="251" spans="1:9">
      <c r="A251" t="s">
        <v>3019</v>
      </c>
      <c r="B251" s="1">
        <v>41772</v>
      </c>
      <c r="C251" t="s">
        <v>3020</v>
      </c>
      <c r="D251">
        <v>1</v>
      </c>
      <c r="E251" t="s">
        <v>467</v>
      </c>
      <c r="F251" s="162" t="s">
        <v>760</v>
      </c>
      <c r="G251" s="211" t="s">
        <v>761</v>
      </c>
      <c r="H251" s="3">
        <f t="shared" si="3"/>
        <v>187966.5</v>
      </c>
      <c r="I251" s="3">
        <v>30074.639999999999</v>
      </c>
    </row>
    <row r="252" spans="1:9">
      <c r="A252" t="s">
        <v>3021</v>
      </c>
      <c r="B252" s="1">
        <v>41772</v>
      </c>
      <c r="C252" t="s">
        <v>3022</v>
      </c>
      <c r="D252">
        <v>1</v>
      </c>
      <c r="E252" t="s">
        <v>467</v>
      </c>
      <c r="F252" s="162" t="s">
        <v>760</v>
      </c>
      <c r="G252" s="211" t="s">
        <v>761</v>
      </c>
      <c r="H252" s="3">
        <f t="shared" si="3"/>
        <v>246689.9375</v>
      </c>
      <c r="I252" s="3">
        <v>39470.39</v>
      </c>
    </row>
    <row r="253" spans="1:9">
      <c r="A253" t="s">
        <v>3023</v>
      </c>
      <c r="B253" s="1">
        <v>41772</v>
      </c>
      <c r="C253" t="s">
        <v>3024</v>
      </c>
      <c r="D253">
        <v>1</v>
      </c>
      <c r="E253" t="s">
        <v>467</v>
      </c>
      <c r="F253" s="162" t="s">
        <v>760</v>
      </c>
      <c r="G253" s="211" t="s">
        <v>761</v>
      </c>
      <c r="H253" s="3">
        <f t="shared" si="3"/>
        <v>411420.75000000006</v>
      </c>
      <c r="I253" s="3">
        <v>65827.320000000007</v>
      </c>
    </row>
    <row r="254" spans="1:9">
      <c r="A254" t="s">
        <v>3025</v>
      </c>
      <c r="B254" s="1">
        <v>41772</v>
      </c>
      <c r="C254" t="s">
        <v>3026</v>
      </c>
      <c r="D254">
        <v>1</v>
      </c>
      <c r="E254" t="s">
        <v>467</v>
      </c>
      <c r="F254" s="162" t="s">
        <v>760</v>
      </c>
      <c r="G254" s="211" t="s">
        <v>761</v>
      </c>
      <c r="H254" s="3">
        <f t="shared" si="3"/>
        <v>478010.75</v>
      </c>
      <c r="I254" s="3">
        <v>76481.72</v>
      </c>
    </row>
    <row r="255" spans="1:9">
      <c r="A255" t="s">
        <v>3027</v>
      </c>
      <c r="B255" s="1">
        <v>41772</v>
      </c>
      <c r="C255" t="s">
        <v>3028</v>
      </c>
      <c r="D255">
        <v>1</v>
      </c>
      <c r="E255" t="s">
        <v>467</v>
      </c>
      <c r="F255" s="162" t="s">
        <v>760</v>
      </c>
      <c r="G255" s="211" t="s">
        <v>761</v>
      </c>
      <c r="H255" s="3">
        <f t="shared" si="3"/>
        <v>297961.625</v>
      </c>
      <c r="I255" s="3">
        <v>47673.86</v>
      </c>
    </row>
    <row r="256" spans="1:9">
      <c r="A256" t="s">
        <v>3029</v>
      </c>
      <c r="B256" s="1">
        <v>41772</v>
      </c>
      <c r="C256" t="s">
        <v>3030</v>
      </c>
      <c r="D256">
        <v>1</v>
      </c>
      <c r="E256" t="s">
        <v>467</v>
      </c>
      <c r="F256" s="162" t="s">
        <v>760</v>
      </c>
      <c r="G256" s="211" t="s">
        <v>761</v>
      </c>
      <c r="H256" s="3">
        <f t="shared" si="3"/>
        <v>174075.25</v>
      </c>
      <c r="I256" s="3">
        <v>27852.04</v>
      </c>
    </row>
    <row r="257" spans="1:9">
      <c r="A257" t="s">
        <v>3031</v>
      </c>
      <c r="B257" s="1">
        <v>41772</v>
      </c>
      <c r="C257" t="s">
        <v>3032</v>
      </c>
      <c r="D257">
        <v>1</v>
      </c>
      <c r="E257" t="s">
        <v>467</v>
      </c>
      <c r="F257" s="162" t="s">
        <v>760</v>
      </c>
      <c r="G257" s="211" t="s">
        <v>761</v>
      </c>
      <c r="H257" s="3">
        <f t="shared" si="3"/>
        <v>174075.25</v>
      </c>
      <c r="I257" s="3">
        <v>27852.04</v>
      </c>
    </row>
    <row r="258" spans="1:9">
      <c r="A258" t="s">
        <v>3074</v>
      </c>
      <c r="B258" s="1">
        <v>41778</v>
      </c>
      <c r="C258" t="s">
        <v>3075</v>
      </c>
      <c r="D258">
        <v>1</v>
      </c>
      <c r="E258" t="s">
        <v>467</v>
      </c>
      <c r="F258" s="162" t="s">
        <v>760</v>
      </c>
      <c r="G258" s="211" t="s">
        <v>761</v>
      </c>
      <c r="H258" s="3">
        <f t="shared" si="3"/>
        <v>156573.6875</v>
      </c>
      <c r="I258" s="3">
        <v>25051.79</v>
      </c>
    </row>
    <row r="259" spans="1:9">
      <c r="A259" t="s">
        <v>3094</v>
      </c>
      <c r="B259" s="1">
        <v>41782</v>
      </c>
      <c r="C259" t="s">
        <v>3095</v>
      </c>
      <c r="D259">
        <v>1</v>
      </c>
      <c r="E259" t="s">
        <v>467</v>
      </c>
      <c r="F259" s="162" t="s">
        <v>760</v>
      </c>
      <c r="G259" s="211" t="s">
        <v>761</v>
      </c>
      <c r="H259" s="3">
        <f t="shared" si="3"/>
        <v>187966.5</v>
      </c>
      <c r="I259" s="3">
        <v>30074.639999999999</v>
      </c>
    </row>
    <row r="260" spans="1:9">
      <c r="A260" t="s">
        <v>2516</v>
      </c>
      <c r="B260" s="1">
        <v>41785</v>
      </c>
      <c r="C260" t="s">
        <v>3100</v>
      </c>
      <c r="D260">
        <v>1</v>
      </c>
      <c r="E260" t="s">
        <v>467</v>
      </c>
      <c r="F260" s="162" t="s">
        <v>760</v>
      </c>
      <c r="G260" s="211" t="s">
        <v>761</v>
      </c>
      <c r="H260" s="3">
        <f t="shared" si="3"/>
        <v>148194.375</v>
      </c>
      <c r="I260" s="3">
        <v>23711.1</v>
      </c>
    </row>
    <row r="261" spans="1:9">
      <c r="A261" t="s">
        <v>3104</v>
      </c>
      <c r="B261" s="1">
        <v>41785</v>
      </c>
      <c r="C261" t="s">
        <v>3105</v>
      </c>
      <c r="D261">
        <v>1</v>
      </c>
      <c r="E261" t="s">
        <v>467</v>
      </c>
      <c r="F261" s="162" t="s">
        <v>760</v>
      </c>
      <c r="G261" s="211" t="s">
        <v>761</v>
      </c>
      <c r="H261" s="3">
        <f t="shared" si="3"/>
        <v>295915.4375</v>
      </c>
      <c r="I261" s="3">
        <v>47346.47</v>
      </c>
    </row>
    <row r="262" spans="1:9">
      <c r="A262" t="s">
        <v>3106</v>
      </c>
      <c r="B262" s="1">
        <v>41785</v>
      </c>
      <c r="C262" t="s">
        <v>3107</v>
      </c>
      <c r="D262">
        <v>1</v>
      </c>
      <c r="E262" t="s">
        <v>467</v>
      </c>
      <c r="F262" s="162" t="s">
        <v>760</v>
      </c>
      <c r="G262" s="211" t="s">
        <v>761</v>
      </c>
      <c r="H262" s="3">
        <f t="shared" si="3"/>
        <v>162935.75</v>
      </c>
      <c r="I262" s="3">
        <v>26069.72</v>
      </c>
    </row>
    <row r="263" spans="1:9">
      <c r="A263" t="s">
        <v>3108</v>
      </c>
      <c r="B263" s="1">
        <v>41786</v>
      </c>
      <c r="C263" t="s">
        <v>3109</v>
      </c>
      <c r="D263">
        <v>1</v>
      </c>
      <c r="E263" t="s">
        <v>467</v>
      </c>
      <c r="F263" s="162" t="s">
        <v>760</v>
      </c>
      <c r="G263" s="211" t="s">
        <v>761</v>
      </c>
      <c r="H263" s="3">
        <f t="shared" si="3"/>
        <v>153703</v>
      </c>
      <c r="I263" s="3">
        <v>24592.48</v>
      </c>
    </row>
    <row r="264" spans="1:9">
      <c r="A264" t="s">
        <v>3110</v>
      </c>
      <c r="B264" s="1">
        <v>41786</v>
      </c>
      <c r="C264" t="s">
        <v>3111</v>
      </c>
      <c r="D264">
        <v>1</v>
      </c>
      <c r="E264" t="s">
        <v>467</v>
      </c>
      <c r="F264" s="162" t="s">
        <v>760</v>
      </c>
      <c r="G264" s="211" t="s">
        <v>761</v>
      </c>
      <c r="H264" s="3">
        <f t="shared" ref="H264:H420" si="4">+I264/0.16</f>
        <v>170461.625</v>
      </c>
      <c r="I264" s="3">
        <v>27273.86</v>
      </c>
    </row>
    <row r="265" spans="1:9">
      <c r="A265" t="s">
        <v>2553</v>
      </c>
      <c r="B265" s="1">
        <v>41786</v>
      </c>
      <c r="C265" t="s">
        <v>3112</v>
      </c>
      <c r="D265">
        <v>1</v>
      </c>
      <c r="E265" t="s">
        <v>467</v>
      </c>
      <c r="F265" s="162" t="s">
        <v>760</v>
      </c>
      <c r="G265" s="211" t="s">
        <v>761</v>
      </c>
      <c r="H265" s="3">
        <f t="shared" si="4"/>
        <v>156573.6875</v>
      </c>
      <c r="I265" s="3">
        <v>25051.79</v>
      </c>
    </row>
    <row r="266" spans="1:9">
      <c r="A266" t="s">
        <v>3113</v>
      </c>
      <c r="B266" s="1">
        <v>41786</v>
      </c>
      <c r="C266" t="s">
        <v>3114</v>
      </c>
      <c r="D266">
        <v>1</v>
      </c>
      <c r="E266" t="s">
        <v>467</v>
      </c>
      <c r="F266" s="162" t="s">
        <v>760</v>
      </c>
      <c r="G266" s="211" t="s">
        <v>761</v>
      </c>
      <c r="H266" s="3">
        <f t="shared" si="4"/>
        <v>156573.6875</v>
      </c>
      <c r="I266" s="3">
        <v>25051.79</v>
      </c>
    </row>
    <row r="267" spans="1:9">
      <c r="A267" t="s">
        <v>3115</v>
      </c>
      <c r="B267" s="1">
        <v>41786</v>
      </c>
      <c r="C267" t="s">
        <v>3116</v>
      </c>
      <c r="D267">
        <v>1</v>
      </c>
      <c r="E267" t="s">
        <v>467</v>
      </c>
      <c r="F267" s="162" t="s">
        <v>760</v>
      </c>
      <c r="G267" s="211" t="s">
        <v>761</v>
      </c>
      <c r="H267" s="3">
        <f t="shared" si="4"/>
        <v>156573.6875</v>
      </c>
      <c r="I267" s="3">
        <v>25051.79</v>
      </c>
    </row>
    <row r="268" spans="1:9">
      <c r="A268" t="s">
        <v>3124</v>
      </c>
      <c r="B268" s="1">
        <v>41787</v>
      </c>
      <c r="C268" t="s">
        <v>3125</v>
      </c>
      <c r="D268">
        <v>1</v>
      </c>
      <c r="E268" t="s">
        <v>467</v>
      </c>
      <c r="F268" s="162" t="s">
        <v>760</v>
      </c>
      <c r="G268" s="211" t="s">
        <v>761</v>
      </c>
      <c r="H268" s="3">
        <f t="shared" si="4"/>
        <v>174075.25</v>
      </c>
      <c r="I268" s="3">
        <v>27852.04</v>
      </c>
    </row>
    <row r="269" spans="1:9">
      <c r="A269" t="s">
        <v>3126</v>
      </c>
      <c r="B269" s="1">
        <v>41787</v>
      </c>
      <c r="C269" t="s">
        <v>3127</v>
      </c>
      <c r="D269">
        <v>1</v>
      </c>
      <c r="E269" t="s">
        <v>467</v>
      </c>
      <c r="F269" s="162" t="s">
        <v>760</v>
      </c>
      <c r="G269" s="211" t="s">
        <v>761</v>
      </c>
      <c r="H269" s="3">
        <f t="shared" si="4"/>
        <v>174075.25</v>
      </c>
      <c r="I269" s="3">
        <v>27852.04</v>
      </c>
    </row>
    <row r="270" spans="1:9">
      <c r="A270" t="s">
        <v>3128</v>
      </c>
      <c r="B270" s="1">
        <v>41787</v>
      </c>
      <c r="C270" t="s">
        <v>3129</v>
      </c>
      <c r="D270">
        <v>1</v>
      </c>
      <c r="E270" t="s">
        <v>467</v>
      </c>
      <c r="F270" s="162" t="s">
        <v>760</v>
      </c>
      <c r="G270" s="211" t="s">
        <v>761</v>
      </c>
      <c r="H270" s="3">
        <f t="shared" si="4"/>
        <v>202818.6875</v>
      </c>
      <c r="I270" s="3">
        <v>32450.99</v>
      </c>
    </row>
    <row r="271" spans="1:9">
      <c r="A271" t="s">
        <v>1192</v>
      </c>
      <c r="B271" s="1">
        <v>41787</v>
      </c>
      <c r="C271" t="s">
        <v>3130</v>
      </c>
      <c r="D271">
        <v>1</v>
      </c>
      <c r="E271" t="s">
        <v>467</v>
      </c>
      <c r="F271" s="162" t="s">
        <v>760</v>
      </c>
      <c r="G271" s="211" t="s">
        <v>761</v>
      </c>
      <c r="H271" s="3">
        <f t="shared" si="4"/>
        <v>202818.6875</v>
      </c>
      <c r="I271" s="3">
        <v>32450.99</v>
      </c>
    </row>
    <row r="272" spans="1:9">
      <c r="A272" t="s">
        <v>3131</v>
      </c>
      <c r="B272" s="1">
        <v>41787</v>
      </c>
      <c r="C272" t="s">
        <v>3132</v>
      </c>
      <c r="D272">
        <v>1</v>
      </c>
      <c r="E272" t="s">
        <v>467</v>
      </c>
      <c r="F272" s="162" t="s">
        <v>760</v>
      </c>
      <c r="G272" s="211" t="s">
        <v>761</v>
      </c>
      <c r="H272" s="3">
        <f t="shared" si="4"/>
        <v>187966.5</v>
      </c>
      <c r="I272" s="3">
        <v>30074.639999999999</v>
      </c>
    </row>
    <row r="273" spans="1:9">
      <c r="A273" t="s">
        <v>1943</v>
      </c>
      <c r="B273" s="1">
        <v>41787</v>
      </c>
      <c r="C273" t="s">
        <v>3133</v>
      </c>
      <c r="D273">
        <v>1</v>
      </c>
      <c r="E273" t="s">
        <v>467</v>
      </c>
      <c r="F273" s="162" t="s">
        <v>760</v>
      </c>
      <c r="G273" s="211" t="s">
        <v>761</v>
      </c>
      <c r="H273" s="3">
        <f t="shared" si="4"/>
        <v>246689.9375</v>
      </c>
      <c r="I273" s="3">
        <v>39470.39</v>
      </c>
    </row>
    <row r="274" spans="1:9">
      <c r="A274" t="s">
        <v>224</v>
      </c>
      <c r="B274" s="1">
        <v>41787</v>
      </c>
      <c r="C274" t="s">
        <v>3134</v>
      </c>
      <c r="D274">
        <v>1</v>
      </c>
      <c r="E274" t="s">
        <v>467</v>
      </c>
      <c r="F274" s="162" t="s">
        <v>760</v>
      </c>
      <c r="G274" s="211" t="s">
        <v>761</v>
      </c>
      <c r="H274" s="3">
        <f t="shared" si="4"/>
        <v>271235.4375</v>
      </c>
      <c r="I274" s="3">
        <v>43397.67</v>
      </c>
    </row>
    <row r="275" spans="1:9">
      <c r="A275" t="s">
        <v>3135</v>
      </c>
      <c r="B275" s="1">
        <v>41787</v>
      </c>
      <c r="C275" t="s">
        <v>3136</v>
      </c>
      <c r="D275">
        <v>1</v>
      </c>
      <c r="E275" t="s">
        <v>467</v>
      </c>
      <c r="F275" s="162" t="s">
        <v>760</v>
      </c>
      <c r="G275" s="211" t="s">
        <v>761</v>
      </c>
      <c r="H275" s="3">
        <f t="shared" si="4"/>
        <v>139737.5</v>
      </c>
      <c r="I275" s="3">
        <v>22358</v>
      </c>
    </row>
    <row r="276" spans="1:9">
      <c r="A276" t="s">
        <v>3137</v>
      </c>
      <c r="B276" s="1">
        <v>41787</v>
      </c>
      <c r="C276" t="s">
        <v>3138</v>
      </c>
      <c r="D276">
        <v>1</v>
      </c>
      <c r="E276" t="s">
        <v>467</v>
      </c>
      <c r="F276" s="162" t="s">
        <v>760</v>
      </c>
      <c r="G276" s="211" t="s">
        <v>761</v>
      </c>
      <c r="H276" s="3">
        <f t="shared" si="4"/>
        <v>176668.5625</v>
      </c>
      <c r="I276" s="3">
        <v>28266.97</v>
      </c>
    </row>
    <row r="277" spans="1:9">
      <c r="A277" t="s">
        <v>3139</v>
      </c>
      <c r="B277" s="1">
        <v>41787</v>
      </c>
      <c r="C277" t="s">
        <v>3140</v>
      </c>
      <c r="D277">
        <v>1</v>
      </c>
      <c r="E277" t="s">
        <v>467</v>
      </c>
      <c r="F277" s="162" t="s">
        <v>760</v>
      </c>
      <c r="G277" s="211" t="s">
        <v>761</v>
      </c>
      <c r="H277" s="3">
        <f t="shared" si="4"/>
        <v>162935.75</v>
      </c>
      <c r="I277" s="3">
        <v>26069.72</v>
      </c>
    </row>
    <row r="278" spans="1:9">
      <c r="A278" t="s">
        <v>2564</v>
      </c>
      <c r="B278" s="1">
        <v>41787</v>
      </c>
      <c r="C278" t="s">
        <v>3141</v>
      </c>
      <c r="D278">
        <v>1</v>
      </c>
      <c r="E278" t="s">
        <v>467</v>
      </c>
      <c r="F278" s="162" t="s">
        <v>760</v>
      </c>
      <c r="G278" s="211" t="s">
        <v>761</v>
      </c>
      <c r="H278" s="3">
        <f t="shared" si="4"/>
        <v>216185.75</v>
      </c>
      <c r="I278" s="3">
        <v>34589.72</v>
      </c>
    </row>
    <row r="279" spans="1:9">
      <c r="A279" t="s">
        <v>3142</v>
      </c>
      <c r="B279" s="1">
        <v>41787</v>
      </c>
      <c r="C279" t="s">
        <v>3143</v>
      </c>
      <c r="D279">
        <v>1</v>
      </c>
      <c r="E279" t="s">
        <v>467</v>
      </c>
      <c r="F279" s="162" t="s">
        <v>760</v>
      </c>
      <c r="G279" s="211" t="s">
        <v>761</v>
      </c>
      <c r="H279" s="3">
        <f t="shared" si="4"/>
        <v>216185.75</v>
      </c>
      <c r="I279" s="3">
        <v>34589.72</v>
      </c>
    </row>
    <row r="280" spans="1:9">
      <c r="A280" t="s">
        <v>3144</v>
      </c>
      <c r="B280" s="1">
        <v>41787</v>
      </c>
      <c r="C280" t="s">
        <v>3145</v>
      </c>
      <c r="D280">
        <v>1</v>
      </c>
      <c r="E280" t="s">
        <v>467</v>
      </c>
      <c r="F280" s="162" t="s">
        <v>760</v>
      </c>
      <c r="G280" s="211" t="s">
        <v>761</v>
      </c>
      <c r="H280" s="3">
        <f t="shared" si="4"/>
        <v>216185.75</v>
      </c>
      <c r="I280" s="3">
        <v>34589.72</v>
      </c>
    </row>
    <row r="281" spans="1:9">
      <c r="A281" t="s">
        <v>3151</v>
      </c>
      <c r="B281" s="1">
        <v>41787</v>
      </c>
      <c r="C281" t="s">
        <v>3152</v>
      </c>
      <c r="D281">
        <v>1</v>
      </c>
      <c r="E281" t="s">
        <v>467</v>
      </c>
      <c r="F281" s="162" t="s">
        <v>760</v>
      </c>
      <c r="G281" s="211" t="s">
        <v>761</v>
      </c>
      <c r="H281" s="3">
        <f t="shared" si="4"/>
        <v>156573.6875</v>
      </c>
      <c r="I281" s="3">
        <v>25051.79</v>
      </c>
    </row>
    <row r="282" spans="1:9">
      <c r="A282" t="s">
        <v>2572</v>
      </c>
      <c r="B282" s="1">
        <v>41787</v>
      </c>
      <c r="C282" t="s">
        <v>3153</v>
      </c>
      <c r="D282">
        <v>1</v>
      </c>
      <c r="E282" t="s">
        <v>467</v>
      </c>
      <c r="F282" s="162" t="s">
        <v>760</v>
      </c>
      <c r="G282" s="211" t="s">
        <v>761</v>
      </c>
      <c r="H282" s="3">
        <f t="shared" si="4"/>
        <v>264987.5</v>
      </c>
      <c r="I282" s="3">
        <v>42398</v>
      </c>
    </row>
    <row r="283" spans="1:9">
      <c r="A283" t="s">
        <v>3154</v>
      </c>
      <c r="B283" s="1">
        <v>41788</v>
      </c>
      <c r="C283" t="s">
        <v>3155</v>
      </c>
      <c r="D283">
        <v>1</v>
      </c>
      <c r="E283" t="s">
        <v>467</v>
      </c>
      <c r="F283" s="162" t="s">
        <v>760</v>
      </c>
      <c r="G283" s="211" t="s">
        <v>761</v>
      </c>
      <c r="H283" s="3">
        <f t="shared" si="4"/>
        <v>170461.625</v>
      </c>
      <c r="I283" s="3">
        <v>27273.86</v>
      </c>
    </row>
    <row r="284" spans="1:9">
      <c r="A284" t="s">
        <v>3156</v>
      </c>
      <c r="B284" s="1">
        <v>41788</v>
      </c>
      <c r="C284" t="s">
        <v>3157</v>
      </c>
      <c r="D284">
        <v>1</v>
      </c>
      <c r="E284" t="s">
        <v>467</v>
      </c>
      <c r="F284" s="162" t="s">
        <v>760</v>
      </c>
      <c r="G284" s="211" t="s">
        <v>761</v>
      </c>
      <c r="H284" s="3">
        <f t="shared" si="4"/>
        <v>170461.625</v>
      </c>
      <c r="I284" s="3">
        <v>27273.86</v>
      </c>
    </row>
    <row r="285" spans="1:9">
      <c r="A285" t="s">
        <v>3158</v>
      </c>
      <c r="B285" s="1">
        <v>41788</v>
      </c>
      <c r="C285" t="s">
        <v>3159</v>
      </c>
      <c r="D285">
        <v>1</v>
      </c>
      <c r="E285" t="s">
        <v>467</v>
      </c>
      <c r="F285" s="162" t="s">
        <v>760</v>
      </c>
      <c r="G285" s="211" t="s">
        <v>761</v>
      </c>
      <c r="H285" s="3">
        <f t="shared" si="4"/>
        <v>271235.4375</v>
      </c>
      <c r="I285" s="3">
        <v>43397.67</v>
      </c>
    </row>
    <row r="286" spans="1:9">
      <c r="A286" t="s">
        <v>3160</v>
      </c>
      <c r="B286" s="1">
        <v>41788</v>
      </c>
      <c r="C286" t="s">
        <v>3161</v>
      </c>
      <c r="D286">
        <v>1</v>
      </c>
      <c r="E286" t="s">
        <v>467</v>
      </c>
      <c r="F286" s="162" t="s">
        <v>760</v>
      </c>
      <c r="G286" s="211" t="s">
        <v>761</v>
      </c>
      <c r="H286" s="3">
        <f t="shared" si="4"/>
        <v>295915.4375</v>
      </c>
      <c r="I286" s="3">
        <v>47346.47</v>
      </c>
    </row>
    <row r="287" spans="1:9">
      <c r="A287" t="s">
        <v>3162</v>
      </c>
      <c r="B287" s="1">
        <v>41788</v>
      </c>
      <c r="C287" t="s">
        <v>3163</v>
      </c>
      <c r="D287">
        <v>1</v>
      </c>
      <c r="E287" t="s">
        <v>467</v>
      </c>
      <c r="F287" s="162" t="s">
        <v>760</v>
      </c>
      <c r="G287" s="211" t="s">
        <v>761</v>
      </c>
      <c r="H287" s="3">
        <f t="shared" si="4"/>
        <v>295915.4375</v>
      </c>
      <c r="I287" s="3">
        <v>47346.47</v>
      </c>
    </row>
    <row r="288" spans="1:9">
      <c r="A288" t="s">
        <v>3164</v>
      </c>
      <c r="B288" s="1">
        <v>41788</v>
      </c>
      <c r="C288" t="s">
        <v>3165</v>
      </c>
      <c r="D288">
        <v>1</v>
      </c>
      <c r="E288" t="s">
        <v>467</v>
      </c>
      <c r="F288" s="162" t="s">
        <v>760</v>
      </c>
      <c r="G288" s="211" t="s">
        <v>761</v>
      </c>
      <c r="H288" s="3">
        <f t="shared" si="4"/>
        <v>322977.8125</v>
      </c>
      <c r="I288" s="3">
        <v>51676.45</v>
      </c>
    </row>
    <row r="289" spans="1:11">
      <c r="A289" t="s">
        <v>3166</v>
      </c>
      <c r="B289" s="1">
        <v>41788</v>
      </c>
      <c r="C289" t="s">
        <v>1861</v>
      </c>
      <c r="D289">
        <v>1</v>
      </c>
      <c r="E289" t="s">
        <v>467</v>
      </c>
      <c r="F289" s="162" t="s">
        <v>760</v>
      </c>
      <c r="G289" s="211" t="s">
        <v>761</v>
      </c>
      <c r="H289" s="3">
        <f t="shared" si="4"/>
        <v>-168289.25</v>
      </c>
      <c r="I289" s="3">
        <v>-26926.28</v>
      </c>
      <c r="J289" s="2"/>
    </row>
    <row r="290" spans="1:11">
      <c r="A290" t="s">
        <v>3167</v>
      </c>
      <c r="B290" s="1">
        <v>41788</v>
      </c>
      <c r="C290" t="s">
        <v>1861</v>
      </c>
      <c r="D290">
        <v>1</v>
      </c>
      <c r="E290" t="s">
        <v>467</v>
      </c>
      <c r="F290" s="162" t="s">
        <v>760</v>
      </c>
      <c r="G290" s="211" t="s">
        <v>761</v>
      </c>
      <c r="H290" s="3">
        <f t="shared" si="4"/>
        <v>148194.375</v>
      </c>
      <c r="I290" s="3">
        <v>23711.1</v>
      </c>
    </row>
    <row r="291" spans="1:11">
      <c r="A291" t="s">
        <v>1201</v>
      </c>
      <c r="B291" s="1">
        <v>41788</v>
      </c>
      <c r="C291" t="s">
        <v>3173</v>
      </c>
      <c r="D291">
        <v>1</v>
      </c>
      <c r="E291" t="s">
        <v>467</v>
      </c>
      <c r="F291" s="162" t="s">
        <v>760</v>
      </c>
      <c r="G291" s="211" t="s">
        <v>761</v>
      </c>
      <c r="H291" s="3">
        <f t="shared" si="4"/>
        <v>148194.375</v>
      </c>
      <c r="I291" s="3">
        <v>23711.1</v>
      </c>
    </row>
    <row r="292" spans="1:11">
      <c r="A292" t="s">
        <v>81</v>
      </c>
      <c r="B292" s="1">
        <v>41774</v>
      </c>
      <c r="C292">
        <v>10153</v>
      </c>
      <c r="D292">
        <v>1</v>
      </c>
      <c r="E292" t="s">
        <v>1769</v>
      </c>
      <c r="F292" s="191" t="s">
        <v>2317</v>
      </c>
      <c r="G292" s="192" t="s">
        <v>1769</v>
      </c>
      <c r="H292" s="3">
        <f t="shared" si="4"/>
        <v>350</v>
      </c>
      <c r="I292" s="3">
        <v>56</v>
      </c>
    </row>
    <row r="293" spans="1:11">
      <c r="A293" t="s">
        <v>1739</v>
      </c>
      <c r="B293" s="1">
        <v>41773</v>
      </c>
      <c r="C293" t="s">
        <v>3046</v>
      </c>
      <c r="D293">
        <v>1</v>
      </c>
      <c r="E293" t="s">
        <v>3047</v>
      </c>
      <c r="F293" s="191" t="s">
        <v>901</v>
      </c>
      <c r="G293" s="192" t="s">
        <v>1598</v>
      </c>
      <c r="H293" s="212">
        <f>I293/0.16</f>
        <v>88.8125</v>
      </c>
      <c r="I293" s="212">
        <v>14.21</v>
      </c>
      <c r="J293" s="3"/>
      <c r="K293" s="3"/>
    </row>
    <row r="294" spans="1:11">
      <c r="A294" t="s">
        <v>1739</v>
      </c>
      <c r="B294" s="1">
        <v>41773</v>
      </c>
      <c r="C294" t="s">
        <v>3046</v>
      </c>
      <c r="D294">
        <v>1</v>
      </c>
      <c r="E294" t="s">
        <v>3047</v>
      </c>
      <c r="F294" s="191" t="s">
        <v>923</v>
      </c>
      <c r="G294" s="192" t="s">
        <v>927</v>
      </c>
      <c r="H294" s="212">
        <f>I294/0.16</f>
        <v>298.25</v>
      </c>
      <c r="I294" s="212">
        <v>47.72</v>
      </c>
    </row>
    <row r="295" spans="1:11">
      <c r="A295" t="s">
        <v>1739</v>
      </c>
      <c r="B295" s="1">
        <v>41773</v>
      </c>
      <c r="C295" t="s">
        <v>3046</v>
      </c>
      <c r="D295">
        <v>1</v>
      </c>
      <c r="E295" t="s">
        <v>3047</v>
      </c>
      <c r="F295" s="191" t="s">
        <v>1591</v>
      </c>
      <c r="G295" s="192" t="s">
        <v>2917</v>
      </c>
      <c r="H295" s="212">
        <f>I295/0.16</f>
        <v>335.0625</v>
      </c>
      <c r="I295" s="212">
        <v>53.61</v>
      </c>
    </row>
    <row r="296" spans="1:11">
      <c r="A296" t="s">
        <v>1739</v>
      </c>
      <c r="B296" s="1">
        <v>41773</v>
      </c>
      <c r="C296" t="s">
        <v>3046</v>
      </c>
      <c r="D296">
        <v>1</v>
      </c>
      <c r="E296" t="s">
        <v>3047</v>
      </c>
      <c r="F296" s="187" t="s">
        <v>763</v>
      </c>
      <c r="G296" t="s">
        <v>900</v>
      </c>
      <c r="H296" s="141">
        <f t="shared" ref="H296" si="5">I296/0.16</f>
        <v>274.25</v>
      </c>
      <c r="I296" s="141">
        <v>43.88</v>
      </c>
      <c r="J296" s="13">
        <f>996.38-H293-H294-H295-H296</f>
        <v>4.9999999999954525E-3</v>
      </c>
      <c r="K296" s="13">
        <f>159.42-I293-I294-I295-I296</f>
        <v>0</v>
      </c>
    </row>
    <row r="297" spans="1:11">
      <c r="A297" t="s">
        <v>411</v>
      </c>
      <c r="B297" s="1">
        <v>41790</v>
      </c>
      <c r="C297" t="s">
        <v>3241</v>
      </c>
      <c r="D297">
        <v>1</v>
      </c>
      <c r="E297" t="s">
        <v>3242</v>
      </c>
      <c r="F297" s="191" t="s">
        <v>923</v>
      </c>
      <c r="G297" s="192" t="s">
        <v>927</v>
      </c>
      <c r="H297" s="212">
        <f t="shared" ref="H297:H308" si="6">I297/0.16</f>
        <v>300.875</v>
      </c>
      <c r="I297" s="212">
        <v>48.14</v>
      </c>
      <c r="J297" s="3"/>
      <c r="K297" s="3"/>
    </row>
    <row r="298" spans="1:11">
      <c r="A298" t="s">
        <v>411</v>
      </c>
      <c r="B298" s="1">
        <v>41790</v>
      </c>
      <c r="C298" t="s">
        <v>3241</v>
      </c>
      <c r="D298">
        <v>1</v>
      </c>
      <c r="E298" t="s">
        <v>3242</v>
      </c>
      <c r="F298" s="191" t="s">
        <v>1629</v>
      </c>
      <c r="G298" s="192" t="s">
        <v>1630</v>
      </c>
      <c r="H298" s="212">
        <f t="shared" si="6"/>
        <v>1796.5625</v>
      </c>
      <c r="I298" s="212">
        <v>287.45</v>
      </c>
    </row>
    <row r="299" spans="1:11">
      <c r="A299" t="s">
        <v>411</v>
      </c>
      <c r="B299" s="1">
        <v>41790</v>
      </c>
      <c r="C299" t="s">
        <v>3241</v>
      </c>
      <c r="D299">
        <v>1</v>
      </c>
      <c r="E299" t="s">
        <v>3242</v>
      </c>
      <c r="F299" s="191" t="s">
        <v>3483</v>
      </c>
      <c r="G299" s="192" t="s">
        <v>3484</v>
      </c>
      <c r="H299" s="212">
        <f t="shared" si="6"/>
        <v>644.9375</v>
      </c>
      <c r="I299" s="212">
        <v>103.19</v>
      </c>
    </row>
    <row r="300" spans="1:11">
      <c r="A300" t="s">
        <v>411</v>
      </c>
      <c r="B300" s="1">
        <v>41790</v>
      </c>
      <c r="C300" t="s">
        <v>3241</v>
      </c>
      <c r="D300">
        <v>1</v>
      </c>
      <c r="E300" t="s">
        <v>3242</v>
      </c>
      <c r="F300" s="191" t="s">
        <v>3485</v>
      </c>
      <c r="G300" s="192" t="s">
        <v>3486</v>
      </c>
      <c r="H300" s="212">
        <f t="shared" si="6"/>
        <v>86.187499999999986</v>
      </c>
      <c r="I300" s="212">
        <v>13.79</v>
      </c>
    </row>
    <row r="301" spans="1:11">
      <c r="A301" t="s">
        <v>411</v>
      </c>
      <c r="B301" s="1">
        <v>41790</v>
      </c>
      <c r="C301" t="s">
        <v>3241</v>
      </c>
      <c r="D301">
        <v>1</v>
      </c>
      <c r="E301" t="s">
        <v>3242</v>
      </c>
      <c r="F301" s="191" t="s">
        <v>3485</v>
      </c>
      <c r="G301" s="192" t="s">
        <v>3486</v>
      </c>
      <c r="H301" s="212">
        <f t="shared" si="6"/>
        <v>450</v>
      </c>
      <c r="I301" s="212">
        <v>72</v>
      </c>
    </row>
    <row r="302" spans="1:11">
      <c r="A302" t="s">
        <v>411</v>
      </c>
      <c r="B302" s="1">
        <v>41790</v>
      </c>
      <c r="C302" t="s">
        <v>3241</v>
      </c>
      <c r="D302">
        <v>1</v>
      </c>
      <c r="E302" t="s">
        <v>3242</v>
      </c>
      <c r="F302" s="191" t="s">
        <v>3487</v>
      </c>
      <c r="G302" s="192" t="s">
        <v>3488</v>
      </c>
      <c r="H302" s="212">
        <f t="shared" si="6"/>
        <v>112.0625</v>
      </c>
      <c r="I302" s="212">
        <v>17.93</v>
      </c>
    </row>
    <row r="303" spans="1:11">
      <c r="A303" t="s">
        <v>411</v>
      </c>
      <c r="B303" s="1">
        <v>41790</v>
      </c>
      <c r="C303" t="s">
        <v>3241</v>
      </c>
      <c r="D303">
        <v>1</v>
      </c>
      <c r="E303" t="s">
        <v>3242</v>
      </c>
      <c r="F303" s="191" t="s">
        <v>3489</v>
      </c>
      <c r="G303" s="192" t="s">
        <v>3490</v>
      </c>
      <c r="H303" s="212">
        <f t="shared" si="6"/>
        <v>460.75</v>
      </c>
      <c r="I303" s="212">
        <v>73.72</v>
      </c>
    </row>
    <row r="304" spans="1:11">
      <c r="A304" t="s">
        <v>411</v>
      </c>
      <c r="B304" s="1">
        <v>41790</v>
      </c>
      <c r="C304" t="s">
        <v>3241</v>
      </c>
      <c r="D304">
        <v>1</v>
      </c>
      <c r="E304" t="s">
        <v>3242</v>
      </c>
      <c r="F304" s="191" t="s">
        <v>3491</v>
      </c>
      <c r="G304" s="192" t="s">
        <v>3492</v>
      </c>
      <c r="H304" s="212">
        <f t="shared" si="6"/>
        <v>670.0625</v>
      </c>
      <c r="I304" s="212">
        <v>107.21</v>
      </c>
    </row>
    <row r="305" spans="1:11">
      <c r="A305" t="s">
        <v>411</v>
      </c>
      <c r="B305" s="1">
        <v>41790</v>
      </c>
      <c r="C305" t="s">
        <v>3241</v>
      </c>
      <c r="D305">
        <v>1</v>
      </c>
      <c r="E305" t="s">
        <v>3242</v>
      </c>
      <c r="F305" s="191" t="s">
        <v>3493</v>
      </c>
      <c r="G305" s="192" t="s">
        <v>3494</v>
      </c>
      <c r="H305" s="212">
        <f t="shared" si="6"/>
        <v>114.625</v>
      </c>
      <c r="I305" s="212">
        <v>18.34</v>
      </c>
    </row>
    <row r="306" spans="1:11">
      <c r="A306" t="s">
        <v>411</v>
      </c>
      <c r="B306" s="1">
        <v>41790</v>
      </c>
      <c r="C306" t="s">
        <v>3241</v>
      </c>
      <c r="D306">
        <v>1</v>
      </c>
      <c r="E306" t="s">
        <v>3242</v>
      </c>
      <c r="F306" s="191" t="s">
        <v>919</v>
      </c>
      <c r="G306" s="192" t="s">
        <v>920</v>
      </c>
      <c r="H306" s="212">
        <f t="shared" si="6"/>
        <v>293.1875</v>
      </c>
      <c r="I306" s="212">
        <v>46.91</v>
      </c>
    </row>
    <row r="307" spans="1:11">
      <c r="A307" t="s">
        <v>411</v>
      </c>
      <c r="B307" s="1">
        <v>41790</v>
      </c>
      <c r="C307" t="s">
        <v>3241</v>
      </c>
      <c r="D307">
        <v>1</v>
      </c>
      <c r="E307" t="s">
        <v>3242</v>
      </c>
      <c r="F307" s="210" t="s">
        <v>3495</v>
      </c>
      <c r="G307" s="192" t="s">
        <v>3496</v>
      </c>
      <c r="H307" s="212">
        <f t="shared" si="6"/>
        <v>670.3125</v>
      </c>
      <c r="I307" s="212">
        <v>107.25</v>
      </c>
    </row>
    <row r="308" spans="1:11">
      <c r="A308" t="s">
        <v>411</v>
      </c>
      <c r="B308" s="1">
        <v>41790</v>
      </c>
      <c r="C308" t="s">
        <v>3241</v>
      </c>
      <c r="D308">
        <v>1</v>
      </c>
      <c r="E308" t="s">
        <v>3242</v>
      </c>
      <c r="F308" s="191" t="s">
        <v>3497</v>
      </c>
      <c r="G308" s="192" t="s">
        <v>3498</v>
      </c>
      <c r="H308" s="212">
        <f t="shared" si="6"/>
        <v>112.0625</v>
      </c>
      <c r="I308" s="212">
        <v>17.93</v>
      </c>
    </row>
    <row r="309" spans="1:11">
      <c r="A309" t="s">
        <v>411</v>
      </c>
      <c r="B309" s="1">
        <v>41790</v>
      </c>
      <c r="C309" t="s">
        <v>3241</v>
      </c>
      <c r="D309">
        <v>1</v>
      </c>
      <c r="E309" t="s">
        <v>3242</v>
      </c>
      <c r="F309" s="187" t="s">
        <v>763</v>
      </c>
      <c r="G309" t="s">
        <v>900</v>
      </c>
      <c r="H309" s="141">
        <f t="shared" ref="H309:H311" si="7">I309/0.16</f>
        <v>569.8125</v>
      </c>
      <c r="I309" s="141">
        <v>91.17</v>
      </c>
    </row>
    <row r="310" spans="1:11">
      <c r="A310" t="s">
        <v>411</v>
      </c>
      <c r="B310" s="1">
        <v>41790</v>
      </c>
      <c r="C310" t="s">
        <v>3241</v>
      </c>
      <c r="D310">
        <v>1</v>
      </c>
      <c r="E310" t="s">
        <v>3242</v>
      </c>
      <c r="F310" s="187" t="s">
        <v>763</v>
      </c>
      <c r="G310" t="s">
        <v>900</v>
      </c>
      <c r="H310" s="141">
        <f t="shared" si="7"/>
        <v>444.0625</v>
      </c>
      <c r="I310" s="141">
        <v>71.05</v>
      </c>
      <c r="J310" s="13">
        <f>6725.5-H297-H298-H299-H300-H301-H302-H303-H304-H305-H306-H307-H308-H310-H309</f>
        <v>0</v>
      </c>
      <c r="K310" s="13">
        <f>1076.08-I297-I298-I300-I299-I301-I302-I303-I304-I305-I306-I307-I308-I309-I310</f>
        <v>-1.4210854715202004E-13</v>
      </c>
    </row>
    <row r="311" spans="1:11">
      <c r="A311" t="s">
        <v>374</v>
      </c>
      <c r="B311" s="1">
        <v>41790</v>
      </c>
      <c r="C311">
        <v>10188</v>
      </c>
      <c r="D311">
        <v>1</v>
      </c>
      <c r="E311" t="s">
        <v>3222</v>
      </c>
      <c r="F311" s="187" t="s">
        <v>763</v>
      </c>
      <c r="G311" t="s">
        <v>900</v>
      </c>
      <c r="H311" s="141">
        <f t="shared" si="7"/>
        <v>155.25</v>
      </c>
      <c r="I311" s="141">
        <v>24.84</v>
      </c>
      <c r="J311" s="3"/>
      <c r="K311" s="3"/>
    </row>
    <row r="312" spans="1:11">
      <c r="A312" t="s">
        <v>374</v>
      </c>
      <c r="B312" s="1">
        <v>41790</v>
      </c>
      <c r="C312">
        <v>10188</v>
      </c>
      <c r="D312">
        <v>1</v>
      </c>
      <c r="E312" t="s">
        <v>3222</v>
      </c>
      <c r="F312" s="191" t="s">
        <v>901</v>
      </c>
      <c r="G312" s="192" t="s">
        <v>1598</v>
      </c>
      <c r="H312" s="212">
        <f>I312/0.16</f>
        <v>75.875</v>
      </c>
      <c r="I312" s="212">
        <v>12.14</v>
      </c>
      <c r="J312" s="3"/>
      <c r="K312" s="3"/>
    </row>
    <row r="313" spans="1:11">
      <c r="A313" t="s">
        <v>374</v>
      </c>
      <c r="B313" s="1">
        <v>41790</v>
      </c>
      <c r="C313">
        <v>10188</v>
      </c>
      <c r="D313">
        <v>1</v>
      </c>
      <c r="E313" t="s">
        <v>3222</v>
      </c>
      <c r="F313" s="191" t="s">
        <v>923</v>
      </c>
      <c r="G313" s="192" t="s">
        <v>927</v>
      </c>
      <c r="H313" s="212">
        <f>I313/0.16</f>
        <v>200</v>
      </c>
      <c r="I313" s="212">
        <v>32</v>
      </c>
      <c r="J313" s="3"/>
      <c r="K313" s="3"/>
    </row>
    <row r="314" spans="1:11">
      <c r="A314" t="s">
        <v>374</v>
      </c>
      <c r="B314" s="1">
        <v>41790</v>
      </c>
      <c r="C314">
        <v>10188</v>
      </c>
      <c r="D314">
        <v>1</v>
      </c>
      <c r="E314" t="s">
        <v>3222</v>
      </c>
      <c r="F314" s="191" t="s">
        <v>923</v>
      </c>
      <c r="G314" s="192" t="s">
        <v>927</v>
      </c>
      <c r="H314" s="212">
        <f>I314/0.16</f>
        <v>54.312499999999993</v>
      </c>
      <c r="I314" s="212">
        <v>8.69</v>
      </c>
      <c r="J314" s="3"/>
      <c r="K314" s="3"/>
    </row>
    <row r="315" spans="1:11">
      <c r="A315" t="s">
        <v>374</v>
      </c>
      <c r="B315" s="1">
        <v>41790</v>
      </c>
      <c r="C315">
        <v>10188</v>
      </c>
      <c r="D315">
        <v>1</v>
      </c>
      <c r="E315" t="s">
        <v>3222</v>
      </c>
      <c r="F315" s="191" t="s">
        <v>2338</v>
      </c>
      <c r="G315" s="192" t="s">
        <v>2339</v>
      </c>
      <c r="H315" s="212">
        <f>I315/0.16</f>
        <v>330.875</v>
      </c>
      <c r="I315" s="212">
        <v>52.94</v>
      </c>
      <c r="J315" s="3">
        <f>816.31-H311-H313-H312-H315-H314</f>
        <v>-2.5000000000474643E-3</v>
      </c>
      <c r="K315" s="3">
        <f>130.61-I311-I312-I313-I314-I315</f>
        <v>0</v>
      </c>
    </row>
    <row r="316" spans="1:11" ht="16.5" customHeight="1">
      <c r="A316" t="s">
        <v>372</v>
      </c>
      <c r="B316" s="1">
        <v>41790</v>
      </c>
      <c r="C316">
        <v>10186</v>
      </c>
      <c r="D316">
        <v>1</v>
      </c>
      <c r="E316" t="s">
        <v>3221</v>
      </c>
      <c r="F316" s="187" t="s">
        <v>1553</v>
      </c>
      <c r="G316" t="s">
        <v>900</v>
      </c>
      <c r="H316" s="141">
        <f t="shared" ref="H316" si="8">I316/0.16</f>
        <v>245.75</v>
      </c>
      <c r="I316" s="141">
        <v>39.32</v>
      </c>
      <c r="J316" s="3"/>
      <c r="K316" s="3"/>
    </row>
    <row r="317" spans="1:11" ht="16.5" customHeight="1">
      <c r="A317" t="s">
        <v>372</v>
      </c>
      <c r="B317" s="1">
        <v>41790</v>
      </c>
      <c r="C317">
        <v>10186</v>
      </c>
      <c r="D317">
        <v>1</v>
      </c>
      <c r="E317" t="s">
        <v>3221</v>
      </c>
      <c r="F317" s="191" t="s">
        <v>1649</v>
      </c>
      <c r="G317" s="192" t="s">
        <v>2896</v>
      </c>
      <c r="H317" s="212">
        <f t="shared" ref="H317:H324" si="9">I317/0.16</f>
        <v>271.5625</v>
      </c>
      <c r="I317" s="212">
        <v>43.45</v>
      </c>
      <c r="J317" s="3"/>
      <c r="K317" s="3"/>
    </row>
    <row r="318" spans="1:11" ht="16.5" customHeight="1">
      <c r="A318" t="s">
        <v>372</v>
      </c>
      <c r="B318" s="1">
        <v>41790</v>
      </c>
      <c r="C318">
        <v>10186</v>
      </c>
      <c r="D318">
        <v>1</v>
      </c>
      <c r="E318" t="s">
        <v>3221</v>
      </c>
      <c r="F318" s="210" t="s">
        <v>923</v>
      </c>
      <c r="G318" s="192" t="s">
        <v>927</v>
      </c>
      <c r="H318" s="212">
        <f t="shared" si="9"/>
        <v>53.4375</v>
      </c>
      <c r="I318" s="212">
        <v>8.5500000000000007</v>
      </c>
      <c r="J318" s="3"/>
      <c r="K318" s="3"/>
    </row>
    <row r="319" spans="1:11" ht="16.5" customHeight="1">
      <c r="A319" t="s">
        <v>372</v>
      </c>
      <c r="B319" s="1">
        <v>41790</v>
      </c>
      <c r="C319">
        <v>10186</v>
      </c>
      <c r="D319">
        <v>1</v>
      </c>
      <c r="E319" t="s">
        <v>3221</v>
      </c>
      <c r="F319" s="191" t="s">
        <v>923</v>
      </c>
      <c r="G319" s="192" t="s">
        <v>927</v>
      </c>
      <c r="H319" s="212">
        <f t="shared" si="9"/>
        <v>22.4375</v>
      </c>
      <c r="I319" s="212">
        <v>3.59</v>
      </c>
      <c r="J319" s="3"/>
      <c r="K319" s="3"/>
    </row>
    <row r="320" spans="1:11" ht="16.5" customHeight="1">
      <c r="A320" t="s">
        <v>372</v>
      </c>
      <c r="B320" s="1">
        <v>41790</v>
      </c>
      <c r="C320">
        <v>10186</v>
      </c>
      <c r="D320">
        <v>1</v>
      </c>
      <c r="E320" t="s">
        <v>3221</v>
      </c>
      <c r="F320" s="191" t="s">
        <v>923</v>
      </c>
      <c r="G320" s="192" t="s">
        <v>927</v>
      </c>
      <c r="H320" s="212">
        <f t="shared" si="9"/>
        <v>53.4375</v>
      </c>
      <c r="I320" s="212">
        <v>8.5500000000000007</v>
      </c>
      <c r="J320" s="3"/>
      <c r="K320" s="3"/>
    </row>
    <row r="321" spans="1:11" ht="16.5" customHeight="1">
      <c r="A321" t="s">
        <v>372</v>
      </c>
      <c r="B321" s="1">
        <v>41790</v>
      </c>
      <c r="C321">
        <v>10186</v>
      </c>
      <c r="D321">
        <v>1</v>
      </c>
      <c r="E321" t="s">
        <v>3221</v>
      </c>
      <c r="F321" s="191" t="s">
        <v>3500</v>
      </c>
      <c r="G321" s="192" t="s">
        <v>3501</v>
      </c>
      <c r="H321" s="212">
        <f t="shared" si="9"/>
        <v>418.8125</v>
      </c>
      <c r="I321" s="212">
        <v>67.010000000000005</v>
      </c>
      <c r="J321" s="3"/>
      <c r="K321" s="3"/>
    </row>
    <row r="322" spans="1:11" ht="16.5" customHeight="1">
      <c r="A322" t="s">
        <v>372</v>
      </c>
      <c r="B322" s="1">
        <v>41790</v>
      </c>
      <c r="C322">
        <v>10186</v>
      </c>
      <c r="D322">
        <v>1</v>
      </c>
      <c r="E322" t="s">
        <v>3221</v>
      </c>
      <c r="F322" s="191" t="s">
        <v>897</v>
      </c>
      <c r="G322" s="192" t="s">
        <v>898</v>
      </c>
      <c r="H322" s="212">
        <f t="shared" si="9"/>
        <v>62.9375</v>
      </c>
      <c r="I322" s="212">
        <v>10.07</v>
      </c>
      <c r="J322" s="3"/>
      <c r="K322" s="3"/>
    </row>
    <row r="323" spans="1:11" ht="16.5" customHeight="1">
      <c r="A323" t="s">
        <v>372</v>
      </c>
      <c r="B323" s="1">
        <v>41790</v>
      </c>
      <c r="C323">
        <v>10186</v>
      </c>
      <c r="D323">
        <v>1</v>
      </c>
      <c r="E323" t="s">
        <v>3221</v>
      </c>
      <c r="F323" s="191" t="s">
        <v>3502</v>
      </c>
      <c r="G323" s="192" t="s">
        <v>3503</v>
      </c>
      <c r="H323" s="212">
        <f t="shared" si="9"/>
        <v>125.24999999999999</v>
      </c>
      <c r="I323" s="212">
        <v>20.04</v>
      </c>
      <c r="J323" s="3"/>
      <c r="K323" s="3"/>
    </row>
    <row r="324" spans="1:11" ht="16.5" customHeight="1">
      <c r="A324" t="s">
        <v>372</v>
      </c>
      <c r="B324" s="1">
        <v>41790</v>
      </c>
      <c r="C324">
        <v>10186</v>
      </c>
      <c r="D324">
        <v>1</v>
      </c>
      <c r="E324" t="s">
        <v>3221</v>
      </c>
      <c r="F324" s="191" t="s">
        <v>3504</v>
      </c>
      <c r="G324" s="192" t="s">
        <v>3505</v>
      </c>
      <c r="H324" s="212">
        <f t="shared" si="9"/>
        <v>51.749999999999993</v>
      </c>
      <c r="I324" s="212">
        <v>8.2799999999999994</v>
      </c>
      <c r="J324" s="3">
        <f>1305.38-H316-H317-H318-H319-H320-H321-H322-H323-H324</f>
        <v>5.0000000001304556E-3</v>
      </c>
      <c r="K324" s="3">
        <f>208.86-I316-I318-I319-I317-I320-I321-I322-I323-I324</f>
        <v>0</v>
      </c>
    </row>
    <row r="325" spans="1:11">
      <c r="A325" t="s">
        <v>332</v>
      </c>
      <c r="B325" s="1">
        <v>41790</v>
      </c>
      <c r="C325" t="s">
        <v>3215</v>
      </c>
      <c r="D325">
        <v>1</v>
      </c>
      <c r="E325" t="s">
        <v>3216</v>
      </c>
      <c r="F325" s="187" t="s">
        <v>763</v>
      </c>
      <c r="G325" t="s">
        <v>900</v>
      </c>
      <c r="H325" s="3">
        <f t="shared" ref="H325" si="10">I325/0.16</f>
        <v>116.43749999999999</v>
      </c>
      <c r="I325" s="141">
        <v>18.63</v>
      </c>
      <c r="J325" s="3"/>
      <c r="K325" s="3"/>
    </row>
    <row r="326" spans="1:11">
      <c r="A326" t="s">
        <v>332</v>
      </c>
      <c r="B326" s="1">
        <v>41790</v>
      </c>
      <c r="C326" t="s">
        <v>3215</v>
      </c>
      <c r="D326">
        <v>1</v>
      </c>
      <c r="E326" t="s">
        <v>3216</v>
      </c>
      <c r="F326" s="191" t="s">
        <v>1649</v>
      </c>
      <c r="G326" s="192" t="s">
        <v>2896</v>
      </c>
      <c r="H326" s="212">
        <f>I326/0.16</f>
        <v>271.5625</v>
      </c>
      <c r="I326" s="212">
        <v>43.45</v>
      </c>
    </row>
    <row r="327" spans="1:11">
      <c r="A327" t="s">
        <v>332</v>
      </c>
      <c r="B327" s="1">
        <v>41790</v>
      </c>
      <c r="C327" t="s">
        <v>3215</v>
      </c>
      <c r="D327">
        <v>1</v>
      </c>
      <c r="E327" t="s">
        <v>3216</v>
      </c>
      <c r="F327" s="191" t="s">
        <v>923</v>
      </c>
      <c r="G327" s="192" t="s">
        <v>927</v>
      </c>
      <c r="H327" s="212">
        <f>I327/0.16</f>
        <v>54.312499999999993</v>
      </c>
      <c r="I327" s="212">
        <v>8.69</v>
      </c>
    </row>
    <row r="328" spans="1:11">
      <c r="A328" t="s">
        <v>332</v>
      </c>
      <c r="B328" s="1">
        <v>41790</v>
      </c>
      <c r="C328" t="s">
        <v>3215</v>
      </c>
      <c r="D328">
        <v>1</v>
      </c>
      <c r="E328" t="s">
        <v>3216</v>
      </c>
      <c r="F328" s="191" t="s">
        <v>2342</v>
      </c>
      <c r="G328" s="192" t="s">
        <v>3506</v>
      </c>
      <c r="H328" s="212">
        <f>I328/0.16</f>
        <v>86.187499999999986</v>
      </c>
      <c r="I328" s="212">
        <v>13.79</v>
      </c>
    </row>
    <row r="329" spans="1:11">
      <c r="A329" t="s">
        <v>332</v>
      </c>
      <c r="B329" s="1">
        <v>41790</v>
      </c>
      <c r="C329" t="s">
        <v>3215</v>
      </c>
      <c r="D329">
        <v>1</v>
      </c>
      <c r="E329" t="s">
        <v>3216</v>
      </c>
      <c r="F329" s="187" t="s">
        <v>2347</v>
      </c>
      <c r="G329" s="201" t="s">
        <v>3507</v>
      </c>
      <c r="H329" s="213">
        <f>I329/0.16</f>
        <v>335.0625</v>
      </c>
      <c r="I329" s="214">
        <v>53.61</v>
      </c>
      <c r="J329" s="13"/>
    </row>
    <row r="330" spans="1:11">
      <c r="A330" t="s">
        <v>332</v>
      </c>
      <c r="B330" s="1">
        <v>41790</v>
      </c>
      <c r="C330" t="s">
        <v>3215</v>
      </c>
      <c r="D330">
        <v>1</v>
      </c>
      <c r="E330" t="s">
        <v>3216</v>
      </c>
      <c r="F330" s="187" t="s">
        <v>1553</v>
      </c>
      <c r="G330" t="s">
        <v>843</v>
      </c>
      <c r="H330" s="3">
        <f t="shared" ref="H330:H331" si="11">I330/0.16</f>
        <v>142.25</v>
      </c>
      <c r="I330" s="141">
        <v>22.76</v>
      </c>
      <c r="J330" s="13">
        <f>1005.81-H325-H326-H327-H328-H329-H330</f>
        <v>-2.5000000000545697E-3</v>
      </c>
      <c r="K330" s="13">
        <f>160.93-I325-I326-I327-I328-I329-I330</f>
        <v>0</v>
      </c>
    </row>
    <row r="331" spans="1:11">
      <c r="A331" t="s">
        <v>388</v>
      </c>
      <c r="B331" s="1">
        <v>41790</v>
      </c>
      <c r="C331" t="s">
        <v>3228</v>
      </c>
      <c r="D331">
        <v>1</v>
      </c>
      <c r="E331" t="s">
        <v>3229</v>
      </c>
      <c r="F331" s="187" t="s">
        <v>763</v>
      </c>
      <c r="G331" t="s">
        <v>900</v>
      </c>
      <c r="H331" s="141">
        <f t="shared" si="11"/>
        <v>56.0625</v>
      </c>
      <c r="I331" s="141">
        <v>8.9700000000000006</v>
      </c>
      <c r="J331" s="3"/>
      <c r="K331" s="3"/>
    </row>
    <row r="332" spans="1:11">
      <c r="A332" t="s">
        <v>388</v>
      </c>
      <c r="B332" s="1">
        <v>41790</v>
      </c>
      <c r="C332" t="s">
        <v>3228</v>
      </c>
      <c r="D332">
        <v>1</v>
      </c>
      <c r="E332" t="s">
        <v>3229</v>
      </c>
      <c r="F332" s="191" t="s">
        <v>923</v>
      </c>
      <c r="G332" s="192" t="s">
        <v>927</v>
      </c>
      <c r="H332" s="212">
        <f>I332/0.16</f>
        <v>59.499999999999993</v>
      </c>
      <c r="I332" s="212">
        <v>9.52</v>
      </c>
      <c r="J332" s="3"/>
      <c r="K332" s="3"/>
    </row>
    <row r="333" spans="1:11">
      <c r="A333" t="s">
        <v>388</v>
      </c>
      <c r="B333" s="1">
        <v>41790</v>
      </c>
      <c r="C333" t="s">
        <v>3228</v>
      </c>
      <c r="D333">
        <v>1</v>
      </c>
      <c r="E333" t="s">
        <v>3229</v>
      </c>
      <c r="F333" s="184" t="s">
        <v>964</v>
      </c>
      <c r="G333" s="205" t="s">
        <v>965</v>
      </c>
      <c r="H333" s="215">
        <f>I333/0.16</f>
        <v>209.375</v>
      </c>
      <c r="I333" s="215">
        <v>33.5</v>
      </c>
      <c r="J333" s="3">
        <f>324.94-H331-H332-H333</f>
        <v>2.4999999999977263E-3</v>
      </c>
      <c r="K333" s="3">
        <f>51.99-I331-I332-I333</f>
        <v>0</v>
      </c>
    </row>
    <row r="334" spans="1:11">
      <c r="A334" t="s">
        <v>390</v>
      </c>
      <c r="B334" s="1">
        <v>41790</v>
      </c>
      <c r="C334" t="s">
        <v>3230</v>
      </c>
      <c r="D334">
        <v>1</v>
      </c>
      <c r="E334" t="s">
        <v>3231</v>
      </c>
      <c r="F334" s="187" t="s">
        <v>763</v>
      </c>
      <c r="G334" t="s">
        <v>900</v>
      </c>
      <c r="H334" s="141">
        <f t="shared" ref="H334" si="12">I334/0.16</f>
        <v>265.5625</v>
      </c>
      <c r="I334" s="141">
        <v>42.49</v>
      </c>
      <c r="J334" s="3"/>
      <c r="K334" s="3"/>
    </row>
    <row r="335" spans="1:11">
      <c r="A335" t="s">
        <v>390</v>
      </c>
      <c r="B335" s="1">
        <v>41790</v>
      </c>
      <c r="C335" t="s">
        <v>3230</v>
      </c>
      <c r="D335">
        <v>1</v>
      </c>
      <c r="E335" t="s">
        <v>3231</v>
      </c>
      <c r="F335" s="191" t="s">
        <v>923</v>
      </c>
      <c r="G335" s="192" t="s">
        <v>927</v>
      </c>
      <c r="H335" s="212">
        <f>I335/0.16</f>
        <v>290.5</v>
      </c>
      <c r="I335" s="212">
        <v>46.48</v>
      </c>
      <c r="J335" s="3"/>
      <c r="K335" s="3"/>
    </row>
    <row r="336" spans="1:11">
      <c r="A336" t="s">
        <v>390</v>
      </c>
      <c r="B336" s="1">
        <v>41790</v>
      </c>
      <c r="C336" t="s">
        <v>3230</v>
      </c>
      <c r="D336">
        <v>1</v>
      </c>
      <c r="E336" t="s">
        <v>3231</v>
      </c>
      <c r="F336" s="191" t="s">
        <v>3508</v>
      </c>
      <c r="G336" s="192" t="s">
        <v>3509</v>
      </c>
      <c r="H336" s="212">
        <f>I336/0.16</f>
        <v>334.9375</v>
      </c>
      <c r="I336" s="212">
        <v>53.59</v>
      </c>
      <c r="J336" s="3"/>
      <c r="K336" s="3"/>
    </row>
    <row r="337" spans="1:12">
      <c r="A337" t="s">
        <v>390</v>
      </c>
      <c r="B337" s="1">
        <v>41790</v>
      </c>
      <c r="C337" t="s">
        <v>3230</v>
      </c>
      <c r="D337">
        <v>1</v>
      </c>
      <c r="E337" t="s">
        <v>3231</v>
      </c>
      <c r="F337" s="191" t="s">
        <v>916</v>
      </c>
      <c r="G337" s="192" t="s">
        <v>2337</v>
      </c>
      <c r="H337" s="212">
        <f>I337/0.16</f>
        <v>64.625</v>
      </c>
      <c r="I337" s="212">
        <v>10.34</v>
      </c>
      <c r="J337" s="3">
        <f>955.63-H334-H336-H335-H337</f>
        <v>4.9999999999954525E-3</v>
      </c>
      <c r="K337" s="3">
        <f>152.9-I334-I335-I336-I337</f>
        <v>0</v>
      </c>
    </row>
    <row r="338" spans="1:12">
      <c r="A338" t="s">
        <v>3207</v>
      </c>
      <c r="B338" s="1">
        <v>41790</v>
      </c>
      <c r="C338" t="s">
        <v>3208</v>
      </c>
      <c r="D338">
        <v>1</v>
      </c>
      <c r="E338" t="s">
        <v>3209</v>
      </c>
      <c r="F338" s="187" t="s">
        <v>763</v>
      </c>
      <c r="G338" t="s">
        <v>900</v>
      </c>
      <c r="H338" s="141">
        <f t="shared" ref="H338" si="13">I338/0.16</f>
        <v>396.625</v>
      </c>
      <c r="I338" s="141">
        <v>63.46</v>
      </c>
      <c r="J338" s="3"/>
      <c r="K338" s="3"/>
    </row>
    <row r="339" spans="1:12">
      <c r="A339" t="s">
        <v>3207</v>
      </c>
      <c r="B339" s="1">
        <v>41790</v>
      </c>
      <c r="C339" t="s">
        <v>3208</v>
      </c>
      <c r="D339">
        <v>1</v>
      </c>
      <c r="E339" t="s">
        <v>3209</v>
      </c>
      <c r="F339" s="191" t="s">
        <v>903</v>
      </c>
      <c r="G339" s="192" t="s">
        <v>3510</v>
      </c>
      <c r="H339" s="212">
        <f t="shared" ref="H339:H345" si="14">I339/0.16</f>
        <v>73.25</v>
      </c>
      <c r="I339" s="212">
        <v>11.72</v>
      </c>
    </row>
    <row r="340" spans="1:12">
      <c r="A340" t="s">
        <v>3207</v>
      </c>
      <c r="B340" s="1">
        <v>41790</v>
      </c>
      <c r="C340" t="s">
        <v>3208</v>
      </c>
      <c r="D340">
        <v>1</v>
      </c>
      <c r="E340" t="s">
        <v>3209</v>
      </c>
      <c r="F340" s="191" t="s">
        <v>923</v>
      </c>
      <c r="G340" s="192" t="s">
        <v>927</v>
      </c>
      <c r="H340" s="212">
        <f t="shared" si="14"/>
        <v>300.875</v>
      </c>
      <c r="I340" s="212">
        <v>48.14</v>
      </c>
    </row>
    <row r="341" spans="1:12">
      <c r="A341" t="s">
        <v>3207</v>
      </c>
      <c r="B341" s="1">
        <v>41790</v>
      </c>
      <c r="C341" t="s">
        <v>3208</v>
      </c>
      <c r="D341">
        <v>1</v>
      </c>
      <c r="E341" t="s">
        <v>3209</v>
      </c>
      <c r="F341" s="191" t="s">
        <v>1629</v>
      </c>
      <c r="G341" s="192" t="s">
        <v>1630</v>
      </c>
      <c r="H341" s="212">
        <f t="shared" si="14"/>
        <v>148.3125</v>
      </c>
      <c r="I341" s="212">
        <v>23.73</v>
      </c>
    </row>
    <row r="342" spans="1:12">
      <c r="A342" t="s">
        <v>3207</v>
      </c>
      <c r="B342" s="1">
        <v>41790</v>
      </c>
      <c r="C342" t="s">
        <v>3208</v>
      </c>
      <c r="D342">
        <v>1</v>
      </c>
      <c r="E342" t="s">
        <v>3209</v>
      </c>
      <c r="F342" s="191" t="s">
        <v>925</v>
      </c>
      <c r="G342" s="192" t="s">
        <v>926</v>
      </c>
      <c r="H342" s="212">
        <f t="shared" si="14"/>
        <v>376.9375</v>
      </c>
      <c r="I342" s="212">
        <v>60.31</v>
      </c>
      <c r="J342" s="13">
        <f>1296-H338-H339-H340-H341-H342</f>
        <v>0</v>
      </c>
      <c r="K342" s="13">
        <f>207.36-I338-I339-I340-I341-I342</f>
        <v>0</v>
      </c>
    </row>
    <row r="343" spans="1:12">
      <c r="A343" t="s">
        <v>315</v>
      </c>
      <c r="B343" s="1">
        <v>41790</v>
      </c>
      <c r="C343" t="s">
        <v>3203</v>
      </c>
      <c r="D343">
        <v>1</v>
      </c>
      <c r="E343" t="s">
        <v>3204</v>
      </c>
      <c r="F343" s="191" t="s">
        <v>1635</v>
      </c>
      <c r="G343" s="192" t="s">
        <v>1636</v>
      </c>
      <c r="H343" s="212">
        <f t="shared" si="14"/>
        <v>81.875</v>
      </c>
      <c r="I343" s="212">
        <v>13.1</v>
      </c>
      <c r="J343" s="3"/>
      <c r="K343" s="3"/>
    </row>
    <row r="344" spans="1:12">
      <c r="A344" t="s">
        <v>315</v>
      </c>
      <c r="B344" s="1">
        <v>41790</v>
      </c>
      <c r="C344" t="s">
        <v>3203</v>
      </c>
      <c r="D344">
        <v>1</v>
      </c>
      <c r="E344" t="s">
        <v>3204</v>
      </c>
      <c r="F344" s="191" t="s">
        <v>3511</v>
      </c>
      <c r="G344" s="192" t="s">
        <v>3512</v>
      </c>
      <c r="H344" s="212">
        <f t="shared" si="14"/>
        <v>209.375</v>
      </c>
      <c r="I344" s="212">
        <v>33.5</v>
      </c>
      <c r="J344" s="3"/>
      <c r="K344" s="3"/>
    </row>
    <row r="345" spans="1:12">
      <c r="A345" t="s">
        <v>315</v>
      </c>
      <c r="B345" s="1">
        <v>41790</v>
      </c>
      <c r="C345" t="s">
        <v>3203</v>
      </c>
      <c r="D345">
        <v>1</v>
      </c>
      <c r="E345" t="s">
        <v>3204</v>
      </c>
      <c r="F345" s="210" t="s">
        <v>3513</v>
      </c>
      <c r="G345" s="192" t="s">
        <v>3514</v>
      </c>
      <c r="H345" s="212">
        <f t="shared" si="14"/>
        <v>700.9375</v>
      </c>
      <c r="I345" s="212">
        <v>112.15</v>
      </c>
      <c r="J345" s="3"/>
      <c r="K345" s="3"/>
    </row>
    <row r="346" spans="1:12">
      <c r="A346" t="s">
        <v>315</v>
      </c>
      <c r="B346" s="1">
        <v>41790</v>
      </c>
      <c r="C346" t="s">
        <v>3203</v>
      </c>
      <c r="D346">
        <v>1</v>
      </c>
      <c r="E346" t="s">
        <v>3204</v>
      </c>
      <c r="F346" s="187" t="s">
        <v>763</v>
      </c>
      <c r="G346" t="s">
        <v>900</v>
      </c>
      <c r="H346" s="3">
        <f t="shared" ref="H346" si="15">I346/0.16</f>
        <v>559.5625</v>
      </c>
      <c r="I346" s="141">
        <v>89.53</v>
      </c>
      <c r="J346" s="3">
        <f>1551.75-H343-H344-H345-H346</f>
        <v>0</v>
      </c>
      <c r="K346" s="3">
        <f>248.28-I343-I344-I345-I346</f>
        <v>0</v>
      </c>
    </row>
    <row r="347" spans="1:12">
      <c r="A347" t="s">
        <v>418</v>
      </c>
      <c r="B347" s="1">
        <v>41790</v>
      </c>
      <c r="C347">
        <v>10230</v>
      </c>
      <c r="D347">
        <v>1</v>
      </c>
      <c r="E347" t="s">
        <v>3259</v>
      </c>
      <c r="F347" s="191" t="s">
        <v>923</v>
      </c>
      <c r="G347" s="192" t="s">
        <v>927</v>
      </c>
      <c r="H347" s="212">
        <f t="shared" ref="H347:H352" si="16">I347/0.16</f>
        <v>44.8125</v>
      </c>
      <c r="I347" s="212">
        <v>7.17</v>
      </c>
      <c r="J347" s="3"/>
      <c r="K347" s="3"/>
    </row>
    <row r="348" spans="1:12">
      <c r="A348" t="s">
        <v>418</v>
      </c>
      <c r="B348" s="1">
        <v>41790</v>
      </c>
      <c r="C348">
        <v>10230</v>
      </c>
      <c r="D348">
        <v>1</v>
      </c>
      <c r="E348" t="s">
        <v>3259</v>
      </c>
      <c r="F348" s="191" t="s">
        <v>923</v>
      </c>
      <c r="G348" s="192" t="s">
        <v>927</v>
      </c>
      <c r="H348" s="212">
        <f t="shared" si="16"/>
        <v>201.75</v>
      </c>
      <c r="I348" s="212">
        <v>32.28</v>
      </c>
      <c r="J348" s="3"/>
      <c r="K348" s="3"/>
    </row>
    <row r="349" spans="1:12">
      <c r="A349" t="s">
        <v>418</v>
      </c>
      <c r="B349" s="1">
        <v>41790</v>
      </c>
      <c r="C349">
        <v>10230</v>
      </c>
      <c r="D349">
        <v>1</v>
      </c>
      <c r="E349" t="s">
        <v>3259</v>
      </c>
      <c r="F349" s="137" t="s">
        <v>894</v>
      </c>
      <c r="G349" s="205" t="s">
        <v>3515</v>
      </c>
      <c r="H349" s="215">
        <f t="shared" si="16"/>
        <v>318.625</v>
      </c>
      <c r="I349" s="215">
        <v>50.98</v>
      </c>
      <c r="J349" s="3">
        <f>564.56-H347-H348-H349</f>
        <v>-0.62750000000005457</v>
      </c>
      <c r="K349" s="3">
        <f>90.33-I347-I348-I349</f>
        <v>-0.10000000000000142</v>
      </c>
      <c r="L349" t="s">
        <v>850</v>
      </c>
    </row>
    <row r="350" spans="1:12">
      <c r="A350" t="s">
        <v>3210</v>
      </c>
      <c r="B350" s="1">
        <v>41790</v>
      </c>
      <c r="C350" t="s">
        <v>3211</v>
      </c>
      <c r="D350">
        <v>1</v>
      </c>
      <c r="E350" t="s">
        <v>3212</v>
      </c>
      <c r="F350" s="184" t="s">
        <v>914</v>
      </c>
      <c r="G350" s="205" t="s">
        <v>915</v>
      </c>
      <c r="H350" s="215">
        <f t="shared" si="16"/>
        <v>318.625</v>
      </c>
      <c r="I350" s="215">
        <v>50.98</v>
      </c>
      <c r="J350" s="3"/>
      <c r="K350" s="3"/>
    </row>
    <row r="351" spans="1:12">
      <c r="A351" t="s">
        <v>3210</v>
      </c>
      <c r="B351" s="1">
        <v>41790</v>
      </c>
      <c r="C351" t="s">
        <v>3211</v>
      </c>
      <c r="D351">
        <v>1</v>
      </c>
      <c r="E351" t="s">
        <v>3212</v>
      </c>
      <c r="F351" s="191" t="s">
        <v>923</v>
      </c>
      <c r="G351" s="192" t="s">
        <v>927</v>
      </c>
      <c r="H351" s="212">
        <f t="shared" si="16"/>
        <v>362.9375</v>
      </c>
      <c r="I351" s="212">
        <v>58.07</v>
      </c>
    </row>
    <row r="352" spans="1:12">
      <c r="A352" t="s">
        <v>3210</v>
      </c>
      <c r="B352" s="1">
        <v>41790</v>
      </c>
      <c r="C352" t="s">
        <v>3211</v>
      </c>
      <c r="D352">
        <v>1</v>
      </c>
      <c r="E352" t="s">
        <v>3212</v>
      </c>
      <c r="F352" s="191" t="s">
        <v>916</v>
      </c>
      <c r="G352" s="192" t="s">
        <v>2337</v>
      </c>
      <c r="H352" s="212">
        <f t="shared" si="16"/>
        <v>64.625</v>
      </c>
      <c r="I352" s="212">
        <v>10.34</v>
      </c>
    </row>
    <row r="353" spans="1:12">
      <c r="A353" t="s">
        <v>3210</v>
      </c>
      <c r="B353" s="1">
        <v>41790</v>
      </c>
      <c r="C353" t="s">
        <v>3211</v>
      </c>
      <c r="D353">
        <v>1</v>
      </c>
      <c r="E353" t="s">
        <v>3212</v>
      </c>
      <c r="F353" s="187" t="s">
        <v>763</v>
      </c>
      <c r="G353" t="s">
        <v>900</v>
      </c>
      <c r="H353" s="141">
        <f t="shared" ref="H353" si="17">I353/0.16</f>
        <v>430.1875</v>
      </c>
      <c r="I353" s="141">
        <v>68.83</v>
      </c>
      <c r="J353" s="13">
        <f>1176.38-H350-H351-H352-H353</f>
        <v>5.0000000001091394E-3</v>
      </c>
      <c r="K353" s="13">
        <f>188.22-I350-I351-I352-I353</f>
        <v>0</v>
      </c>
    </row>
    <row r="354" spans="1:12">
      <c r="A354" t="s">
        <v>318</v>
      </c>
      <c r="B354" s="1">
        <v>41790</v>
      </c>
      <c r="C354" t="s">
        <v>3205</v>
      </c>
      <c r="D354">
        <v>1</v>
      </c>
      <c r="E354" t="s">
        <v>3206</v>
      </c>
      <c r="F354" s="187" t="s">
        <v>763</v>
      </c>
      <c r="G354" t="s">
        <v>900</v>
      </c>
      <c r="H354" s="141">
        <f t="shared" ref="H354" si="18">I354/0.16</f>
        <v>176.75</v>
      </c>
      <c r="I354" s="141">
        <v>28.28</v>
      </c>
      <c r="J354" s="3"/>
      <c r="K354" s="3"/>
    </row>
    <row r="355" spans="1:12">
      <c r="A355" t="s">
        <v>318</v>
      </c>
      <c r="B355" s="1">
        <v>41790</v>
      </c>
      <c r="C355" t="s">
        <v>3205</v>
      </c>
      <c r="D355">
        <v>1</v>
      </c>
      <c r="E355" t="s">
        <v>3206</v>
      </c>
      <c r="F355" s="191" t="s">
        <v>903</v>
      </c>
      <c r="G355" s="192" t="s">
        <v>2319</v>
      </c>
      <c r="H355" s="212">
        <f>I355/0.16</f>
        <v>103.4375</v>
      </c>
      <c r="I355" s="212">
        <v>16.55</v>
      </c>
    </row>
    <row r="356" spans="1:12">
      <c r="A356" t="s">
        <v>318</v>
      </c>
      <c r="B356" s="1">
        <v>41790</v>
      </c>
      <c r="C356" t="s">
        <v>3205</v>
      </c>
      <c r="D356">
        <v>1</v>
      </c>
      <c r="E356" t="s">
        <v>3206</v>
      </c>
      <c r="F356" s="191" t="s">
        <v>923</v>
      </c>
      <c r="G356" s="192" t="s">
        <v>927</v>
      </c>
      <c r="H356" s="212">
        <f>I356/0.16</f>
        <v>300.875</v>
      </c>
      <c r="I356" s="212">
        <v>48.14</v>
      </c>
    </row>
    <row r="357" spans="1:12">
      <c r="A357" t="s">
        <v>318</v>
      </c>
      <c r="B357" s="1">
        <v>41790</v>
      </c>
      <c r="C357" t="s">
        <v>3205</v>
      </c>
      <c r="D357">
        <v>1</v>
      </c>
      <c r="E357" t="s">
        <v>3206</v>
      </c>
      <c r="F357" s="184" t="s">
        <v>2344</v>
      </c>
      <c r="G357" s="205" t="s">
        <v>2345</v>
      </c>
      <c r="H357" s="215">
        <f>I357/0.16</f>
        <v>310.375</v>
      </c>
      <c r="I357" s="215">
        <v>49.66</v>
      </c>
      <c r="J357" s="13">
        <f>891.38-H354-H355-H356-H357</f>
        <v>-5.7500000000004547E-2</v>
      </c>
      <c r="K357" s="13">
        <f>142.62-I354-I355-I356-I357</f>
        <v>-9.9999999999909051E-3</v>
      </c>
      <c r="L357" t="s">
        <v>850</v>
      </c>
    </row>
    <row r="358" spans="1:12">
      <c r="A358" t="s">
        <v>3288</v>
      </c>
      <c r="B358" s="1">
        <v>41790</v>
      </c>
      <c r="C358" t="s">
        <v>3289</v>
      </c>
      <c r="D358">
        <v>1</v>
      </c>
      <c r="E358" t="s">
        <v>3290</v>
      </c>
      <c r="F358" s="187" t="s">
        <v>1553</v>
      </c>
      <c r="G358" t="s">
        <v>900</v>
      </c>
      <c r="H358" s="3">
        <f>+I358/0.16</f>
        <v>56.0625</v>
      </c>
      <c r="I358" s="3">
        <v>8.9700000000000006</v>
      </c>
    </row>
    <row r="359" spans="1:12">
      <c r="A359" t="s">
        <v>2029</v>
      </c>
      <c r="B359" s="1">
        <v>41790</v>
      </c>
      <c r="C359" t="s">
        <v>3219</v>
      </c>
      <c r="D359">
        <v>1</v>
      </c>
      <c r="E359" t="s">
        <v>3220</v>
      </c>
      <c r="F359" s="187" t="s">
        <v>763</v>
      </c>
      <c r="G359" t="s">
        <v>900</v>
      </c>
      <c r="H359" s="141">
        <f t="shared" ref="H359" si="19">I359/0.16</f>
        <v>203.43749999999997</v>
      </c>
      <c r="I359" s="141">
        <v>32.549999999999997</v>
      </c>
      <c r="J359" s="3"/>
      <c r="K359" s="3"/>
    </row>
    <row r="360" spans="1:12">
      <c r="A360" t="s">
        <v>2029</v>
      </c>
      <c r="B360" s="1">
        <v>41790</v>
      </c>
      <c r="C360" t="s">
        <v>3219</v>
      </c>
      <c r="D360">
        <v>1</v>
      </c>
      <c r="E360" t="s">
        <v>3220</v>
      </c>
      <c r="F360" s="191" t="s">
        <v>901</v>
      </c>
      <c r="G360" s="192" t="s">
        <v>1598</v>
      </c>
      <c r="H360" s="212">
        <f t="shared" ref="H360:H366" si="20">I360/0.16</f>
        <v>94.8125</v>
      </c>
      <c r="I360" s="212">
        <v>15.17</v>
      </c>
      <c r="J360" s="3"/>
      <c r="K360" s="3"/>
    </row>
    <row r="361" spans="1:12">
      <c r="A361" t="s">
        <v>2029</v>
      </c>
      <c r="B361" s="1">
        <v>41790</v>
      </c>
      <c r="C361" t="s">
        <v>3219</v>
      </c>
      <c r="D361">
        <v>1</v>
      </c>
      <c r="E361" t="s">
        <v>3220</v>
      </c>
      <c r="F361" s="191" t="s">
        <v>3516</v>
      </c>
      <c r="G361" s="192" t="s">
        <v>3517</v>
      </c>
      <c r="H361" s="212">
        <f t="shared" si="20"/>
        <v>762.1875</v>
      </c>
      <c r="I361" s="212">
        <v>121.95</v>
      </c>
    </row>
    <row r="362" spans="1:12">
      <c r="A362" t="s">
        <v>2029</v>
      </c>
      <c r="B362" s="1">
        <v>41790</v>
      </c>
      <c r="C362" t="s">
        <v>3219</v>
      </c>
      <c r="D362">
        <v>1</v>
      </c>
      <c r="E362" t="s">
        <v>3220</v>
      </c>
      <c r="F362" s="184" t="s">
        <v>3518</v>
      </c>
      <c r="G362" s="205" t="s">
        <v>3519</v>
      </c>
      <c r="H362" s="215">
        <f t="shared" si="20"/>
        <v>805.8125</v>
      </c>
      <c r="I362" s="215">
        <v>128.93</v>
      </c>
    </row>
    <row r="363" spans="1:12">
      <c r="A363" t="s">
        <v>2029</v>
      </c>
      <c r="B363" s="1">
        <v>41790</v>
      </c>
      <c r="C363" t="s">
        <v>3219</v>
      </c>
      <c r="D363">
        <v>1</v>
      </c>
      <c r="E363" t="s">
        <v>3220</v>
      </c>
      <c r="F363" s="191" t="s">
        <v>1605</v>
      </c>
      <c r="G363" s="192" t="s">
        <v>2351</v>
      </c>
      <c r="H363" s="212">
        <f t="shared" si="20"/>
        <v>801.75</v>
      </c>
      <c r="I363" s="212">
        <v>128.28</v>
      </c>
      <c r="J363" s="13">
        <f>2668-H359-H360-H361-H362-H363</f>
        <v>0</v>
      </c>
      <c r="K363" s="13">
        <f>426.88-I359-I360-I361-I362-I363</f>
        <v>0</v>
      </c>
    </row>
    <row r="364" spans="1:12">
      <c r="A364" t="s">
        <v>3264</v>
      </c>
      <c r="B364" s="1">
        <v>41790</v>
      </c>
      <c r="C364" t="s">
        <v>3265</v>
      </c>
      <c r="D364">
        <v>1</v>
      </c>
      <c r="E364" t="s">
        <v>3266</v>
      </c>
      <c r="F364" s="191" t="s">
        <v>923</v>
      </c>
      <c r="G364" s="192" t="s">
        <v>927</v>
      </c>
      <c r="H364" s="212">
        <f t="shared" si="20"/>
        <v>300.875</v>
      </c>
      <c r="I364" s="212">
        <v>48.14</v>
      </c>
      <c r="J364" s="3"/>
      <c r="K364" s="3"/>
    </row>
    <row r="365" spans="1:12">
      <c r="A365" t="s">
        <v>3264</v>
      </c>
      <c r="B365" s="1">
        <v>41790</v>
      </c>
      <c r="C365" t="s">
        <v>3265</v>
      </c>
      <c r="D365">
        <v>1</v>
      </c>
      <c r="E365" t="s">
        <v>3266</v>
      </c>
      <c r="F365" s="191" t="s">
        <v>3520</v>
      </c>
      <c r="G365" s="192" t="s">
        <v>3521</v>
      </c>
      <c r="H365" s="212">
        <f t="shared" si="20"/>
        <v>335</v>
      </c>
      <c r="I365" s="212">
        <v>53.6</v>
      </c>
      <c r="J365" s="3"/>
      <c r="K365" s="3"/>
    </row>
    <row r="366" spans="1:12">
      <c r="A366" t="s">
        <v>3264</v>
      </c>
      <c r="B366" s="1">
        <v>41790</v>
      </c>
      <c r="C366" t="s">
        <v>3265</v>
      </c>
      <c r="D366">
        <v>1</v>
      </c>
      <c r="E366" t="s">
        <v>3266</v>
      </c>
      <c r="F366" s="191" t="s">
        <v>2342</v>
      </c>
      <c r="G366" s="192" t="s">
        <v>3522</v>
      </c>
      <c r="H366" s="212">
        <f t="shared" si="20"/>
        <v>86.187499999999986</v>
      </c>
      <c r="I366" s="212">
        <v>13.79</v>
      </c>
      <c r="J366" s="3"/>
      <c r="K366" s="3"/>
    </row>
    <row r="367" spans="1:12">
      <c r="A367" t="s">
        <v>3264</v>
      </c>
      <c r="B367" s="1">
        <v>41790</v>
      </c>
      <c r="C367" t="s">
        <v>3265</v>
      </c>
      <c r="D367">
        <v>1</v>
      </c>
      <c r="E367" t="s">
        <v>3266</v>
      </c>
      <c r="F367" s="187" t="s">
        <v>763</v>
      </c>
      <c r="G367" t="s">
        <v>900</v>
      </c>
      <c r="H367" s="141">
        <f t="shared" ref="H367" si="21">I367/0.16</f>
        <v>176.8125</v>
      </c>
      <c r="I367" s="141">
        <v>28.29</v>
      </c>
      <c r="J367" s="3">
        <f>898.88-H364-H365-H366-H367</f>
        <v>4.9999999999954525E-3</v>
      </c>
      <c r="K367" s="3">
        <f>143.82-I364-I365-I366-I367</f>
        <v>0</v>
      </c>
    </row>
    <row r="368" spans="1:12">
      <c r="A368" t="s">
        <v>3285</v>
      </c>
      <c r="B368" s="1">
        <v>41790</v>
      </c>
      <c r="C368" t="s">
        <v>3286</v>
      </c>
      <c r="D368">
        <v>1</v>
      </c>
      <c r="E368" t="s">
        <v>3287</v>
      </c>
      <c r="F368" s="191" t="s">
        <v>3523</v>
      </c>
      <c r="G368" s="192" t="s">
        <v>3524</v>
      </c>
      <c r="H368" s="3">
        <f>+I368/0.16</f>
        <v>125.625</v>
      </c>
      <c r="I368" s="3">
        <v>20.100000000000001</v>
      </c>
    </row>
    <row r="369" spans="1:11">
      <c r="A369" t="s">
        <v>3279</v>
      </c>
      <c r="B369" s="1">
        <v>41790</v>
      </c>
      <c r="C369" t="s">
        <v>3280</v>
      </c>
      <c r="D369">
        <v>1</v>
      </c>
      <c r="E369" t="s">
        <v>3281</v>
      </c>
      <c r="F369" s="184" t="s">
        <v>914</v>
      </c>
      <c r="G369" s="205" t="s">
        <v>915</v>
      </c>
      <c r="H369" s="215">
        <f>I369/0.16</f>
        <v>382.375</v>
      </c>
      <c r="I369" s="215">
        <v>61.18</v>
      </c>
      <c r="J369" s="3"/>
      <c r="K369" s="3"/>
    </row>
    <row r="370" spans="1:11">
      <c r="A370" t="s">
        <v>3279</v>
      </c>
      <c r="B370" s="1">
        <v>41790</v>
      </c>
      <c r="C370" t="s">
        <v>3280</v>
      </c>
      <c r="D370">
        <v>1</v>
      </c>
      <c r="E370" t="s">
        <v>3281</v>
      </c>
      <c r="F370" s="191" t="s">
        <v>923</v>
      </c>
      <c r="G370" s="192" t="s">
        <v>924</v>
      </c>
      <c r="H370" s="212">
        <f>I370/0.16</f>
        <v>362.9375</v>
      </c>
      <c r="I370" s="212">
        <v>58.07</v>
      </c>
    </row>
    <row r="371" spans="1:11">
      <c r="A371" t="s">
        <v>3279</v>
      </c>
      <c r="B371" s="1">
        <v>41790</v>
      </c>
      <c r="C371" t="s">
        <v>3280</v>
      </c>
      <c r="D371">
        <v>1</v>
      </c>
      <c r="E371" t="s">
        <v>3281</v>
      </c>
      <c r="F371" s="191" t="s">
        <v>2912</v>
      </c>
      <c r="G371" s="192" t="s">
        <v>2913</v>
      </c>
      <c r="H371" s="212">
        <f>I371/0.16</f>
        <v>70</v>
      </c>
      <c r="I371" s="212">
        <v>11.2</v>
      </c>
    </row>
    <row r="372" spans="1:11">
      <c r="A372" t="s">
        <v>3279</v>
      </c>
      <c r="B372" s="1">
        <v>41790</v>
      </c>
      <c r="C372" t="s">
        <v>3280</v>
      </c>
      <c r="D372">
        <v>1</v>
      </c>
      <c r="E372" t="s">
        <v>3281</v>
      </c>
      <c r="F372" s="187" t="s">
        <v>763</v>
      </c>
      <c r="G372" t="s">
        <v>900</v>
      </c>
      <c r="H372" s="141">
        <f t="shared" ref="H372" si="22">I372/0.16</f>
        <v>430.1875</v>
      </c>
      <c r="I372" s="141">
        <v>68.83</v>
      </c>
      <c r="J372" s="13">
        <f>1245.5-H369-H370-H371-H372</f>
        <v>0</v>
      </c>
      <c r="K372" s="13">
        <f>199.28-I369-I370-I371-I372</f>
        <v>0</v>
      </c>
    </row>
    <row r="373" spans="1:11">
      <c r="A373" t="s">
        <v>3270</v>
      </c>
      <c r="B373" s="1">
        <v>41790</v>
      </c>
      <c r="C373" t="s">
        <v>3271</v>
      </c>
      <c r="D373">
        <v>1</v>
      </c>
      <c r="E373" t="s">
        <v>3272</v>
      </c>
      <c r="F373" s="191" t="s">
        <v>923</v>
      </c>
      <c r="G373" s="192" t="s">
        <v>927</v>
      </c>
      <c r="H373" s="212">
        <f>I373/0.16</f>
        <v>44.8125</v>
      </c>
      <c r="I373" s="212">
        <v>7.17</v>
      </c>
      <c r="J373" s="3"/>
      <c r="K373" s="3"/>
    </row>
    <row r="374" spans="1:11">
      <c r="A374" t="s">
        <v>3270</v>
      </c>
      <c r="B374" s="1">
        <v>41790</v>
      </c>
      <c r="C374" t="s">
        <v>3271</v>
      </c>
      <c r="D374">
        <v>1</v>
      </c>
      <c r="E374" t="s">
        <v>3272</v>
      </c>
      <c r="F374" s="191" t="s">
        <v>923</v>
      </c>
      <c r="G374" s="192" t="s">
        <v>927</v>
      </c>
      <c r="H374" s="212">
        <f>I374/0.16</f>
        <v>201.75</v>
      </c>
      <c r="I374" s="212">
        <v>32.28</v>
      </c>
      <c r="J374" s="3"/>
      <c r="K374" s="3"/>
    </row>
    <row r="375" spans="1:11">
      <c r="A375" t="s">
        <v>3270</v>
      </c>
      <c r="B375" s="1">
        <v>41790</v>
      </c>
      <c r="C375" t="s">
        <v>3271</v>
      </c>
      <c r="D375">
        <v>1</v>
      </c>
      <c r="E375" t="s">
        <v>3272</v>
      </c>
      <c r="F375" s="191" t="s">
        <v>946</v>
      </c>
      <c r="G375" s="192" t="s">
        <v>947</v>
      </c>
      <c r="H375" s="212">
        <f>I375/0.16</f>
        <v>8.1875</v>
      </c>
      <c r="I375" s="212">
        <v>1.31</v>
      </c>
      <c r="J375" s="3"/>
      <c r="K375" s="3"/>
    </row>
    <row r="376" spans="1:11">
      <c r="A376" t="s">
        <v>3270</v>
      </c>
      <c r="B376" s="1">
        <v>41790</v>
      </c>
      <c r="C376" t="s">
        <v>3271</v>
      </c>
      <c r="D376">
        <v>1</v>
      </c>
      <c r="E376" t="s">
        <v>3272</v>
      </c>
      <c r="F376" s="191" t="s">
        <v>909</v>
      </c>
      <c r="G376" s="192" t="s">
        <v>910</v>
      </c>
      <c r="H376" s="212">
        <f>I376/0.16</f>
        <v>382.375</v>
      </c>
      <c r="I376" s="212">
        <v>61.18</v>
      </c>
      <c r="J376" s="3"/>
      <c r="K376" s="3"/>
    </row>
    <row r="377" spans="1:11">
      <c r="A377" t="s">
        <v>3270</v>
      </c>
      <c r="B377" s="1">
        <v>41790</v>
      </c>
      <c r="C377" t="s">
        <v>3271</v>
      </c>
      <c r="D377">
        <v>1</v>
      </c>
      <c r="E377" t="s">
        <v>3272</v>
      </c>
      <c r="F377" s="187" t="s">
        <v>763</v>
      </c>
      <c r="G377" t="s">
        <v>843</v>
      </c>
      <c r="H377" s="3">
        <f t="shared" ref="H377" si="23">I377/0.16</f>
        <v>56.0625</v>
      </c>
      <c r="I377" s="141">
        <v>8.9700000000000006</v>
      </c>
      <c r="J377" s="3">
        <f>693.19-H373-H374-H375-H376-H377</f>
        <v>2.5000000000545697E-3</v>
      </c>
      <c r="K377" s="3">
        <f>110.91-I373-I374-I375-I376-I377</f>
        <v>0</v>
      </c>
    </row>
    <row r="378" spans="1:11">
      <c r="A378" t="s">
        <v>3282</v>
      </c>
      <c r="B378" s="1">
        <v>41790</v>
      </c>
      <c r="C378" t="s">
        <v>3283</v>
      </c>
      <c r="D378">
        <v>1</v>
      </c>
      <c r="E378" t="s">
        <v>3284</v>
      </c>
      <c r="F378" s="187" t="s">
        <v>1553</v>
      </c>
      <c r="G378" t="s">
        <v>900</v>
      </c>
      <c r="H378" s="3">
        <f>+I378/0.16</f>
        <v>56.0625</v>
      </c>
      <c r="I378" s="3">
        <v>8.9700000000000006</v>
      </c>
    </row>
    <row r="379" spans="1:11">
      <c r="A379" t="s">
        <v>2104</v>
      </c>
      <c r="B379" s="1">
        <v>41790</v>
      </c>
      <c r="C379" t="s">
        <v>3260</v>
      </c>
      <c r="D379">
        <v>1</v>
      </c>
      <c r="E379" t="s">
        <v>3261</v>
      </c>
      <c r="F379" s="191" t="s">
        <v>3526</v>
      </c>
      <c r="G379" s="192" t="s">
        <v>3527</v>
      </c>
      <c r="H379" s="212">
        <f t="shared" ref="H379:H396" si="24">I379/0.16</f>
        <v>100.49999999999999</v>
      </c>
      <c r="I379" s="212">
        <v>16.079999999999998</v>
      </c>
      <c r="J379" s="3"/>
      <c r="K379" s="3"/>
    </row>
    <row r="380" spans="1:11">
      <c r="A380" t="s">
        <v>2104</v>
      </c>
      <c r="B380" s="1">
        <v>41790</v>
      </c>
      <c r="C380" t="s">
        <v>3260</v>
      </c>
      <c r="D380">
        <v>1</v>
      </c>
      <c r="E380" t="s">
        <v>3261</v>
      </c>
      <c r="F380" s="187" t="s">
        <v>763</v>
      </c>
      <c r="G380" t="s">
        <v>900</v>
      </c>
      <c r="H380" s="216">
        <f t="shared" si="24"/>
        <v>56.0625</v>
      </c>
      <c r="I380" s="216">
        <v>8.9700000000000006</v>
      </c>
      <c r="J380" s="3"/>
      <c r="K380" s="3"/>
    </row>
    <row r="381" spans="1:11">
      <c r="A381" t="s">
        <v>3276</v>
      </c>
      <c r="B381" s="1">
        <v>41790</v>
      </c>
      <c r="C381" t="s">
        <v>3277</v>
      </c>
      <c r="D381">
        <v>1</v>
      </c>
      <c r="E381" t="s">
        <v>3278</v>
      </c>
      <c r="F381" s="184" t="s">
        <v>914</v>
      </c>
      <c r="G381" s="205" t="s">
        <v>915</v>
      </c>
      <c r="H381" s="215">
        <f t="shared" si="24"/>
        <v>382.375</v>
      </c>
      <c r="I381" s="215">
        <v>61.18</v>
      </c>
      <c r="J381" s="3"/>
      <c r="K381" s="3"/>
    </row>
    <row r="382" spans="1:11">
      <c r="A382" t="s">
        <v>3276</v>
      </c>
      <c r="B382" s="1">
        <v>41790</v>
      </c>
      <c r="C382" t="s">
        <v>3277</v>
      </c>
      <c r="D382">
        <v>1</v>
      </c>
      <c r="E382" t="s">
        <v>3278</v>
      </c>
      <c r="F382" s="191" t="s">
        <v>923</v>
      </c>
      <c r="G382" s="192" t="s">
        <v>927</v>
      </c>
      <c r="H382" s="212">
        <f t="shared" si="24"/>
        <v>362.9375</v>
      </c>
      <c r="I382" s="212">
        <v>58.07</v>
      </c>
    </row>
    <row r="383" spans="1:11">
      <c r="A383" t="s">
        <v>3276</v>
      </c>
      <c r="B383" s="1">
        <v>41790</v>
      </c>
      <c r="C383" t="s">
        <v>3277</v>
      </c>
      <c r="D383">
        <v>1</v>
      </c>
      <c r="E383" t="s">
        <v>3278</v>
      </c>
      <c r="F383" s="191" t="s">
        <v>3528</v>
      </c>
      <c r="G383" s="192" t="s">
        <v>3529</v>
      </c>
      <c r="H383" s="212">
        <f t="shared" si="24"/>
        <v>98.25</v>
      </c>
      <c r="I383" s="212">
        <v>15.72</v>
      </c>
    </row>
    <row r="384" spans="1:11">
      <c r="A384" t="s">
        <v>3276</v>
      </c>
      <c r="B384" s="1">
        <v>41790</v>
      </c>
      <c r="C384" t="s">
        <v>3277</v>
      </c>
      <c r="D384">
        <v>1</v>
      </c>
      <c r="E384" t="s">
        <v>3278</v>
      </c>
      <c r="F384" s="187" t="s">
        <v>763</v>
      </c>
      <c r="G384" t="s">
        <v>900</v>
      </c>
      <c r="H384" s="141">
        <f t="shared" si="24"/>
        <v>430.1875</v>
      </c>
      <c r="I384" s="141">
        <v>68.83</v>
      </c>
      <c r="J384" s="13">
        <f>1273.75-H381-H382-H383-H384</f>
        <v>0</v>
      </c>
      <c r="K384" s="13">
        <f>203.8-I381-I382-I383-I384</f>
        <v>0</v>
      </c>
    </row>
    <row r="385" spans="1:11">
      <c r="A385" t="s">
        <v>3224</v>
      </c>
      <c r="B385" s="1">
        <v>41790</v>
      </c>
      <c r="C385">
        <v>10193</v>
      </c>
      <c r="D385">
        <v>1</v>
      </c>
      <c r="E385" t="s">
        <v>3225</v>
      </c>
      <c r="F385" s="187" t="s">
        <v>763</v>
      </c>
      <c r="G385" t="s">
        <v>900</v>
      </c>
      <c r="H385" s="141">
        <f t="shared" si="24"/>
        <v>120.75</v>
      </c>
      <c r="I385" s="141">
        <v>19.32</v>
      </c>
      <c r="J385" s="3"/>
      <c r="K385" s="3"/>
    </row>
    <row r="386" spans="1:11">
      <c r="A386" t="s">
        <v>3224</v>
      </c>
      <c r="B386" s="1">
        <v>41790</v>
      </c>
      <c r="C386">
        <v>10193</v>
      </c>
      <c r="D386">
        <v>1</v>
      </c>
      <c r="E386" t="s">
        <v>3225</v>
      </c>
      <c r="F386" s="191" t="s">
        <v>923</v>
      </c>
      <c r="G386" s="192" t="s">
        <v>927</v>
      </c>
      <c r="H386" s="212">
        <f t="shared" si="24"/>
        <v>298.25</v>
      </c>
      <c r="I386" s="212">
        <v>47.72</v>
      </c>
      <c r="J386" s="3"/>
      <c r="K386" s="3"/>
    </row>
    <row r="387" spans="1:11">
      <c r="A387" t="s">
        <v>3224</v>
      </c>
      <c r="B387" s="1">
        <v>41790</v>
      </c>
      <c r="C387">
        <v>10193</v>
      </c>
      <c r="D387">
        <v>1</v>
      </c>
      <c r="E387" t="s">
        <v>3225</v>
      </c>
      <c r="F387" s="191" t="s">
        <v>923</v>
      </c>
      <c r="G387" s="192" t="s">
        <v>927</v>
      </c>
      <c r="H387" s="212">
        <f t="shared" si="24"/>
        <v>44.8125</v>
      </c>
      <c r="I387" s="212">
        <v>7.17</v>
      </c>
      <c r="J387" s="3"/>
      <c r="K387" s="3"/>
    </row>
    <row r="388" spans="1:11">
      <c r="A388" t="s">
        <v>3224</v>
      </c>
      <c r="B388" s="1">
        <v>41790</v>
      </c>
      <c r="C388">
        <v>10193</v>
      </c>
      <c r="D388">
        <v>1</v>
      </c>
      <c r="E388" t="s">
        <v>3225</v>
      </c>
      <c r="F388" s="191" t="s">
        <v>2338</v>
      </c>
      <c r="G388" s="192" t="s">
        <v>2339</v>
      </c>
      <c r="H388" s="212">
        <f t="shared" si="24"/>
        <v>334.9375</v>
      </c>
      <c r="I388" s="212">
        <v>53.59</v>
      </c>
      <c r="J388" s="3"/>
      <c r="K388" s="3"/>
    </row>
    <row r="389" spans="1:11">
      <c r="A389" t="s">
        <v>3224</v>
      </c>
      <c r="B389" s="1">
        <v>41790</v>
      </c>
      <c r="C389">
        <v>10193</v>
      </c>
      <c r="D389">
        <v>1</v>
      </c>
      <c r="E389" t="s">
        <v>3225</v>
      </c>
      <c r="F389" s="191" t="s">
        <v>2342</v>
      </c>
      <c r="G389" s="192" t="s">
        <v>2343</v>
      </c>
      <c r="H389" s="212">
        <f t="shared" si="24"/>
        <v>86.187499999999986</v>
      </c>
      <c r="I389" s="212">
        <v>13.79</v>
      </c>
      <c r="J389" s="3">
        <f>884.94-H385-H386-H387-H388-H389</f>
        <v>2.5000000000687805E-3</v>
      </c>
      <c r="K389" s="3">
        <f>141.59-I385-I386-I387-I388-I389</f>
        <v>0</v>
      </c>
    </row>
    <row r="390" spans="1:11">
      <c r="A390" t="s">
        <v>1741</v>
      </c>
      <c r="B390" s="1">
        <v>41773</v>
      </c>
      <c r="C390">
        <v>10129</v>
      </c>
      <c r="D390">
        <v>1</v>
      </c>
      <c r="E390" t="s">
        <v>2465</v>
      </c>
      <c r="F390" s="187" t="s">
        <v>763</v>
      </c>
      <c r="G390" t="s">
        <v>900</v>
      </c>
      <c r="H390" s="141">
        <f t="shared" si="24"/>
        <v>607.9375</v>
      </c>
      <c r="I390" s="141">
        <v>97.27</v>
      </c>
      <c r="J390" s="3"/>
      <c r="K390" s="3"/>
    </row>
    <row r="391" spans="1:11">
      <c r="A391" t="s">
        <v>1741</v>
      </c>
      <c r="B391" s="1">
        <v>41773</v>
      </c>
      <c r="C391">
        <v>10129</v>
      </c>
      <c r="D391">
        <v>1</v>
      </c>
      <c r="E391" t="s">
        <v>2465</v>
      </c>
      <c r="F391" s="191" t="s">
        <v>1649</v>
      </c>
      <c r="G391" s="192" t="s">
        <v>2896</v>
      </c>
      <c r="H391" s="212">
        <f t="shared" si="24"/>
        <v>426.75</v>
      </c>
      <c r="I391" s="212">
        <v>68.28</v>
      </c>
      <c r="J391" s="3"/>
      <c r="K391" s="3"/>
    </row>
    <row r="392" spans="1:11">
      <c r="A392" t="s">
        <v>1741</v>
      </c>
      <c r="B392" s="1">
        <v>41773</v>
      </c>
      <c r="C392">
        <v>10129</v>
      </c>
      <c r="D392">
        <v>1</v>
      </c>
      <c r="E392" t="s">
        <v>2465</v>
      </c>
      <c r="F392" s="191" t="s">
        <v>923</v>
      </c>
      <c r="G392" s="192" t="s">
        <v>927</v>
      </c>
      <c r="H392" s="212">
        <f t="shared" si="24"/>
        <v>44.8125</v>
      </c>
      <c r="I392" s="212">
        <v>7.17</v>
      </c>
    </row>
    <row r="393" spans="1:11">
      <c r="A393" t="s">
        <v>1741</v>
      </c>
      <c r="B393" s="1">
        <v>41773</v>
      </c>
      <c r="C393">
        <v>10129</v>
      </c>
      <c r="D393">
        <v>1</v>
      </c>
      <c r="E393" t="s">
        <v>2465</v>
      </c>
      <c r="F393" s="191" t="s">
        <v>1629</v>
      </c>
      <c r="G393" s="192" t="s">
        <v>1630</v>
      </c>
      <c r="H393" s="212">
        <f t="shared" si="24"/>
        <v>322.4375</v>
      </c>
      <c r="I393" s="212">
        <v>51.59</v>
      </c>
    </row>
    <row r="394" spans="1:11">
      <c r="A394" t="s">
        <v>1741</v>
      </c>
      <c r="B394" s="1">
        <v>41773</v>
      </c>
      <c r="C394">
        <v>10129</v>
      </c>
      <c r="D394">
        <v>1</v>
      </c>
      <c r="E394" t="s">
        <v>2465</v>
      </c>
      <c r="F394" s="191" t="s">
        <v>1619</v>
      </c>
      <c r="G394" s="192" t="s">
        <v>1620</v>
      </c>
      <c r="H394" s="212">
        <f t="shared" si="24"/>
        <v>108.62499999999999</v>
      </c>
      <c r="I394" s="212">
        <v>17.38</v>
      </c>
    </row>
    <row r="395" spans="1:11">
      <c r="A395" t="s">
        <v>1741</v>
      </c>
      <c r="B395" s="1">
        <v>41773</v>
      </c>
      <c r="C395">
        <v>10129</v>
      </c>
      <c r="D395">
        <v>1</v>
      </c>
      <c r="E395" t="s">
        <v>2465</v>
      </c>
      <c r="F395" s="191" t="s">
        <v>1617</v>
      </c>
      <c r="G395" s="192" t="s">
        <v>2923</v>
      </c>
      <c r="H395" s="212">
        <f t="shared" si="24"/>
        <v>418.68749999999994</v>
      </c>
      <c r="I395" s="212">
        <v>66.989999999999995</v>
      </c>
    </row>
    <row r="396" spans="1:11">
      <c r="A396" t="s">
        <v>1741</v>
      </c>
      <c r="B396" s="1">
        <v>41773</v>
      </c>
      <c r="C396">
        <v>10129</v>
      </c>
      <c r="D396">
        <v>1</v>
      </c>
      <c r="E396" t="s">
        <v>2465</v>
      </c>
      <c r="F396" s="194" t="s">
        <v>925</v>
      </c>
      <c r="G396" s="192" t="s">
        <v>926</v>
      </c>
      <c r="H396" s="212">
        <f t="shared" si="24"/>
        <v>251.25</v>
      </c>
      <c r="I396" s="212">
        <v>40.200000000000003</v>
      </c>
      <c r="J396" s="13">
        <f>2180.5-H390-H391-H392-H393-H394-H395-H396</f>
        <v>0</v>
      </c>
      <c r="K396" s="13">
        <f>348.88-I390-I391-I392-I393-I395-I396-I394</f>
        <v>0</v>
      </c>
    </row>
    <row r="397" spans="1:11">
      <c r="A397" t="s">
        <v>421</v>
      </c>
      <c r="B397" s="1">
        <v>41790</v>
      </c>
      <c r="C397" t="s">
        <v>3267</v>
      </c>
      <c r="D397">
        <v>1</v>
      </c>
      <c r="E397" t="s">
        <v>3268</v>
      </c>
      <c r="F397" s="187" t="s">
        <v>763</v>
      </c>
      <c r="G397" t="s">
        <v>900</v>
      </c>
      <c r="H397" s="3">
        <f t="shared" si="4"/>
        <v>56.0625</v>
      </c>
      <c r="I397" s="3">
        <v>8.9700000000000006</v>
      </c>
    </row>
    <row r="398" spans="1:11">
      <c r="A398" t="s">
        <v>2035</v>
      </c>
      <c r="B398" s="1">
        <v>41790</v>
      </c>
      <c r="C398">
        <v>10191</v>
      </c>
      <c r="D398">
        <v>1</v>
      </c>
      <c r="E398" t="s">
        <v>3223</v>
      </c>
      <c r="F398" s="187" t="s">
        <v>763</v>
      </c>
      <c r="G398" t="s">
        <v>843</v>
      </c>
      <c r="H398" s="141">
        <f t="shared" ref="H398:H415" si="25">I398/0.16</f>
        <v>56.0625</v>
      </c>
      <c r="I398" s="141">
        <v>8.9700000000000006</v>
      </c>
      <c r="J398" s="3"/>
      <c r="K398" s="3"/>
    </row>
    <row r="399" spans="1:11">
      <c r="A399" t="s">
        <v>2035</v>
      </c>
      <c r="B399" s="1">
        <v>41790</v>
      </c>
      <c r="C399">
        <v>10191</v>
      </c>
      <c r="D399">
        <v>1</v>
      </c>
      <c r="E399" t="s">
        <v>3223</v>
      </c>
      <c r="F399" s="191" t="s">
        <v>923</v>
      </c>
      <c r="G399" s="192" t="s">
        <v>927</v>
      </c>
      <c r="H399" s="212">
        <f t="shared" si="25"/>
        <v>44.8125</v>
      </c>
      <c r="I399" s="212">
        <v>7.17</v>
      </c>
      <c r="J399" s="3"/>
      <c r="K399" s="3"/>
    </row>
    <row r="400" spans="1:11">
      <c r="A400" t="s">
        <v>2035</v>
      </c>
      <c r="B400" s="1">
        <v>41790</v>
      </c>
      <c r="C400">
        <v>10191</v>
      </c>
      <c r="D400">
        <v>1</v>
      </c>
      <c r="E400" t="s">
        <v>3223</v>
      </c>
      <c r="F400" s="191" t="s">
        <v>923</v>
      </c>
      <c r="G400" s="192" t="s">
        <v>927</v>
      </c>
      <c r="H400" s="212">
        <f t="shared" si="25"/>
        <v>31.874999999999996</v>
      </c>
      <c r="I400" s="212">
        <v>5.0999999999999996</v>
      </c>
    </row>
    <row r="401" spans="1:11">
      <c r="A401" t="s">
        <v>2035</v>
      </c>
      <c r="B401" s="1">
        <v>41790</v>
      </c>
      <c r="C401">
        <v>10191</v>
      </c>
      <c r="D401">
        <v>1</v>
      </c>
      <c r="E401" t="s">
        <v>3223</v>
      </c>
      <c r="F401" s="191" t="s">
        <v>923</v>
      </c>
      <c r="G401" s="192" t="s">
        <v>927</v>
      </c>
      <c r="H401" s="212">
        <f t="shared" si="25"/>
        <v>24.125</v>
      </c>
      <c r="I401" s="212">
        <v>3.86</v>
      </c>
    </row>
    <row r="402" spans="1:11">
      <c r="A402" t="s">
        <v>2035</v>
      </c>
      <c r="B402" s="1">
        <v>41790</v>
      </c>
      <c r="C402">
        <v>10191</v>
      </c>
      <c r="D402">
        <v>1</v>
      </c>
      <c r="E402" t="s">
        <v>3223</v>
      </c>
      <c r="F402" s="191" t="s">
        <v>3528</v>
      </c>
      <c r="G402" s="192" t="s">
        <v>3533</v>
      </c>
      <c r="H402" s="212">
        <f t="shared" si="25"/>
        <v>82.75</v>
      </c>
      <c r="I402" s="212">
        <v>13.24</v>
      </c>
    </row>
    <row r="403" spans="1:11">
      <c r="A403" t="s">
        <v>2035</v>
      </c>
      <c r="B403" s="1">
        <v>41790</v>
      </c>
      <c r="C403">
        <v>10191</v>
      </c>
      <c r="D403">
        <v>1</v>
      </c>
      <c r="E403" t="s">
        <v>3223</v>
      </c>
      <c r="F403" s="191" t="s">
        <v>3534</v>
      </c>
      <c r="G403" s="192" t="s">
        <v>3535</v>
      </c>
      <c r="H403" s="212">
        <f t="shared" si="25"/>
        <v>360.1875</v>
      </c>
      <c r="I403" s="212">
        <v>57.63</v>
      </c>
      <c r="J403" s="13">
        <f>599.81-H398-H399-H400-H401-H402-H403</f>
        <v>-2.5000000000545697E-3</v>
      </c>
      <c r="K403" s="13">
        <f>95.97-I398-I399-I400-I401-I402-I403</f>
        <v>0</v>
      </c>
    </row>
    <row r="404" spans="1:11">
      <c r="A404" t="s">
        <v>382</v>
      </c>
      <c r="B404" s="1">
        <v>41790</v>
      </c>
      <c r="C404" t="s">
        <v>3226</v>
      </c>
      <c r="D404">
        <v>1</v>
      </c>
      <c r="E404" t="s">
        <v>3227</v>
      </c>
      <c r="F404" s="187" t="s">
        <v>763</v>
      </c>
      <c r="G404" s="9" t="s">
        <v>843</v>
      </c>
      <c r="H404" s="141">
        <f t="shared" si="25"/>
        <v>559.5625</v>
      </c>
      <c r="I404" s="141">
        <v>89.53</v>
      </c>
      <c r="J404" s="3"/>
      <c r="K404" s="3"/>
    </row>
    <row r="405" spans="1:11">
      <c r="A405" t="s">
        <v>382</v>
      </c>
      <c r="B405" s="1">
        <v>41790</v>
      </c>
      <c r="C405" t="s">
        <v>3226</v>
      </c>
      <c r="D405">
        <v>1</v>
      </c>
      <c r="E405" t="s">
        <v>3227</v>
      </c>
      <c r="F405" s="191" t="s">
        <v>1635</v>
      </c>
      <c r="G405" s="192" t="s">
        <v>1636</v>
      </c>
      <c r="H405" s="212">
        <f t="shared" si="25"/>
        <v>81.875</v>
      </c>
      <c r="I405" s="212">
        <v>13.1</v>
      </c>
      <c r="J405" s="3"/>
      <c r="K405" s="3"/>
    </row>
    <row r="406" spans="1:11">
      <c r="A406" t="s">
        <v>382</v>
      </c>
      <c r="B406" s="1">
        <v>41790</v>
      </c>
      <c r="C406" t="s">
        <v>3226</v>
      </c>
      <c r="D406">
        <v>1</v>
      </c>
      <c r="E406" t="s">
        <v>3227</v>
      </c>
      <c r="F406" s="191" t="s">
        <v>2902</v>
      </c>
      <c r="G406" s="192" t="s">
        <v>3538</v>
      </c>
      <c r="H406" s="212">
        <f t="shared" si="25"/>
        <v>209.375</v>
      </c>
      <c r="I406" s="212">
        <v>33.5</v>
      </c>
      <c r="J406" s="3">
        <f>850.81-H404-H405-H406</f>
        <v>-2.5000000000545697E-3</v>
      </c>
      <c r="K406" s="3">
        <f>136.13-I404-I405-I406</f>
        <v>0</v>
      </c>
    </row>
    <row r="407" spans="1:11">
      <c r="A407" t="s">
        <v>3273</v>
      </c>
      <c r="B407" s="1">
        <v>41790</v>
      </c>
      <c r="C407" t="s">
        <v>3274</v>
      </c>
      <c r="D407">
        <v>1</v>
      </c>
      <c r="E407" t="s">
        <v>3275</v>
      </c>
      <c r="F407" s="187" t="s">
        <v>763</v>
      </c>
      <c r="G407" t="s">
        <v>900</v>
      </c>
      <c r="H407" s="141">
        <f t="shared" si="25"/>
        <v>275.0625</v>
      </c>
      <c r="I407" s="141">
        <v>44.01</v>
      </c>
      <c r="J407" s="3"/>
      <c r="K407" s="3"/>
    </row>
    <row r="408" spans="1:11">
      <c r="A408" t="s">
        <v>3273</v>
      </c>
      <c r="B408" s="1">
        <v>41790</v>
      </c>
      <c r="C408" t="s">
        <v>3274</v>
      </c>
      <c r="D408">
        <v>1</v>
      </c>
      <c r="E408" t="s">
        <v>3275</v>
      </c>
      <c r="F408" s="191" t="s">
        <v>923</v>
      </c>
      <c r="G408" s="192" t="s">
        <v>927</v>
      </c>
      <c r="H408" s="212">
        <f t="shared" si="25"/>
        <v>300.875</v>
      </c>
      <c r="I408" s="212">
        <v>48.14</v>
      </c>
      <c r="J408" s="3"/>
      <c r="K408" s="3"/>
    </row>
    <row r="409" spans="1:11">
      <c r="A409" t="s">
        <v>3273</v>
      </c>
      <c r="B409" s="1">
        <v>41790</v>
      </c>
      <c r="C409" t="s">
        <v>3274</v>
      </c>
      <c r="D409">
        <v>1</v>
      </c>
      <c r="E409" t="s">
        <v>3275</v>
      </c>
      <c r="F409" s="184" t="s">
        <v>905</v>
      </c>
      <c r="G409" s="205" t="s">
        <v>1599</v>
      </c>
      <c r="H409" s="215">
        <f t="shared" si="25"/>
        <v>402.125</v>
      </c>
      <c r="I409" s="215">
        <v>64.34</v>
      </c>
      <c r="J409" s="3"/>
      <c r="K409" s="3"/>
    </row>
    <row r="410" spans="1:11">
      <c r="A410" t="s">
        <v>3273</v>
      </c>
      <c r="B410" s="1">
        <v>41790</v>
      </c>
      <c r="C410" t="s">
        <v>3274</v>
      </c>
      <c r="D410">
        <v>1</v>
      </c>
      <c r="E410" t="s">
        <v>3275</v>
      </c>
      <c r="F410" s="191" t="s">
        <v>2342</v>
      </c>
      <c r="G410" s="192" t="s">
        <v>2343</v>
      </c>
      <c r="H410" s="212">
        <f t="shared" si="25"/>
        <v>77.5625</v>
      </c>
      <c r="I410" s="212">
        <v>12.41</v>
      </c>
      <c r="J410" s="3">
        <f>1055.63-H407-H408-H409-H410</f>
        <v>5.0000000001091394E-3</v>
      </c>
      <c r="K410" s="3">
        <f>168.9-I407-I408-I409-I410</f>
        <v>0</v>
      </c>
    </row>
    <row r="411" spans="1:11">
      <c r="A411" t="s">
        <v>327</v>
      </c>
      <c r="B411" s="1">
        <v>41790</v>
      </c>
      <c r="C411" t="s">
        <v>3213</v>
      </c>
      <c r="D411">
        <v>1</v>
      </c>
      <c r="E411" t="s">
        <v>3214</v>
      </c>
      <c r="F411" s="187" t="s">
        <v>763</v>
      </c>
      <c r="G411" t="s">
        <v>3537</v>
      </c>
      <c r="H411" s="141">
        <f t="shared" si="25"/>
        <v>56.0625</v>
      </c>
      <c r="I411" s="141">
        <v>8.9700000000000006</v>
      </c>
      <c r="J411" s="3"/>
      <c r="K411" s="3"/>
    </row>
    <row r="412" spans="1:11">
      <c r="A412" t="s">
        <v>327</v>
      </c>
      <c r="B412" s="1">
        <v>41790</v>
      </c>
      <c r="C412" t="s">
        <v>3213</v>
      </c>
      <c r="D412">
        <v>1</v>
      </c>
      <c r="E412" t="s">
        <v>3214</v>
      </c>
      <c r="F412" s="191" t="s">
        <v>923</v>
      </c>
      <c r="G412" s="192" t="s">
        <v>927</v>
      </c>
      <c r="H412" s="212">
        <f t="shared" si="25"/>
        <v>53.4375</v>
      </c>
      <c r="I412" s="212">
        <v>8.5500000000000007</v>
      </c>
      <c r="J412" s="3"/>
      <c r="K412" s="3"/>
    </row>
    <row r="413" spans="1:11">
      <c r="A413" t="s">
        <v>327</v>
      </c>
      <c r="B413" s="1">
        <v>41790</v>
      </c>
      <c r="C413" t="s">
        <v>3213</v>
      </c>
      <c r="D413">
        <v>1</v>
      </c>
      <c r="E413" t="s">
        <v>3214</v>
      </c>
      <c r="F413" s="191" t="s">
        <v>2365</v>
      </c>
      <c r="G413" s="192" t="s">
        <v>2366</v>
      </c>
      <c r="H413" s="212">
        <f t="shared" si="25"/>
        <v>83.75</v>
      </c>
      <c r="I413" s="212">
        <v>13.4</v>
      </c>
      <c r="J413" s="3">
        <f>193.25-H411-H412-H413</f>
        <v>0</v>
      </c>
      <c r="K413" s="3">
        <f>30.92-I411-I412-I413</f>
        <v>0</v>
      </c>
    </row>
    <row r="414" spans="1:11">
      <c r="A414" t="s">
        <v>2106</v>
      </c>
      <c r="B414" s="1">
        <v>41790</v>
      </c>
      <c r="C414" t="s">
        <v>3262</v>
      </c>
      <c r="D414">
        <v>1</v>
      </c>
      <c r="E414" t="s">
        <v>3263</v>
      </c>
      <c r="F414" s="217" t="s">
        <v>1553</v>
      </c>
      <c r="G414" t="s">
        <v>900</v>
      </c>
      <c r="H414" s="141">
        <f t="shared" si="25"/>
        <v>56.0625</v>
      </c>
      <c r="I414" s="141">
        <v>8.9700000000000006</v>
      </c>
      <c r="J414" s="3"/>
      <c r="K414" s="3"/>
    </row>
    <row r="415" spans="1:11">
      <c r="A415" t="s">
        <v>2106</v>
      </c>
      <c r="B415" s="1">
        <v>41790</v>
      </c>
      <c r="C415" t="s">
        <v>3262</v>
      </c>
      <c r="D415">
        <v>1</v>
      </c>
      <c r="E415" t="s">
        <v>3263</v>
      </c>
      <c r="F415" s="137" t="s">
        <v>894</v>
      </c>
      <c r="G415" s="205" t="s">
        <v>3515</v>
      </c>
      <c r="H415" s="215">
        <f t="shared" si="25"/>
        <v>209.375</v>
      </c>
      <c r="I415" s="215">
        <v>33.5</v>
      </c>
      <c r="J415" s="13">
        <f>265.44-H414-H415</f>
        <v>2.4999999999977263E-3</v>
      </c>
      <c r="K415" s="13">
        <f>42.47-I414-I415</f>
        <v>0</v>
      </c>
    </row>
    <row r="416" spans="1:11">
      <c r="A416" t="s">
        <v>1229</v>
      </c>
      <c r="B416" s="1">
        <v>41789</v>
      </c>
      <c r="C416" t="s">
        <v>3195</v>
      </c>
      <c r="D416">
        <v>1</v>
      </c>
      <c r="E416" t="s">
        <v>3196</v>
      </c>
      <c r="F416" s="193" t="s">
        <v>2367</v>
      </c>
      <c r="G416" s="192" t="s">
        <v>2368</v>
      </c>
      <c r="H416" s="3">
        <f t="shared" si="4"/>
        <v>320437.1875</v>
      </c>
      <c r="I416" s="3">
        <v>51269.95</v>
      </c>
    </row>
    <row r="417" spans="1:9">
      <c r="A417" t="s">
        <v>3091</v>
      </c>
      <c r="B417" s="1">
        <v>41782</v>
      </c>
      <c r="C417" t="s">
        <v>3092</v>
      </c>
      <c r="D417">
        <v>1</v>
      </c>
      <c r="E417" t="s">
        <v>3093</v>
      </c>
      <c r="F417" s="193" t="s">
        <v>2367</v>
      </c>
      <c r="G417" s="192" t="s">
        <v>2368</v>
      </c>
      <c r="H417" s="3">
        <f t="shared" si="4"/>
        <v>261241.3125</v>
      </c>
      <c r="I417" s="3">
        <v>41798.61</v>
      </c>
    </row>
    <row r="418" spans="1:9">
      <c r="A418" t="s">
        <v>3067</v>
      </c>
      <c r="B418" s="1">
        <v>41774</v>
      </c>
      <c r="C418">
        <v>10158</v>
      </c>
      <c r="D418">
        <v>1</v>
      </c>
      <c r="E418" t="s">
        <v>3068</v>
      </c>
      <c r="F418" s="187" t="s">
        <v>3539</v>
      </c>
      <c r="G418" s="201" t="s">
        <v>3068</v>
      </c>
      <c r="H418" s="3">
        <f t="shared" si="4"/>
        <v>80</v>
      </c>
      <c r="I418" s="3">
        <v>12.8</v>
      </c>
    </row>
    <row r="419" spans="1:9">
      <c r="A419" t="s">
        <v>1372</v>
      </c>
      <c r="B419" s="1">
        <v>41773</v>
      </c>
      <c r="C419" t="s">
        <v>3350</v>
      </c>
      <c r="D419">
        <v>2</v>
      </c>
      <c r="E419" t="s">
        <v>3351</v>
      </c>
      <c r="F419" s="191" t="s">
        <v>3540</v>
      </c>
      <c r="G419" s="192" t="s">
        <v>3351</v>
      </c>
      <c r="H419" s="3">
        <f t="shared" si="4"/>
        <v>3100</v>
      </c>
      <c r="I419" s="3">
        <v>496</v>
      </c>
    </row>
    <row r="420" spans="1:9">
      <c r="A420" t="s">
        <v>2045</v>
      </c>
      <c r="B420" s="1">
        <v>41790</v>
      </c>
      <c r="C420">
        <v>10199</v>
      </c>
      <c r="D420">
        <v>1</v>
      </c>
      <c r="E420" t="s">
        <v>2613</v>
      </c>
      <c r="F420" s="191" t="s">
        <v>1662</v>
      </c>
      <c r="G420" s="192" t="s">
        <v>2613</v>
      </c>
      <c r="H420" s="3">
        <f t="shared" si="4"/>
        <v>122</v>
      </c>
      <c r="I420" s="3">
        <v>19.52</v>
      </c>
    </row>
    <row r="422" spans="1:9">
      <c r="H422" s="3">
        <f>SUM(H7:H421)</f>
        <v>25793430.375</v>
      </c>
      <c r="I422" s="3">
        <f>SUM(I7:I421)</f>
        <v>4126948.8600000031</v>
      </c>
    </row>
    <row r="424" spans="1:9">
      <c r="H424" s="3">
        <f>4319478.33-192529.58</f>
        <v>4126948.75</v>
      </c>
      <c r="I424" s="3">
        <f>+H424-I422</f>
        <v>-0.11000000312924385</v>
      </c>
    </row>
  </sheetData>
  <sortState ref="A1:K432">
    <sortCondition ref="E1:E4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96"/>
  <sheetViews>
    <sheetView zoomScaleNormal="100" workbookViewId="0">
      <pane ySplit="6" topLeftCell="A7" activePane="bottomLeft" state="frozen"/>
      <selection pane="bottomLeft" activeCell="M12" sqref="M12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28515625" bestFit="1" customWidth="1"/>
    <col min="4" max="4" width="2" bestFit="1" customWidth="1"/>
    <col min="5" max="5" width="39.85546875" bestFit="1" customWidth="1"/>
    <col min="6" max="6" width="22.28515625" customWidth="1"/>
    <col min="7" max="7" width="21.140625" customWidth="1"/>
    <col min="8" max="8" width="14.140625" style="3" bestFit="1" customWidth="1"/>
    <col min="9" max="9" width="13.140625" style="3" bestFit="1" customWidth="1"/>
    <col min="10" max="10" width="11.42578125" customWidth="1"/>
  </cols>
  <sheetData>
    <row r="1" spans="1:9">
      <c r="A1" t="s">
        <v>707</v>
      </c>
    </row>
    <row r="2" spans="1:9">
      <c r="A2" t="s">
        <v>3960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448</v>
      </c>
      <c r="B7" s="1">
        <v>41797</v>
      </c>
      <c r="C7" t="s">
        <v>3859</v>
      </c>
      <c r="D7">
        <v>1</v>
      </c>
      <c r="E7" t="s">
        <v>3370</v>
      </c>
      <c r="F7" t="s">
        <v>3455</v>
      </c>
      <c r="G7" s="219" t="s">
        <v>3961</v>
      </c>
      <c r="H7" s="3">
        <f>+I7/0.16</f>
        <v>37090.5</v>
      </c>
      <c r="I7" s="3">
        <v>5934.48</v>
      </c>
    </row>
    <row r="8" spans="1:9">
      <c r="A8" t="s">
        <v>3625</v>
      </c>
      <c r="B8" s="1">
        <v>41813</v>
      </c>
      <c r="C8" t="s">
        <v>3603</v>
      </c>
      <c r="D8">
        <v>1</v>
      </c>
      <c r="E8" t="s">
        <v>1809</v>
      </c>
      <c r="F8" s="138" t="s">
        <v>818</v>
      </c>
      <c r="G8" s="220" t="s">
        <v>788</v>
      </c>
      <c r="H8" s="3">
        <f t="shared" ref="H8:H81" si="0">+I8/0.16</f>
        <v>224993.125</v>
      </c>
      <c r="I8" s="3">
        <v>35998.9</v>
      </c>
    </row>
    <row r="9" spans="1:9">
      <c r="A9" t="s">
        <v>3634</v>
      </c>
      <c r="B9" s="1">
        <v>41814</v>
      </c>
      <c r="C9" t="s">
        <v>3635</v>
      </c>
      <c r="D9">
        <v>1</v>
      </c>
      <c r="E9" t="s">
        <v>3636</v>
      </c>
      <c r="F9" s="138" t="s">
        <v>1533</v>
      </c>
      <c r="G9" s="138" t="s">
        <v>1534</v>
      </c>
      <c r="H9" s="3">
        <f t="shared" si="0"/>
        <v>216185.75</v>
      </c>
      <c r="I9" s="3">
        <v>34589.72</v>
      </c>
    </row>
    <row r="10" spans="1:9">
      <c r="A10" t="s">
        <v>2485</v>
      </c>
      <c r="B10" s="1">
        <v>41808</v>
      </c>
      <c r="C10" t="s">
        <v>3603</v>
      </c>
      <c r="D10">
        <v>1</v>
      </c>
      <c r="E10" t="s">
        <v>3604</v>
      </c>
      <c r="F10" s="138" t="s">
        <v>787</v>
      </c>
      <c r="G10" s="220" t="s">
        <v>788</v>
      </c>
      <c r="H10" s="3">
        <f t="shared" si="0"/>
        <v>224993.125</v>
      </c>
      <c r="I10" s="3">
        <v>35998.9</v>
      </c>
    </row>
    <row r="11" spans="1:9">
      <c r="A11" t="s">
        <v>3639</v>
      </c>
      <c r="B11" s="1">
        <v>41815</v>
      </c>
      <c r="C11" t="s">
        <v>3640</v>
      </c>
      <c r="D11">
        <v>1</v>
      </c>
      <c r="E11" t="s">
        <v>3641</v>
      </c>
      <c r="F11" s="138" t="s">
        <v>1533</v>
      </c>
      <c r="G11" s="138" t="s">
        <v>1534</v>
      </c>
      <c r="H11" s="3">
        <f t="shared" si="0"/>
        <v>216185.75</v>
      </c>
      <c r="I11" s="3">
        <v>34589.72</v>
      </c>
    </row>
    <row r="12" spans="1:9">
      <c r="A12" t="s">
        <v>3642</v>
      </c>
      <c r="B12" s="1">
        <v>41815</v>
      </c>
      <c r="C12" t="s">
        <v>3643</v>
      </c>
      <c r="D12">
        <v>1</v>
      </c>
      <c r="E12" t="s">
        <v>3644</v>
      </c>
      <c r="F12" s="9" t="s">
        <v>783</v>
      </c>
      <c r="G12" s="220" t="s">
        <v>1987</v>
      </c>
      <c r="H12" s="3">
        <f t="shared" si="0"/>
        <v>156573.6875</v>
      </c>
      <c r="I12" s="3">
        <v>25051.79</v>
      </c>
    </row>
    <row r="13" spans="1:9">
      <c r="A13" t="s">
        <v>362</v>
      </c>
      <c r="B13" s="1">
        <v>41820</v>
      </c>
      <c r="C13">
        <v>10330</v>
      </c>
      <c r="D13">
        <v>1</v>
      </c>
      <c r="E13" t="s">
        <v>272</v>
      </c>
      <c r="F13" s="203" t="s">
        <v>719</v>
      </c>
      <c r="G13" s="220" t="s">
        <v>272</v>
      </c>
      <c r="H13" s="3">
        <f t="shared" si="0"/>
        <v>135.6875</v>
      </c>
      <c r="I13" s="3">
        <v>21.71</v>
      </c>
    </row>
    <row r="14" spans="1:9">
      <c r="A14" t="s">
        <v>445</v>
      </c>
      <c r="B14" s="1">
        <v>41797</v>
      </c>
      <c r="C14" t="s">
        <v>3858</v>
      </c>
      <c r="D14">
        <v>1</v>
      </c>
      <c r="E14" t="s">
        <v>2128</v>
      </c>
      <c r="F14" t="s">
        <v>2280</v>
      </c>
      <c r="G14" s="219" t="s">
        <v>3962</v>
      </c>
      <c r="H14" s="3">
        <f t="shared" si="0"/>
        <v>3103.4375</v>
      </c>
      <c r="I14" s="3">
        <v>496.55</v>
      </c>
    </row>
    <row r="15" spans="1:9">
      <c r="A15" t="s">
        <v>3814</v>
      </c>
      <c r="B15" s="1">
        <v>41820</v>
      </c>
      <c r="C15" t="s">
        <v>3815</v>
      </c>
      <c r="D15">
        <v>1</v>
      </c>
      <c r="E15" t="s">
        <v>123</v>
      </c>
      <c r="F15" s="9" t="s">
        <v>721</v>
      </c>
      <c r="G15" s="138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3819</v>
      </c>
      <c r="B16" s="1">
        <v>41820</v>
      </c>
      <c r="C16" t="s">
        <v>3820</v>
      </c>
      <c r="D16">
        <v>1</v>
      </c>
      <c r="E16" t="s">
        <v>123</v>
      </c>
      <c r="F16" s="9" t="s">
        <v>721</v>
      </c>
      <c r="G16" s="138" t="s">
        <v>123</v>
      </c>
      <c r="H16" s="3">
        <f t="shared" si="0"/>
        <v>215.49999999999997</v>
      </c>
      <c r="I16" s="3">
        <v>34.479999999999997</v>
      </c>
    </row>
    <row r="17" spans="1:10">
      <c r="A17" t="s">
        <v>3821</v>
      </c>
      <c r="B17" s="1">
        <v>41820</v>
      </c>
      <c r="C17" t="s">
        <v>3822</v>
      </c>
      <c r="D17">
        <v>1</v>
      </c>
      <c r="E17" t="s">
        <v>123</v>
      </c>
      <c r="F17" s="9" t="s">
        <v>721</v>
      </c>
      <c r="G17" s="138" t="s">
        <v>123</v>
      </c>
      <c r="H17" s="3">
        <f t="shared" si="0"/>
        <v>215.49999999999997</v>
      </c>
      <c r="I17" s="3">
        <v>34.479999999999997</v>
      </c>
    </row>
    <row r="18" spans="1:10">
      <c r="A18" t="s">
        <v>3826</v>
      </c>
      <c r="B18" s="1">
        <v>41820</v>
      </c>
      <c r="C18" t="s">
        <v>3827</v>
      </c>
      <c r="D18">
        <v>1</v>
      </c>
      <c r="E18" t="s">
        <v>123</v>
      </c>
      <c r="F18" s="9" t="s">
        <v>721</v>
      </c>
      <c r="G18" s="138" t="s">
        <v>123</v>
      </c>
      <c r="H18" s="3">
        <f t="shared" si="0"/>
        <v>215.49999999999997</v>
      </c>
      <c r="I18" s="3">
        <v>34.479999999999997</v>
      </c>
    </row>
    <row r="19" spans="1:10">
      <c r="A19" t="s">
        <v>3837</v>
      </c>
      <c r="B19" s="1">
        <v>41820</v>
      </c>
      <c r="C19" t="s">
        <v>3838</v>
      </c>
      <c r="D19">
        <v>1</v>
      </c>
      <c r="E19" t="s">
        <v>123</v>
      </c>
      <c r="F19" s="9" t="s">
        <v>721</v>
      </c>
      <c r="G19" s="138" t="s">
        <v>123</v>
      </c>
      <c r="H19" s="3">
        <f t="shared" si="0"/>
        <v>215.49999999999997</v>
      </c>
      <c r="I19" s="3">
        <v>34.479999999999997</v>
      </c>
    </row>
    <row r="20" spans="1:10">
      <c r="A20" t="s">
        <v>2719</v>
      </c>
      <c r="B20" s="1">
        <v>41804</v>
      </c>
      <c r="C20" t="s">
        <v>3876</v>
      </c>
      <c r="D20">
        <v>1</v>
      </c>
      <c r="E20" t="s">
        <v>3877</v>
      </c>
      <c r="F20" s="15" t="s">
        <v>3963</v>
      </c>
      <c r="G20" s="220" t="s">
        <v>3964</v>
      </c>
      <c r="H20" s="3">
        <f t="shared" si="0"/>
        <v>100737</v>
      </c>
      <c r="I20" s="3">
        <v>16117.92</v>
      </c>
    </row>
    <row r="21" spans="1:10">
      <c r="A21" t="s">
        <v>3653</v>
      </c>
      <c r="B21" s="1">
        <v>41816</v>
      </c>
      <c r="C21" t="s">
        <v>3650</v>
      </c>
      <c r="D21">
        <v>1</v>
      </c>
      <c r="E21" t="s">
        <v>3201</v>
      </c>
      <c r="F21" s="15" t="s">
        <v>785</v>
      </c>
      <c r="G21" s="15" t="s">
        <v>786</v>
      </c>
      <c r="H21" s="3">
        <f t="shared" si="0"/>
        <v>216185.75</v>
      </c>
      <c r="I21" s="3">
        <v>34589.72</v>
      </c>
    </row>
    <row r="22" spans="1:10">
      <c r="A22" t="s">
        <v>3553</v>
      </c>
      <c r="B22" s="1">
        <v>41795</v>
      </c>
      <c r="C22" t="s">
        <v>3554</v>
      </c>
      <c r="D22">
        <v>1</v>
      </c>
      <c r="E22" t="s">
        <v>3555</v>
      </c>
      <c r="F22" s="221" t="s">
        <v>2864</v>
      </c>
      <c r="G22" s="222" t="s">
        <v>2865</v>
      </c>
      <c r="H22" s="3">
        <f t="shared" si="0"/>
        <v>382307.875</v>
      </c>
      <c r="I22" s="3">
        <v>61169.26</v>
      </c>
    </row>
    <row r="23" spans="1:10">
      <c r="A23" t="s">
        <v>3654</v>
      </c>
      <c r="B23" s="1">
        <v>41816</v>
      </c>
      <c r="C23" t="s">
        <v>3655</v>
      </c>
      <c r="D23">
        <v>1</v>
      </c>
      <c r="E23" t="s">
        <v>771</v>
      </c>
      <c r="F23" s="15" t="s">
        <v>785</v>
      </c>
      <c r="G23" s="15" t="s">
        <v>786</v>
      </c>
      <c r="H23" s="3">
        <f t="shared" si="0"/>
        <v>216185.75</v>
      </c>
      <c r="I23" s="3">
        <v>34589.72</v>
      </c>
    </row>
    <row r="24" spans="1:10">
      <c r="A24" t="s">
        <v>1188</v>
      </c>
      <c r="B24" s="1">
        <v>41816</v>
      </c>
      <c r="C24" t="s">
        <v>3651</v>
      </c>
      <c r="D24">
        <v>1</v>
      </c>
      <c r="E24" t="s">
        <v>3652</v>
      </c>
      <c r="F24" s="15" t="s">
        <v>785</v>
      </c>
      <c r="G24" s="15" t="s">
        <v>786</v>
      </c>
      <c r="H24" s="3">
        <f t="shared" si="0"/>
        <v>216185.75</v>
      </c>
      <c r="I24" s="3">
        <v>34589.72</v>
      </c>
    </row>
    <row r="25" spans="1:10">
      <c r="A25" t="s">
        <v>3702</v>
      </c>
      <c r="B25" s="1">
        <v>41817</v>
      </c>
      <c r="C25" t="s">
        <v>3703</v>
      </c>
      <c r="D25">
        <v>1</v>
      </c>
      <c r="E25" t="s">
        <v>3704</v>
      </c>
      <c r="F25" s="221" t="s">
        <v>2864</v>
      </c>
      <c r="G25" s="222" t="s">
        <v>2865</v>
      </c>
      <c r="H25" s="3">
        <f t="shared" si="0"/>
        <v>320437.1875</v>
      </c>
      <c r="I25" s="3">
        <v>51269.95</v>
      </c>
    </row>
    <row r="26" spans="1:10">
      <c r="A26" t="s">
        <v>1998</v>
      </c>
      <c r="B26" s="1">
        <v>41820</v>
      </c>
      <c r="C26" t="s">
        <v>3718</v>
      </c>
      <c r="D26">
        <v>1</v>
      </c>
      <c r="E26" t="s">
        <v>3719</v>
      </c>
      <c r="F26" s="221" t="s">
        <v>2864</v>
      </c>
      <c r="G26" s="222" t="s">
        <v>2865</v>
      </c>
      <c r="H26" s="3">
        <f t="shared" si="0"/>
        <v>320437.1875</v>
      </c>
      <c r="I26" s="3">
        <v>51269.95</v>
      </c>
    </row>
    <row r="27" spans="1:10">
      <c r="A27" t="s">
        <v>1988</v>
      </c>
      <c r="B27" s="1">
        <v>41820</v>
      </c>
      <c r="C27" t="s">
        <v>3715</v>
      </c>
      <c r="D27">
        <v>1</v>
      </c>
      <c r="E27" t="s">
        <v>2445</v>
      </c>
      <c r="F27" s="9" t="s">
        <v>2282</v>
      </c>
      <c r="G27" s="138" t="s">
        <v>2283</v>
      </c>
      <c r="H27" s="3">
        <f t="shared" si="0"/>
        <v>260965.50000000003</v>
      </c>
      <c r="I27" s="3">
        <v>41754.480000000003</v>
      </c>
    </row>
    <row r="28" spans="1:10">
      <c r="A28" t="s">
        <v>3616</v>
      </c>
      <c r="B28" s="1">
        <v>41810</v>
      </c>
      <c r="C28" t="s">
        <v>3617</v>
      </c>
      <c r="D28">
        <v>1</v>
      </c>
      <c r="E28" t="s">
        <v>3618</v>
      </c>
      <c r="F28" t="s">
        <v>2284</v>
      </c>
      <c r="G28" s="219" t="s">
        <v>2285</v>
      </c>
      <c r="H28" s="3">
        <f t="shared" si="0"/>
        <v>164099.5625</v>
      </c>
      <c r="I28" s="3">
        <v>26255.93</v>
      </c>
    </row>
    <row r="29" spans="1:10">
      <c r="A29" t="s">
        <v>3577</v>
      </c>
      <c r="B29" s="1">
        <v>41807</v>
      </c>
      <c r="C29">
        <v>10252</v>
      </c>
      <c r="D29">
        <v>1</v>
      </c>
      <c r="E29" t="s">
        <v>264</v>
      </c>
      <c r="F29" s="203" t="s">
        <v>724</v>
      </c>
      <c r="G29" s="220" t="s">
        <v>1137</v>
      </c>
      <c r="H29" s="3">
        <f t="shared" si="0"/>
        <v>68.8125</v>
      </c>
      <c r="I29" s="3">
        <v>11.01</v>
      </c>
    </row>
    <row r="30" spans="1:10">
      <c r="A30" t="s">
        <v>3831</v>
      </c>
      <c r="B30" s="1">
        <v>41820</v>
      </c>
      <c r="C30" t="s">
        <v>3832</v>
      </c>
      <c r="D30">
        <v>1</v>
      </c>
      <c r="E30" t="s">
        <v>264</v>
      </c>
      <c r="F30" t="s">
        <v>724</v>
      </c>
      <c r="G30" s="219" t="s">
        <v>264</v>
      </c>
      <c r="H30" s="3">
        <f t="shared" si="0"/>
        <v>86</v>
      </c>
      <c r="I30" s="3">
        <v>13.76</v>
      </c>
    </row>
    <row r="31" spans="1:10">
      <c r="A31" t="s">
        <v>3835</v>
      </c>
      <c r="B31" s="1">
        <v>41820</v>
      </c>
      <c r="C31" t="s">
        <v>3836</v>
      </c>
      <c r="D31">
        <v>1</v>
      </c>
      <c r="E31" t="s">
        <v>2605</v>
      </c>
      <c r="F31" t="s">
        <v>724</v>
      </c>
      <c r="G31" s="219" t="s">
        <v>264</v>
      </c>
      <c r="H31" s="3">
        <f t="shared" si="0"/>
        <v>111.9375</v>
      </c>
      <c r="I31" s="3">
        <v>17.91</v>
      </c>
    </row>
    <row r="32" spans="1:10">
      <c r="A32" t="s">
        <v>487</v>
      </c>
      <c r="B32" s="1">
        <v>41803</v>
      </c>
      <c r="C32" t="s">
        <v>3872</v>
      </c>
      <c r="D32">
        <v>1</v>
      </c>
      <c r="E32" t="s">
        <v>3334</v>
      </c>
      <c r="F32" s="193" t="s">
        <v>818</v>
      </c>
      <c r="G32" s="223" t="s">
        <v>429</v>
      </c>
      <c r="H32" s="3">
        <f t="shared" si="0"/>
        <v>-76535.75</v>
      </c>
      <c r="I32" s="3">
        <v>-12245.72</v>
      </c>
      <c r="J32" s="2"/>
    </row>
    <row r="33" spans="1:11">
      <c r="A33" t="s">
        <v>3742</v>
      </c>
      <c r="B33" s="1">
        <v>41820</v>
      </c>
      <c r="C33">
        <v>10361</v>
      </c>
      <c r="D33">
        <v>1</v>
      </c>
      <c r="E33" t="s">
        <v>3240</v>
      </c>
      <c r="F33" s="203" t="s">
        <v>3460</v>
      </c>
      <c r="G33" s="220" t="s">
        <v>3240</v>
      </c>
      <c r="H33" s="3">
        <f t="shared" si="0"/>
        <v>818.99999999999989</v>
      </c>
      <c r="I33" s="3">
        <v>131.04</v>
      </c>
    </row>
    <row r="34" spans="1:11">
      <c r="A34" t="s">
        <v>411</v>
      </c>
      <c r="B34" s="1">
        <v>41820</v>
      </c>
      <c r="C34">
        <v>10362</v>
      </c>
      <c r="D34">
        <v>1</v>
      </c>
      <c r="E34" t="s">
        <v>3240</v>
      </c>
      <c r="F34" s="203" t="s">
        <v>3460</v>
      </c>
      <c r="G34" s="220" t="s">
        <v>3240</v>
      </c>
      <c r="H34" s="3">
        <f t="shared" si="0"/>
        <v>25.874999999999996</v>
      </c>
      <c r="I34" s="3">
        <v>4.1399999999999997</v>
      </c>
    </row>
    <row r="35" spans="1:11">
      <c r="A35" t="s">
        <v>576</v>
      </c>
      <c r="B35" s="1">
        <v>41810</v>
      </c>
      <c r="C35" t="s">
        <v>3899</v>
      </c>
      <c r="D35">
        <v>1</v>
      </c>
      <c r="E35" t="s">
        <v>2802</v>
      </c>
      <c r="F35" t="s">
        <v>2866</v>
      </c>
      <c r="G35" s="219" t="s">
        <v>3965</v>
      </c>
      <c r="H35" s="3">
        <f t="shared" si="0"/>
        <v>25000</v>
      </c>
      <c r="I35" s="3">
        <v>4000</v>
      </c>
    </row>
    <row r="36" spans="1:11">
      <c r="A36" t="s">
        <v>348</v>
      </c>
      <c r="B36" s="1">
        <v>41820</v>
      </c>
      <c r="C36" t="s">
        <v>26</v>
      </c>
      <c r="D36">
        <v>1</v>
      </c>
      <c r="E36" t="s">
        <v>26</v>
      </c>
      <c r="F36" s="203" t="s">
        <v>923</v>
      </c>
      <c r="G36" s="138" t="s">
        <v>2916</v>
      </c>
      <c r="H36" s="3">
        <f t="shared" ref="H36:H42" si="1">I36/0.16</f>
        <v>288.8125</v>
      </c>
      <c r="I36" s="3">
        <v>46.21</v>
      </c>
      <c r="J36" s="3"/>
      <c r="K36" s="3"/>
    </row>
    <row r="37" spans="1:11">
      <c r="A37" t="s">
        <v>348</v>
      </c>
      <c r="B37" s="1">
        <v>41820</v>
      </c>
      <c r="C37" t="s">
        <v>26</v>
      </c>
      <c r="D37">
        <v>1</v>
      </c>
      <c r="E37" t="s">
        <v>26</v>
      </c>
      <c r="F37" s="203" t="s">
        <v>923</v>
      </c>
      <c r="G37" s="138" t="s">
        <v>2916</v>
      </c>
      <c r="H37" s="3">
        <f t="shared" si="1"/>
        <v>260.375</v>
      </c>
      <c r="I37" s="3">
        <v>41.66</v>
      </c>
      <c r="J37" s="3"/>
      <c r="K37" s="3"/>
    </row>
    <row r="38" spans="1:11">
      <c r="A38" t="s">
        <v>348</v>
      </c>
      <c r="B38" s="1">
        <v>41820</v>
      </c>
      <c r="C38" t="s">
        <v>26</v>
      </c>
      <c r="D38">
        <v>1</v>
      </c>
      <c r="E38" t="s">
        <v>26</v>
      </c>
      <c r="F38" s="203" t="s">
        <v>810</v>
      </c>
      <c r="G38" s="220" t="s">
        <v>1550</v>
      </c>
      <c r="H38" s="3">
        <f t="shared" si="1"/>
        <v>1109.25</v>
      </c>
      <c r="I38" s="3">
        <v>177.48</v>
      </c>
      <c r="J38" s="3"/>
      <c r="K38" s="3"/>
    </row>
    <row r="39" spans="1:11">
      <c r="A39" t="s">
        <v>348</v>
      </c>
      <c r="B39" s="1">
        <v>41820</v>
      </c>
      <c r="C39" t="s">
        <v>26</v>
      </c>
      <c r="D39">
        <v>1</v>
      </c>
      <c r="E39" t="s">
        <v>26</v>
      </c>
      <c r="F39" s="203" t="s">
        <v>812</v>
      </c>
      <c r="G39" s="138" t="s">
        <v>3966</v>
      </c>
      <c r="H39" s="3">
        <f t="shared" si="1"/>
        <v>125</v>
      </c>
      <c r="I39" s="3">
        <v>20</v>
      </c>
      <c r="J39" s="3">
        <f>1783.44-H36-H37-H38-H39</f>
        <v>2.5000000000545697E-3</v>
      </c>
      <c r="K39" s="3">
        <f>285.35-I36-I37-I38-I39</f>
        <v>2.8421709430404007E-14</v>
      </c>
    </row>
    <row r="40" spans="1:11">
      <c r="A40" t="s">
        <v>3632</v>
      </c>
      <c r="B40" s="1">
        <v>41813</v>
      </c>
      <c r="C40" t="s">
        <v>26</v>
      </c>
      <c r="D40">
        <v>1</v>
      </c>
      <c r="E40" t="s">
        <v>3633</v>
      </c>
      <c r="F40" s="138" t="s">
        <v>3967</v>
      </c>
      <c r="G40" s="220" t="s">
        <v>3968</v>
      </c>
      <c r="H40" s="3">
        <f t="shared" si="1"/>
        <v>360.4375</v>
      </c>
      <c r="I40" s="3">
        <v>57.67</v>
      </c>
      <c r="J40" s="3"/>
      <c r="K40" s="3"/>
    </row>
    <row r="41" spans="1:11">
      <c r="A41" t="s">
        <v>3632</v>
      </c>
      <c r="B41" s="1">
        <v>41813</v>
      </c>
      <c r="C41" t="s">
        <v>26</v>
      </c>
      <c r="D41">
        <v>1</v>
      </c>
      <c r="E41" t="s">
        <v>3633</v>
      </c>
      <c r="F41" s="27" t="s">
        <v>1553</v>
      </c>
      <c r="G41" s="224" t="s">
        <v>843</v>
      </c>
      <c r="H41" s="3">
        <f t="shared" si="1"/>
        <v>94.875</v>
      </c>
      <c r="I41" s="3">
        <v>15.18</v>
      </c>
    </row>
    <row r="42" spans="1:11">
      <c r="A42" t="s">
        <v>3632</v>
      </c>
      <c r="B42" s="1">
        <v>41813</v>
      </c>
      <c r="C42" t="s">
        <v>26</v>
      </c>
      <c r="D42">
        <v>1</v>
      </c>
      <c r="E42" t="s">
        <v>3633</v>
      </c>
      <c r="F42" s="138" t="s">
        <v>810</v>
      </c>
      <c r="G42" s="220" t="s">
        <v>1550</v>
      </c>
      <c r="H42" s="3">
        <f t="shared" si="1"/>
        <v>1915.9375</v>
      </c>
      <c r="I42" s="3">
        <v>306.55</v>
      </c>
      <c r="J42" s="13">
        <f>2371.25-H40-H41-H42</f>
        <v>0</v>
      </c>
      <c r="K42" s="13">
        <f>379.4-I40-I41-I42</f>
        <v>0</v>
      </c>
    </row>
    <row r="43" spans="1:11">
      <c r="A43" t="s">
        <v>1427</v>
      </c>
      <c r="B43" s="1">
        <v>41813</v>
      </c>
      <c r="C43" t="s">
        <v>3906</v>
      </c>
      <c r="D43">
        <v>1</v>
      </c>
      <c r="E43" t="s">
        <v>2800</v>
      </c>
      <c r="F43" s="138" t="s">
        <v>2867</v>
      </c>
      <c r="G43" s="220" t="s">
        <v>3969</v>
      </c>
      <c r="H43" s="3">
        <f t="shared" si="0"/>
        <v>3439.8125</v>
      </c>
      <c r="I43" s="3">
        <v>550.37</v>
      </c>
    </row>
    <row r="44" spans="1:11">
      <c r="A44" t="s">
        <v>356</v>
      </c>
      <c r="B44" s="1">
        <v>41820</v>
      </c>
      <c r="C44">
        <v>10326</v>
      </c>
      <c r="D44">
        <v>1</v>
      </c>
      <c r="E44" t="s">
        <v>360</v>
      </c>
      <c r="F44" s="25" t="s">
        <v>1553</v>
      </c>
      <c r="G44" s="27" t="s">
        <v>843</v>
      </c>
      <c r="H44" s="3">
        <f t="shared" si="0"/>
        <v>327.75</v>
      </c>
      <c r="I44" s="3">
        <v>52.44</v>
      </c>
    </row>
    <row r="45" spans="1:11">
      <c r="A45" t="s">
        <v>3550</v>
      </c>
      <c r="B45" s="1">
        <v>41792</v>
      </c>
      <c r="C45" t="s">
        <v>3551</v>
      </c>
      <c r="D45">
        <v>1</v>
      </c>
      <c r="E45" t="s">
        <v>772</v>
      </c>
      <c r="F45" s="15" t="s">
        <v>726</v>
      </c>
      <c r="G45" s="138" t="s">
        <v>1538</v>
      </c>
      <c r="H45" s="3">
        <f t="shared" si="0"/>
        <v>297961.625</v>
      </c>
      <c r="I45" s="3">
        <v>47673.86</v>
      </c>
    </row>
    <row r="46" spans="1:11">
      <c r="A46" t="s">
        <v>399</v>
      </c>
      <c r="B46" s="1">
        <v>41820</v>
      </c>
      <c r="C46">
        <v>10355</v>
      </c>
      <c r="D46">
        <v>1</v>
      </c>
      <c r="E46" t="s">
        <v>1248</v>
      </c>
      <c r="F46" s="203" t="s">
        <v>1539</v>
      </c>
      <c r="G46" s="220" t="s">
        <v>3970</v>
      </c>
      <c r="H46" s="3">
        <f t="shared" si="0"/>
        <v>78</v>
      </c>
      <c r="I46" s="3">
        <v>12.48</v>
      </c>
    </row>
    <row r="47" spans="1:11">
      <c r="A47" t="s">
        <v>3612</v>
      </c>
      <c r="B47" s="1">
        <v>41810</v>
      </c>
      <c r="C47" t="s">
        <v>3611</v>
      </c>
      <c r="D47">
        <v>1</v>
      </c>
      <c r="E47" t="s">
        <v>3613</v>
      </c>
      <c r="F47" s="9" t="s">
        <v>731</v>
      </c>
      <c r="G47" s="138" t="s">
        <v>2288</v>
      </c>
      <c r="H47" s="3">
        <f t="shared" si="0"/>
        <v>156573.6875</v>
      </c>
      <c r="I47" s="3">
        <v>25051.79</v>
      </c>
    </row>
    <row r="48" spans="1:11">
      <c r="A48" t="s">
        <v>597</v>
      </c>
      <c r="B48" s="1">
        <v>41815</v>
      </c>
      <c r="C48" t="s">
        <v>3913</v>
      </c>
      <c r="D48">
        <v>2</v>
      </c>
      <c r="E48" t="s">
        <v>619</v>
      </c>
      <c r="F48" s="9" t="s">
        <v>791</v>
      </c>
      <c r="G48" s="138" t="s">
        <v>3971</v>
      </c>
      <c r="H48" s="3">
        <f t="shared" si="0"/>
        <v>4655.1875</v>
      </c>
      <c r="I48" s="3">
        <v>744.83</v>
      </c>
    </row>
    <row r="49" spans="1:11">
      <c r="A49" t="s">
        <v>615</v>
      </c>
      <c r="B49" s="1">
        <v>41816</v>
      </c>
      <c r="C49" t="s">
        <v>2218</v>
      </c>
      <c r="D49">
        <v>1</v>
      </c>
      <c r="E49" t="s">
        <v>3927</v>
      </c>
      <c r="F49" s="15" t="s">
        <v>796</v>
      </c>
      <c r="G49" s="138" t="s">
        <v>797</v>
      </c>
      <c r="H49" s="3">
        <f t="shared" si="0"/>
        <v>11444.8125</v>
      </c>
      <c r="I49" s="3">
        <v>1831.17</v>
      </c>
    </row>
    <row r="50" spans="1:11">
      <c r="A50" t="s">
        <v>1475</v>
      </c>
      <c r="B50" s="1">
        <v>41820</v>
      </c>
      <c r="C50" t="s">
        <v>1525</v>
      </c>
      <c r="D50">
        <v>1</v>
      </c>
      <c r="E50" t="s">
        <v>3946</v>
      </c>
      <c r="F50" s="15" t="s">
        <v>804</v>
      </c>
      <c r="G50" s="15" t="s">
        <v>805</v>
      </c>
      <c r="H50" s="3">
        <f t="shared" si="0"/>
        <v>138</v>
      </c>
      <c r="I50" s="3">
        <v>22.08</v>
      </c>
    </row>
    <row r="51" spans="1:11">
      <c r="A51" t="s">
        <v>370</v>
      </c>
      <c r="B51" s="1">
        <v>41820</v>
      </c>
      <c r="C51">
        <v>10339</v>
      </c>
      <c r="D51">
        <v>1</v>
      </c>
      <c r="E51" t="s">
        <v>3734</v>
      </c>
      <c r="F51" s="203" t="s">
        <v>794</v>
      </c>
      <c r="G51" s="220" t="s">
        <v>3245</v>
      </c>
      <c r="H51" s="3">
        <f t="shared" si="0"/>
        <v>104.3125</v>
      </c>
      <c r="I51" s="3">
        <v>16.690000000000001</v>
      </c>
    </row>
    <row r="52" spans="1:11">
      <c r="A52" t="s">
        <v>3706</v>
      </c>
      <c r="B52" s="1">
        <v>41818</v>
      </c>
      <c r="C52" t="s">
        <v>1523</v>
      </c>
      <c r="D52">
        <v>1</v>
      </c>
      <c r="E52" t="s">
        <v>3707</v>
      </c>
      <c r="F52" s="138" t="s">
        <v>802</v>
      </c>
      <c r="G52" s="138" t="s">
        <v>1542</v>
      </c>
      <c r="H52" s="3">
        <f t="shared" si="0"/>
        <v>180</v>
      </c>
      <c r="I52" s="3">
        <v>28.8</v>
      </c>
    </row>
    <row r="53" spans="1:11">
      <c r="A53" t="s">
        <v>1333</v>
      </c>
      <c r="B53" s="1">
        <v>41801</v>
      </c>
      <c r="C53" t="s">
        <v>3865</v>
      </c>
      <c r="D53">
        <v>1</v>
      </c>
      <c r="E53" t="s">
        <v>563</v>
      </c>
      <c r="F53" s="138" t="s">
        <v>795</v>
      </c>
      <c r="G53" s="220" t="s">
        <v>563</v>
      </c>
      <c r="H53" s="3">
        <f t="shared" si="0"/>
        <v>21249.125</v>
      </c>
      <c r="I53" s="3">
        <v>3399.86</v>
      </c>
    </row>
    <row r="54" spans="1:11">
      <c r="A54" t="s">
        <v>3728</v>
      </c>
      <c r="B54" s="1">
        <v>41820</v>
      </c>
      <c r="C54" t="s">
        <v>693</v>
      </c>
      <c r="D54">
        <v>1</v>
      </c>
      <c r="E54" t="s">
        <v>3729</v>
      </c>
      <c r="F54" s="225" t="s">
        <v>792</v>
      </c>
      <c r="G54" s="226" t="s">
        <v>793</v>
      </c>
      <c r="H54" s="3">
        <f t="shared" si="0"/>
        <v>1486.75</v>
      </c>
      <c r="I54" s="3">
        <v>237.88</v>
      </c>
    </row>
    <row r="55" spans="1:11">
      <c r="A55" t="s">
        <v>659</v>
      </c>
      <c r="B55" s="1">
        <v>41820</v>
      </c>
      <c r="C55" t="s">
        <v>2218</v>
      </c>
      <c r="D55">
        <v>1</v>
      </c>
      <c r="E55" t="s">
        <v>3944</v>
      </c>
      <c r="F55" s="15" t="s">
        <v>796</v>
      </c>
      <c r="G55" s="138" t="s">
        <v>797</v>
      </c>
      <c r="H55" s="3">
        <f t="shared" si="0"/>
        <v>2868.1875</v>
      </c>
      <c r="I55" s="3">
        <v>458.91</v>
      </c>
    </row>
    <row r="56" spans="1:11">
      <c r="A56" t="s">
        <v>620</v>
      </c>
      <c r="B56" s="1">
        <v>41816</v>
      </c>
      <c r="C56" t="s">
        <v>3929</v>
      </c>
      <c r="D56">
        <v>1</v>
      </c>
      <c r="E56" t="s">
        <v>3930</v>
      </c>
      <c r="F56" s="15" t="s">
        <v>798</v>
      </c>
      <c r="G56" s="15" t="s">
        <v>799</v>
      </c>
      <c r="H56" s="3">
        <f t="shared" si="0"/>
        <v>6397.6875</v>
      </c>
      <c r="I56" s="3">
        <v>1023.63</v>
      </c>
    </row>
    <row r="57" spans="1:11">
      <c r="A57" t="s">
        <v>666</v>
      </c>
      <c r="B57" s="1">
        <v>41820</v>
      </c>
      <c r="C57" t="s">
        <v>1528</v>
      </c>
      <c r="D57">
        <v>1</v>
      </c>
      <c r="E57" t="s">
        <v>3945</v>
      </c>
      <c r="F57" s="15" t="s">
        <v>798</v>
      </c>
      <c r="G57" s="15" t="s">
        <v>799</v>
      </c>
      <c r="H57" s="3">
        <f t="shared" si="0"/>
        <v>1078.9375</v>
      </c>
      <c r="I57" s="3">
        <v>172.63</v>
      </c>
    </row>
    <row r="58" spans="1:11">
      <c r="A58" t="s">
        <v>631</v>
      </c>
      <c r="B58" s="1">
        <v>41818</v>
      </c>
      <c r="C58" t="s">
        <v>1525</v>
      </c>
      <c r="D58">
        <v>1</v>
      </c>
      <c r="E58" t="s">
        <v>3936</v>
      </c>
      <c r="F58" s="15" t="s">
        <v>804</v>
      </c>
      <c r="G58" s="15" t="s">
        <v>805</v>
      </c>
      <c r="H58" s="3">
        <f t="shared" si="0"/>
        <v>150</v>
      </c>
      <c r="I58" s="3">
        <v>24</v>
      </c>
    </row>
    <row r="59" spans="1:11">
      <c r="A59" t="s">
        <v>3947</v>
      </c>
      <c r="B59" s="1">
        <v>41820</v>
      </c>
      <c r="C59" t="s">
        <v>3948</v>
      </c>
      <c r="D59">
        <v>1</v>
      </c>
      <c r="E59" t="s">
        <v>3949</v>
      </c>
      <c r="F59" s="15" t="s">
        <v>800</v>
      </c>
      <c r="G59" s="15" t="s">
        <v>801</v>
      </c>
      <c r="H59" s="3">
        <f t="shared" si="0"/>
        <v>126</v>
      </c>
      <c r="I59" s="3">
        <v>20.16</v>
      </c>
    </row>
    <row r="60" spans="1:11">
      <c r="A60" t="s">
        <v>641</v>
      </c>
      <c r="B60" s="1">
        <v>41818</v>
      </c>
      <c r="C60" t="s">
        <v>1520</v>
      </c>
      <c r="D60">
        <v>1</v>
      </c>
      <c r="E60" t="s">
        <v>3937</v>
      </c>
      <c r="F60" s="15" t="s">
        <v>800</v>
      </c>
      <c r="G60" s="15" t="s">
        <v>801</v>
      </c>
      <c r="H60" s="3">
        <f t="shared" si="0"/>
        <v>200</v>
      </c>
      <c r="I60" s="3">
        <v>32</v>
      </c>
    </row>
    <row r="61" spans="1:11">
      <c r="A61" t="s">
        <v>1204</v>
      </c>
      <c r="B61" s="1">
        <v>41818</v>
      </c>
      <c r="C61" t="s">
        <v>3292</v>
      </c>
      <c r="D61">
        <v>1</v>
      </c>
      <c r="E61" t="s">
        <v>3705</v>
      </c>
      <c r="F61" s="15" t="s">
        <v>3972</v>
      </c>
      <c r="G61" s="220" t="s">
        <v>3973</v>
      </c>
      <c r="H61" s="3">
        <f t="shared" si="0"/>
        <v>4299.125</v>
      </c>
      <c r="I61" s="3">
        <v>687.86</v>
      </c>
    </row>
    <row r="62" spans="1:11">
      <c r="A62" t="s">
        <v>3561</v>
      </c>
      <c r="B62" s="1">
        <v>41801</v>
      </c>
      <c r="C62" t="s">
        <v>26</v>
      </c>
      <c r="D62">
        <v>1</v>
      </c>
      <c r="E62" t="s">
        <v>3562</v>
      </c>
      <c r="F62" t="s">
        <v>923</v>
      </c>
      <c r="G62" s="219" t="s">
        <v>2916</v>
      </c>
      <c r="H62" s="3">
        <f t="shared" ref="H62:H68" si="2">I62/0.16</f>
        <v>271.5625</v>
      </c>
      <c r="I62" s="3">
        <v>43.45</v>
      </c>
      <c r="J62" s="3"/>
      <c r="K62" s="3"/>
    </row>
    <row r="63" spans="1:11">
      <c r="A63" t="s">
        <v>3561</v>
      </c>
      <c r="B63" s="1">
        <v>41801</v>
      </c>
      <c r="C63" t="s">
        <v>26</v>
      </c>
      <c r="D63">
        <v>1</v>
      </c>
      <c r="E63" t="s">
        <v>3562</v>
      </c>
      <c r="F63" t="s">
        <v>3974</v>
      </c>
      <c r="G63" s="219" t="s">
        <v>3975</v>
      </c>
      <c r="H63" s="3">
        <f t="shared" si="2"/>
        <v>357.75</v>
      </c>
      <c r="I63" s="3">
        <v>57.24</v>
      </c>
      <c r="J63" s="3">
        <f>629.31-H62-H63</f>
        <v>-2.5000000000545697E-3</v>
      </c>
      <c r="K63" s="3">
        <f>100.69-I62-I63</f>
        <v>0</v>
      </c>
    </row>
    <row r="64" spans="1:11">
      <c r="A64" t="s">
        <v>3559</v>
      </c>
      <c r="B64" s="1">
        <v>41801</v>
      </c>
      <c r="C64" t="s">
        <v>26</v>
      </c>
      <c r="D64">
        <v>1</v>
      </c>
      <c r="E64" t="s">
        <v>3560</v>
      </c>
      <c r="F64" t="s">
        <v>923</v>
      </c>
      <c r="G64" s="219" t="s">
        <v>2916</v>
      </c>
      <c r="H64" s="3">
        <f t="shared" si="2"/>
        <v>54.312499999999993</v>
      </c>
      <c r="I64" s="3">
        <v>8.69</v>
      </c>
      <c r="J64" s="3"/>
      <c r="K64" s="3"/>
    </row>
    <row r="65" spans="1:11">
      <c r="A65" t="s">
        <v>3559</v>
      </c>
      <c r="B65" s="1">
        <v>41801</v>
      </c>
      <c r="C65" t="s">
        <v>26</v>
      </c>
      <c r="D65">
        <v>1</v>
      </c>
      <c r="E65" t="s">
        <v>3560</v>
      </c>
      <c r="F65" s="9" t="s">
        <v>3976</v>
      </c>
      <c r="G65" s="138" t="s">
        <v>3977</v>
      </c>
      <c r="H65" s="3">
        <f t="shared" si="2"/>
        <v>97.4375</v>
      </c>
      <c r="I65" s="3">
        <v>15.59</v>
      </c>
    </row>
    <row r="66" spans="1:11">
      <c r="A66" t="s">
        <v>3559</v>
      </c>
      <c r="B66" s="1">
        <v>41801</v>
      </c>
      <c r="C66" t="s">
        <v>26</v>
      </c>
      <c r="D66">
        <v>1</v>
      </c>
      <c r="E66" t="s">
        <v>3560</v>
      </c>
      <c r="F66" s="9" t="s">
        <v>3978</v>
      </c>
      <c r="G66" s="138" t="s">
        <v>3979</v>
      </c>
      <c r="H66" s="3">
        <f t="shared" si="2"/>
        <v>94.8125</v>
      </c>
      <c r="I66" s="3">
        <v>15.17</v>
      </c>
    </row>
    <row r="67" spans="1:11">
      <c r="A67" t="s">
        <v>3559</v>
      </c>
      <c r="B67" s="1">
        <v>41801</v>
      </c>
      <c r="C67" t="s">
        <v>26</v>
      </c>
      <c r="D67">
        <v>1</v>
      </c>
      <c r="E67" t="s">
        <v>3560</v>
      </c>
      <c r="F67" s="9" t="s">
        <v>3980</v>
      </c>
      <c r="G67" s="138" t="s">
        <v>3981</v>
      </c>
      <c r="H67" s="3">
        <f t="shared" si="2"/>
        <v>7998</v>
      </c>
      <c r="I67" s="3">
        <v>1279.68</v>
      </c>
    </row>
    <row r="68" spans="1:11">
      <c r="A68" t="s">
        <v>3559</v>
      </c>
      <c r="B68" s="1">
        <v>41801</v>
      </c>
      <c r="C68" t="s">
        <v>26</v>
      </c>
      <c r="D68">
        <v>1</v>
      </c>
      <c r="E68" t="s">
        <v>3560</v>
      </c>
      <c r="F68" t="s">
        <v>3974</v>
      </c>
      <c r="G68" s="219" t="s">
        <v>3975</v>
      </c>
      <c r="H68" s="3">
        <f t="shared" si="2"/>
        <v>357.75</v>
      </c>
      <c r="I68" s="3">
        <v>57.24</v>
      </c>
      <c r="J68" s="13">
        <f>8602.31-H64-H65-H66-H67-H68</f>
        <v>-2.500000000509317E-3</v>
      </c>
      <c r="K68" s="13">
        <f>1376.37-I64-I65-I66-I67-I68</f>
        <v>-2.2026824808563106E-13</v>
      </c>
    </row>
    <row r="69" spans="1:11">
      <c r="A69" t="s">
        <v>433</v>
      </c>
      <c r="B69" s="1">
        <v>41792</v>
      </c>
      <c r="C69" t="s">
        <v>3839</v>
      </c>
      <c r="D69">
        <v>1</v>
      </c>
      <c r="E69" t="s">
        <v>429</v>
      </c>
      <c r="F69" s="193" t="s">
        <v>818</v>
      </c>
      <c r="G69" s="223" t="s">
        <v>429</v>
      </c>
      <c r="H69" s="3">
        <f t="shared" si="0"/>
        <v>10092.9375</v>
      </c>
      <c r="I69" s="3">
        <v>1614.87</v>
      </c>
    </row>
    <row r="70" spans="1:11">
      <c r="A70" t="s">
        <v>436</v>
      </c>
      <c r="B70" s="1">
        <v>41792</v>
      </c>
      <c r="C70" t="s">
        <v>3840</v>
      </c>
      <c r="D70">
        <v>1</v>
      </c>
      <c r="E70" t="s">
        <v>429</v>
      </c>
      <c r="F70" s="193" t="s">
        <v>818</v>
      </c>
      <c r="G70" s="223" t="s">
        <v>429</v>
      </c>
      <c r="H70" s="3">
        <f t="shared" si="0"/>
        <v>327.0625</v>
      </c>
      <c r="I70" s="3">
        <v>52.33</v>
      </c>
    </row>
    <row r="71" spans="1:11">
      <c r="A71" t="s">
        <v>2673</v>
      </c>
      <c r="B71" s="1">
        <v>41795</v>
      </c>
      <c r="C71" t="s">
        <v>3841</v>
      </c>
      <c r="D71">
        <v>1</v>
      </c>
      <c r="E71" t="s">
        <v>429</v>
      </c>
      <c r="F71" s="193" t="s">
        <v>818</v>
      </c>
      <c r="G71" s="223" t="s">
        <v>429</v>
      </c>
      <c r="H71" s="3">
        <f t="shared" si="0"/>
        <v>95400</v>
      </c>
      <c r="I71" s="3">
        <v>15264</v>
      </c>
    </row>
    <row r="72" spans="1:11">
      <c r="A72" t="s">
        <v>2115</v>
      </c>
      <c r="B72" s="1">
        <v>41796</v>
      </c>
      <c r="C72" t="s">
        <v>3842</v>
      </c>
      <c r="D72">
        <v>1</v>
      </c>
      <c r="E72" t="s">
        <v>429</v>
      </c>
      <c r="F72" s="193" t="s">
        <v>818</v>
      </c>
      <c r="G72" s="223" t="s">
        <v>429</v>
      </c>
      <c r="H72" s="3">
        <f t="shared" si="0"/>
        <v>16528.1875</v>
      </c>
      <c r="I72" s="3">
        <v>2644.51</v>
      </c>
    </row>
    <row r="73" spans="1:11">
      <c r="A73" t="s">
        <v>2121</v>
      </c>
      <c r="B73" s="1">
        <v>41796</v>
      </c>
      <c r="C73" t="s">
        <v>3843</v>
      </c>
      <c r="D73">
        <v>1</v>
      </c>
      <c r="E73" t="s">
        <v>429</v>
      </c>
      <c r="F73" s="193" t="s">
        <v>818</v>
      </c>
      <c r="G73" s="223" t="s">
        <v>429</v>
      </c>
      <c r="H73" s="3">
        <f t="shared" si="0"/>
        <v>2039.9999999999998</v>
      </c>
      <c r="I73" s="3">
        <v>326.39999999999998</v>
      </c>
    </row>
    <row r="74" spans="1:11">
      <c r="A74" t="s">
        <v>2684</v>
      </c>
      <c r="B74" s="1">
        <v>41796</v>
      </c>
      <c r="C74" t="s">
        <v>3844</v>
      </c>
      <c r="D74">
        <v>1</v>
      </c>
      <c r="E74" t="s">
        <v>429</v>
      </c>
      <c r="F74" s="193" t="s">
        <v>818</v>
      </c>
      <c r="G74" s="223" t="s">
        <v>429</v>
      </c>
      <c r="H74" s="3">
        <f t="shared" si="0"/>
        <v>108795.5625</v>
      </c>
      <c r="I74" s="3">
        <v>17407.29</v>
      </c>
    </row>
    <row r="75" spans="1:11">
      <c r="A75" t="s">
        <v>2132</v>
      </c>
      <c r="B75" s="1">
        <v>41797</v>
      </c>
      <c r="C75" t="s">
        <v>3862</v>
      </c>
      <c r="D75">
        <v>1</v>
      </c>
      <c r="E75" t="s">
        <v>429</v>
      </c>
      <c r="F75" s="193" t="s">
        <v>818</v>
      </c>
      <c r="G75" s="223" t="s">
        <v>429</v>
      </c>
      <c r="H75" s="3">
        <f t="shared" si="0"/>
        <v>3864</v>
      </c>
      <c r="I75" s="3">
        <v>618.24</v>
      </c>
    </row>
    <row r="76" spans="1:11">
      <c r="A76" t="s">
        <v>3332</v>
      </c>
      <c r="B76" s="1">
        <v>41801</v>
      </c>
      <c r="C76" t="s">
        <v>3864</v>
      </c>
      <c r="D76">
        <v>1</v>
      </c>
      <c r="E76" t="s">
        <v>429</v>
      </c>
      <c r="F76" s="193" t="s">
        <v>818</v>
      </c>
      <c r="G76" s="223" t="s">
        <v>429</v>
      </c>
      <c r="H76" s="3">
        <f t="shared" si="0"/>
        <v>44959.249999999993</v>
      </c>
      <c r="I76" s="3">
        <v>7193.48</v>
      </c>
    </row>
    <row r="77" spans="1:11">
      <c r="A77" t="s">
        <v>474</v>
      </c>
      <c r="B77" s="1">
        <v>41803</v>
      </c>
      <c r="C77" t="s">
        <v>3868</v>
      </c>
      <c r="D77">
        <v>1</v>
      </c>
      <c r="E77" t="s">
        <v>429</v>
      </c>
      <c r="F77" s="193" t="s">
        <v>818</v>
      </c>
      <c r="G77" s="223" t="s">
        <v>429</v>
      </c>
      <c r="H77" s="3">
        <f t="shared" si="0"/>
        <v>1642.625</v>
      </c>
      <c r="I77" s="3">
        <v>262.82</v>
      </c>
    </row>
    <row r="78" spans="1:11">
      <c r="A78" t="s">
        <v>485</v>
      </c>
      <c r="B78" s="1">
        <v>41803</v>
      </c>
      <c r="C78" t="s">
        <v>3872</v>
      </c>
      <c r="D78">
        <v>1</v>
      </c>
      <c r="E78" t="s">
        <v>429</v>
      </c>
      <c r="F78" s="193" t="s">
        <v>818</v>
      </c>
      <c r="G78" s="223" t="s">
        <v>429</v>
      </c>
      <c r="H78" s="3">
        <f t="shared" si="0"/>
        <v>76535.75</v>
      </c>
      <c r="I78" s="3">
        <v>12245.72</v>
      </c>
    </row>
    <row r="79" spans="1:11">
      <c r="A79" t="s">
        <v>2713</v>
      </c>
      <c r="B79" s="1">
        <v>41803</v>
      </c>
      <c r="C79" t="s">
        <v>3873</v>
      </c>
      <c r="D79">
        <v>1</v>
      </c>
      <c r="E79" t="s">
        <v>429</v>
      </c>
      <c r="F79" s="193" t="s">
        <v>818</v>
      </c>
      <c r="G79" s="223" t="s">
        <v>429</v>
      </c>
      <c r="H79" s="3">
        <f t="shared" si="0"/>
        <v>65979.0625</v>
      </c>
      <c r="I79" s="3">
        <v>10556.65</v>
      </c>
    </row>
    <row r="80" spans="1:11">
      <c r="A80" t="s">
        <v>2156</v>
      </c>
      <c r="B80" s="1">
        <v>41803</v>
      </c>
      <c r="C80" t="s">
        <v>3874</v>
      </c>
      <c r="D80">
        <v>1</v>
      </c>
      <c r="E80" t="s">
        <v>429</v>
      </c>
      <c r="F80" s="193" t="s">
        <v>818</v>
      </c>
      <c r="G80" s="223" t="s">
        <v>429</v>
      </c>
      <c r="H80" s="3">
        <f t="shared" si="0"/>
        <v>333134.3125</v>
      </c>
      <c r="I80" s="3">
        <v>53301.49</v>
      </c>
    </row>
    <row r="81" spans="1:9">
      <c r="A81" t="s">
        <v>2716</v>
      </c>
      <c r="B81" s="1">
        <v>41803</v>
      </c>
      <c r="C81" t="s">
        <v>3875</v>
      </c>
      <c r="D81">
        <v>1</v>
      </c>
      <c r="E81" t="s">
        <v>429</v>
      </c>
      <c r="F81" s="193" t="s">
        <v>818</v>
      </c>
      <c r="G81" s="223" t="s">
        <v>429</v>
      </c>
      <c r="H81" s="3">
        <f t="shared" si="0"/>
        <v>2778.375</v>
      </c>
      <c r="I81" s="3">
        <v>444.54</v>
      </c>
    </row>
    <row r="82" spans="1:9">
      <c r="A82" t="s">
        <v>534</v>
      </c>
      <c r="B82" s="1">
        <v>41807</v>
      </c>
      <c r="C82" t="s">
        <v>3894</v>
      </c>
      <c r="D82">
        <v>1</v>
      </c>
      <c r="E82" t="s">
        <v>429</v>
      </c>
      <c r="F82" s="193" t="s">
        <v>818</v>
      </c>
      <c r="G82" s="223" t="s">
        <v>429</v>
      </c>
      <c r="H82" s="3">
        <f t="shared" ref="H82:H145" si="3">+I82/0.16</f>
        <v>1132.1875</v>
      </c>
      <c r="I82" s="3">
        <v>181.15</v>
      </c>
    </row>
    <row r="83" spans="1:9">
      <c r="A83" t="s">
        <v>542</v>
      </c>
      <c r="B83" s="1">
        <v>41807</v>
      </c>
      <c r="C83" t="s">
        <v>3895</v>
      </c>
      <c r="D83">
        <v>1</v>
      </c>
      <c r="E83" t="s">
        <v>429</v>
      </c>
      <c r="F83" s="193" t="s">
        <v>818</v>
      </c>
      <c r="G83" s="223" t="s">
        <v>429</v>
      </c>
      <c r="H83" s="3">
        <f t="shared" si="3"/>
        <v>682.1875</v>
      </c>
      <c r="I83" s="3">
        <v>109.15</v>
      </c>
    </row>
    <row r="84" spans="1:9">
      <c r="A84" t="s">
        <v>545</v>
      </c>
      <c r="B84" s="1">
        <v>41807</v>
      </c>
      <c r="C84" t="s">
        <v>3896</v>
      </c>
      <c r="D84">
        <v>1</v>
      </c>
      <c r="E84" t="s">
        <v>429</v>
      </c>
      <c r="F84" s="193" t="s">
        <v>818</v>
      </c>
      <c r="G84" s="223" t="s">
        <v>429</v>
      </c>
      <c r="H84" s="3">
        <f t="shared" si="3"/>
        <v>32267.75</v>
      </c>
      <c r="I84" s="3">
        <v>5162.84</v>
      </c>
    </row>
    <row r="85" spans="1:9">
      <c r="A85" t="s">
        <v>570</v>
      </c>
      <c r="B85" s="1">
        <v>41810</v>
      </c>
      <c r="C85" t="s">
        <v>3898</v>
      </c>
      <c r="D85">
        <v>1</v>
      </c>
      <c r="E85" t="s">
        <v>429</v>
      </c>
      <c r="F85" s="193" t="s">
        <v>818</v>
      </c>
      <c r="G85" s="223" t="s">
        <v>429</v>
      </c>
      <c r="H85" s="3">
        <f t="shared" si="3"/>
        <v>66763.0625</v>
      </c>
      <c r="I85" s="3">
        <v>10682.09</v>
      </c>
    </row>
    <row r="86" spans="1:9">
      <c r="A86" t="s">
        <v>2825</v>
      </c>
      <c r="B86" s="1">
        <v>41816</v>
      </c>
      <c r="C86" t="s">
        <v>3928</v>
      </c>
      <c r="D86">
        <v>1</v>
      </c>
      <c r="E86" t="s">
        <v>429</v>
      </c>
      <c r="F86" s="193" t="s">
        <v>818</v>
      </c>
      <c r="G86" s="223" t="s">
        <v>429</v>
      </c>
      <c r="H86" s="3">
        <f t="shared" si="3"/>
        <v>327.0625</v>
      </c>
      <c r="I86" s="3">
        <v>52.33</v>
      </c>
    </row>
    <row r="87" spans="1:9">
      <c r="A87" t="s">
        <v>1453</v>
      </c>
      <c r="B87" s="1">
        <v>41817</v>
      </c>
      <c r="C87" t="s">
        <v>3933</v>
      </c>
      <c r="D87">
        <v>1</v>
      </c>
      <c r="E87" t="s">
        <v>429</v>
      </c>
      <c r="F87" s="193" t="s">
        <v>818</v>
      </c>
      <c r="G87" s="223" t="s">
        <v>429</v>
      </c>
      <c r="H87" s="3">
        <f t="shared" si="3"/>
        <v>102519.81249999999</v>
      </c>
      <c r="I87" s="3">
        <v>16403.169999999998</v>
      </c>
    </row>
    <row r="88" spans="1:9">
      <c r="A88" t="s">
        <v>2231</v>
      </c>
      <c r="B88" s="1">
        <v>41817</v>
      </c>
      <c r="C88" t="s">
        <v>3934</v>
      </c>
      <c r="D88">
        <v>1</v>
      </c>
      <c r="E88" t="s">
        <v>429</v>
      </c>
      <c r="F88" s="193" t="s">
        <v>818</v>
      </c>
      <c r="G88" s="223" t="s">
        <v>429</v>
      </c>
      <c r="H88" s="3">
        <f t="shared" si="3"/>
        <v>159354.75</v>
      </c>
      <c r="I88" s="3">
        <v>25496.76</v>
      </c>
    </row>
    <row r="89" spans="1:9">
      <c r="A89" t="s">
        <v>623</v>
      </c>
      <c r="B89" s="1">
        <v>41817</v>
      </c>
      <c r="C89" t="s">
        <v>3935</v>
      </c>
      <c r="D89">
        <v>1</v>
      </c>
      <c r="E89" t="s">
        <v>429</v>
      </c>
      <c r="F89" s="193" t="s">
        <v>818</v>
      </c>
      <c r="G89" s="223" t="s">
        <v>429</v>
      </c>
      <c r="H89" s="3">
        <f t="shared" si="3"/>
        <v>1499.875</v>
      </c>
      <c r="I89" s="3">
        <v>239.98</v>
      </c>
    </row>
    <row r="90" spans="1:9">
      <c r="A90" t="s">
        <v>651</v>
      </c>
      <c r="B90" s="1">
        <v>41820</v>
      </c>
      <c r="C90" t="s">
        <v>3940</v>
      </c>
      <c r="D90">
        <v>1</v>
      </c>
      <c r="E90" t="s">
        <v>429</v>
      </c>
      <c r="F90" s="193" t="s">
        <v>818</v>
      </c>
      <c r="G90" s="223" t="s">
        <v>429</v>
      </c>
      <c r="H90" s="3">
        <f t="shared" si="3"/>
        <v>21772.3125</v>
      </c>
      <c r="I90" s="3">
        <v>3483.57</v>
      </c>
    </row>
    <row r="91" spans="1:9">
      <c r="A91" t="s">
        <v>2837</v>
      </c>
      <c r="B91" s="1">
        <v>41820</v>
      </c>
      <c r="C91" t="s">
        <v>3941</v>
      </c>
      <c r="D91">
        <v>1</v>
      </c>
      <c r="E91" t="s">
        <v>429</v>
      </c>
      <c r="F91" s="193" t="s">
        <v>818</v>
      </c>
      <c r="G91" s="223" t="s">
        <v>429</v>
      </c>
      <c r="H91" s="3">
        <f t="shared" si="3"/>
        <v>3738.6875000000005</v>
      </c>
      <c r="I91" s="3">
        <v>598.19000000000005</v>
      </c>
    </row>
    <row r="92" spans="1:9">
      <c r="A92" t="s">
        <v>655</v>
      </c>
      <c r="B92" s="1">
        <v>41820</v>
      </c>
      <c r="C92" t="s">
        <v>3942</v>
      </c>
      <c r="D92">
        <v>1</v>
      </c>
      <c r="E92" t="s">
        <v>429</v>
      </c>
      <c r="F92" s="193" t="s">
        <v>818</v>
      </c>
      <c r="G92" s="223" t="s">
        <v>429</v>
      </c>
      <c r="H92" s="3">
        <f t="shared" si="3"/>
        <v>5044.5</v>
      </c>
      <c r="I92" s="3">
        <v>807.12</v>
      </c>
    </row>
    <row r="93" spans="1:9">
      <c r="A93" t="s">
        <v>657</v>
      </c>
      <c r="B93" s="1">
        <v>41820</v>
      </c>
      <c r="C93" t="s">
        <v>3943</v>
      </c>
      <c r="D93">
        <v>1</v>
      </c>
      <c r="E93" t="s">
        <v>429</v>
      </c>
      <c r="F93" s="193" t="s">
        <v>818</v>
      </c>
      <c r="G93" s="223" t="s">
        <v>429</v>
      </c>
      <c r="H93" s="3">
        <f t="shared" si="3"/>
        <v>15000</v>
      </c>
      <c r="I93" s="3">
        <v>2400</v>
      </c>
    </row>
    <row r="94" spans="1:9">
      <c r="A94" t="s">
        <v>3224</v>
      </c>
      <c r="B94" s="1">
        <v>41820</v>
      </c>
      <c r="C94">
        <v>10347</v>
      </c>
      <c r="D94">
        <v>1</v>
      </c>
      <c r="E94" t="s">
        <v>3735</v>
      </c>
      <c r="F94" s="203" t="s">
        <v>819</v>
      </c>
      <c r="G94" s="220" t="s">
        <v>3466</v>
      </c>
      <c r="H94" s="3">
        <f t="shared" si="3"/>
        <v>38.8125</v>
      </c>
      <c r="I94" s="3">
        <v>6.21</v>
      </c>
    </row>
    <row r="95" spans="1:9">
      <c r="A95" t="s">
        <v>393</v>
      </c>
      <c r="B95" s="1">
        <v>41820</v>
      </c>
      <c r="C95">
        <v>10353</v>
      </c>
      <c r="D95">
        <v>1</v>
      </c>
      <c r="E95" t="s">
        <v>3735</v>
      </c>
      <c r="F95" s="203" t="s">
        <v>819</v>
      </c>
      <c r="G95" s="220" t="s">
        <v>3466</v>
      </c>
      <c r="H95" s="3">
        <f t="shared" si="3"/>
        <v>34.4375</v>
      </c>
      <c r="I95" s="3">
        <v>5.51</v>
      </c>
    </row>
    <row r="96" spans="1:9">
      <c r="A96" t="s">
        <v>3578</v>
      </c>
      <c r="B96" s="1">
        <v>41807</v>
      </c>
      <c r="C96">
        <v>10253</v>
      </c>
      <c r="D96">
        <v>1</v>
      </c>
      <c r="E96" t="s">
        <v>268</v>
      </c>
      <c r="F96" s="203" t="s">
        <v>819</v>
      </c>
      <c r="G96" s="220" t="s">
        <v>3466</v>
      </c>
      <c r="H96" s="3">
        <f t="shared" si="3"/>
        <v>51.749999999999993</v>
      </c>
      <c r="I96" s="3">
        <v>8.2799999999999994</v>
      </c>
    </row>
    <row r="97" spans="1:9">
      <c r="A97" t="s">
        <v>2029</v>
      </c>
      <c r="B97" s="1">
        <v>41820</v>
      </c>
      <c r="C97">
        <v>10338</v>
      </c>
      <c r="D97">
        <v>1</v>
      </c>
      <c r="E97" t="s">
        <v>268</v>
      </c>
      <c r="F97" s="203" t="s">
        <v>819</v>
      </c>
      <c r="G97" s="220" t="s">
        <v>3466</v>
      </c>
      <c r="H97" s="3">
        <f t="shared" si="3"/>
        <v>54.312499999999993</v>
      </c>
      <c r="I97" s="3">
        <v>8.69</v>
      </c>
    </row>
    <row r="98" spans="1:9">
      <c r="A98" t="s">
        <v>3244</v>
      </c>
      <c r="B98" s="1">
        <v>41820</v>
      </c>
      <c r="C98">
        <v>10376</v>
      </c>
      <c r="D98">
        <v>1</v>
      </c>
      <c r="E98" t="s">
        <v>268</v>
      </c>
      <c r="F98" s="203" t="s">
        <v>819</v>
      </c>
      <c r="G98" s="220" t="s">
        <v>3466</v>
      </c>
      <c r="H98" s="3">
        <f t="shared" si="3"/>
        <v>155.0625</v>
      </c>
      <c r="I98" s="3">
        <v>24.81</v>
      </c>
    </row>
    <row r="99" spans="1:9">
      <c r="A99" t="s">
        <v>2773</v>
      </c>
      <c r="B99" s="1">
        <v>41810</v>
      </c>
      <c r="C99" t="s">
        <v>3902</v>
      </c>
      <c r="D99">
        <v>1</v>
      </c>
      <c r="E99" t="s">
        <v>1394</v>
      </c>
      <c r="F99" s="145" t="s">
        <v>1557</v>
      </c>
      <c r="G99" s="219" t="s">
        <v>1394</v>
      </c>
      <c r="H99" s="3">
        <f t="shared" si="3"/>
        <v>1655</v>
      </c>
      <c r="I99" s="3">
        <v>264.8</v>
      </c>
    </row>
    <row r="100" spans="1:9">
      <c r="A100" t="s">
        <v>2620</v>
      </c>
      <c r="B100" s="1">
        <v>41820</v>
      </c>
      <c r="C100" t="s">
        <v>3716</v>
      </c>
      <c r="D100">
        <v>1</v>
      </c>
      <c r="E100" t="s">
        <v>3717</v>
      </c>
      <c r="F100" s="15" t="s">
        <v>737</v>
      </c>
      <c r="G100" s="138" t="s">
        <v>738</v>
      </c>
      <c r="H100" s="3">
        <f t="shared" si="3"/>
        <v>216185.75</v>
      </c>
      <c r="I100" s="3">
        <v>34589.72</v>
      </c>
    </row>
    <row r="101" spans="1:9">
      <c r="A101" t="s">
        <v>3647</v>
      </c>
      <c r="B101" s="1">
        <v>41816</v>
      </c>
      <c r="C101" t="s">
        <v>3648</v>
      </c>
      <c r="D101">
        <v>1</v>
      </c>
      <c r="E101" t="s">
        <v>3649</v>
      </c>
      <c r="F101" s="15" t="s">
        <v>737</v>
      </c>
      <c r="G101" s="220" t="s">
        <v>738</v>
      </c>
      <c r="H101" s="3">
        <f t="shared" si="3"/>
        <v>315421.1875</v>
      </c>
      <c r="I101" s="3">
        <v>50467.39</v>
      </c>
    </row>
    <row r="102" spans="1:9">
      <c r="A102" t="s">
        <v>2656</v>
      </c>
      <c r="B102" s="1">
        <v>41820</v>
      </c>
      <c r="C102" t="s">
        <v>3720</v>
      </c>
      <c r="D102">
        <v>1</v>
      </c>
      <c r="E102" t="s">
        <v>3721</v>
      </c>
      <c r="F102" s="221" t="s">
        <v>2864</v>
      </c>
      <c r="G102" s="222" t="s">
        <v>2865</v>
      </c>
      <c r="H102" s="3">
        <f t="shared" si="3"/>
        <v>325705.4375</v>
      </c>
      <c r="I102" s="3">
        <v>52112.87</v>
      </c>
    </row>
    <row r="103" spans="1:9">
      <c r="A103" t="s">
        <v>124</v>
      </c>
      <c r="B103" s="1">
        <v>41810</v>
      </c>
      <c r="C103" t="s">
        <v>3614</v>
      </c>
      <c r="D103">
        <v>1</v>
      </c>
      <c r="E103" t="s">
        <v>3615</v>
      </c>
      <c r="F103" s="9" t="s">
        <v>3982</v>
      </c>
      <c r="G103" s="138" t="s">
        <v>3615</v>
      </c>
      <c r="H103" s="3">
        <f t="shared" si="3"/>
        <v>320437.1875</v>
      </c>
      <c r="I103" s="3">
        <v>51269.95</v>
      </c>
    </row>
    <row r="104" spans="1:9">
      <c r="A104" t="s">
        <v>2807</v>
      </c>
      <c r="B104" s="1">
        <v>41815</v>
      </c>
      <c r="C104" t="s">
        <v>3919</v>
      </c>
      <c r="D104">
        <v>2</v>
      </c>
      <c r="E104" t="s">
        <v>456</v>
      </c>
      <c r="F104" t="s">
        <v>824</v>
      </c>
      <c r="G104" s="219" t="s">
        <v>3983</v>
      </c>
      <c r="H104" s="3">
        <f t="shared" si="3"/>
        <v>9000</v>
      </c>
      <c r="I104" s="3">
        <v>1440</v>
      </c>
    </row>
    <row r="105" spans="1:9">
      <c r="A105" t="s">
        <v>2126</v>
      </c>
      <c r="B105" s="1">
        <v>41797</v>
      </c>
      <c r="C105" t="s">
        <v>3855</v>
      </c>
      <c r="D105">
        <v>1</v>
      </c>
      <c r="E105" t="s">
        <v>533</v>
      </c>
      <c r="F105" t="s">
        <v>825</v>
      </c>
      <c r="G105" s="219" t="s">
        <v>533</v>
      </c>
      <c r="H105" s="3">
        <f t="shared" si="3"/>
        <v>15000</v>
      </c>
      <c r="I105" s="3">
        <v>2400</v>
      </c>
    </row>
    <row r="106" spans="1:9">
      <c r="A106" t="s">
        <v>1352</v>
      </c>
      <c r="B106" s="1">
        <v>41804</v>
      </c>
      <c r="C106" t="s">
        <v>3887</v>
      </c>
      <c r="D106">
        <v>1</v>
      </c>
      <c r="E106" t="s">
        <v>533</v>
      </c>
      <c r="F106" t="s">
        <v>825</v>
      </c>
      <c r="G106" s="219" t="s">
        <v>533</v>
      </c>
      <c r="H106" s="3">
        <f t="shared" si="3"/>
        <v>15000</v>
      </c>
      <c r="I106" s="3">
        <v>2400</v>
      </c>
    </row>
    <row r="107" spans="1:9">
      <c r="A107" t="s">
        <v>2222</v>
      </c>
      <c r="B107" s="1">
        <v>41815</v>
      </c>
      <c r="C107" t="s">
        <v>3923</v>
      </c>
      <c r="D107">
        <v>1</v>
      </c>
      <c r="E107" t="s">
        <v>533</v>
      </c>
      <c r="F107" t="s">
        <v>825</v>
      </c>
      <c r="G107" s="219" t="s">
        <v>533</v>
      </c>
      <c r="H107" s="3">
        <f t="shared" si="3"/>
        <v>35964.8125</v>
      </c>
      <c r="I107" s="3">
        <v>5754.37</v>
      </c>
    </row>
    <row r="108" spans="1:9">
      <c r="A108" t="s">
        <v>3579</v>
      </c>
      <c r="B108" s="1">
        <v>41807</v>
      </c>
      <c r="C108">
        <v>10254</v>
      </c>
      <c r="D108">
        <v>1</v>
      </c>
      <c r="E108" t="s">
        <v>138</v>
      </c>
      <c r="F108" s="203" t="s">
        <v>828</v>
      </c>
      <c r="G108" s="220" t="s">
        <v>3984</v>
      </c>
      <c r="H108" s="3">
        <f t="shared" si="3"/>
        <v>350</v>
      </c>
      <c r="I108" s="3">
        <v>56</v>
      </c>
    </row>
    <row r="109" spans="1:9">
      <c r="A109" t="s">
        <v>414</v>
      </c>
      <c r="B109" s="1">
        <v>41820</v>
      </c>
      <c r="C109">
        <v>10369</v>
      </c>
      <c r="D109">
        <v>1</v>
      </c>
      <c r="E109" t="s">
        <v>138</v>
      </c>
      <c r="F109" s="203" t="s">
        <v>828</v>
      </c>
      <c r="G109" s="220" t="s">
        <v>3984</v>
      </c>
      <c r="H109" s="3">
        <f t="shared" si="3"/>
        <v>350</v>
      </c>
      <c r="I109" s="3">
        <v>56</v>
      </c>
    </row>
    <row r="110" spans="1:9">
      <c r="A110" t="s">
        <v>388</v>
      </c>
      <c r="B110" s="1">
        <v>41820</v>
      </c>
      <c r="C110">
        <v>10350</v>
      </c>
      <c r="D110">
        <v>1</v>
      </c>
      <c r="E110" t="s">
        <v>3738</v>
      </c>
      <c r="F110" s="203" t="s">
        <v>3985</v>
      </c>
      <c r="G110" s="220" t="s">
        <v>3738</v>
      </c>
      <c r="H110" s="3">
        <f t="shared" si="3"/>
        <v>171.125</v>
      </c>
      <c r="I110" s="3">
        <v>27.38</v>
      </c>
    </row>
    <row r="111" spans="1:9">
      <c r="A111" t="s">
        <v>559</v>
      </c>
      <c r="B111" s="1">
        <v>41808</v>
      </c>
      <c r="C111" t="s">
        <v>3897</v>
      </c>
      <c r="D111">
        <v>1</v>
      </c>
      <c r="E111" t="s">
        <v>462</v>
      </c>
      <c r="F111" s="138" t="s">
        <v>829</v>
      </c>
      <c r="G111" s="220" t="s">
        <v>462</v>
      </c>
      <c r="H111" s="3">
        <f t="shared" si="3"/>
        <v>4949.125</v>
      </c>
      <c r="I111" s="3">
        <v>791.86</v>
      </c>
    </row>
    <row r="112" spans="1:9">
      <c r="A112" t="s">
        <v>385</v>
      </c>
      <c r="B112" s="1">
        <v>41820</v>
      </c>
      <c r="C112">
        <v>10349</v>
      </c>
      <c r="D112">
        <v>1</v>
      </c>
      <c r="E112" t="s">
        <v>3737</v>
      </c>
      <c r="F112" s="168" t="s">
        <v>830</v>
      </c>
      <c r="G112" s="138" t="s">
        <v>367</v>
      </c>
      <c r="H112" s="3">
        <f t="shared" si="3"/>
        <v>129.3125</v>
      </c>
      <c r="I112" s="3">
        <v>20.69</v>
      </c>
    </row>
    <row r="113" spans="1:9">
      <c r="A113" t="s">
        <v>2475</v>
      </c>
      <c r="B113" s="1">
        <v>41807</v>
      </c>
      <c r="C113">
        <v>10269</v>
      </c>
      <c r="D113">
        <v>1</v>
      </c>
      <c r="E113" t="s">
        <v>367</v>
      </c>
      <c r="F113" s="168" t="s">
        <v>830</v>
      </c>
      <c r="G113" s="138" t="s">
        <v>367</v>
      </c>
      <c r="H113" s="3">
        <f t="shared" si="3"/>
        <v>74.125</v>
      </c>
      <c r="I113" s="3">
        <v>11.86</v>
      </c>
    </row>
    <row r="114" spans="1:9">
      <c r="A114" t="s">
        <v>3597</v>
      </c>
      <c r="B114" s="1">
        <v>41807</v>
      </c>
      <c r="C114">
        <v>10281</v>
      </c>
      <c r="D114">
        <v>1</v>
      </c>
      <c r="E114" t="s">
        <v>367</v>
      </c>
      <c r="F114" s="168" t="s">
        <v>830</v>
      </c>
      <c r="G114" s="138" t="s">
        <v>367</v>
      </c>
      <c r="H114" s="3">
        <f t="shared" si="3"/>
        <v>24.8125</v>
      </c>
      <c r="I114" s="3">
        <v>3.97</v>
      </c>
    </row>
    <row r="115" spans="1:9">
      <c r="A115" t="s">
        <v>3833</v>
      </c>
      <c r="B115" s="1">
        <v>41820</v>
      </c>
      <c r="C115" t="s">
        <v>3834</v>
      </c>
      <c r="D115">
        <v>1</v>
      </c>
      <c r="E115" t="s">
        <v>367</v>
      </c>
      <c r="F115" s="9" t="s">
        <v>830</v>
      </c>
      <c r="G115" s="138" t="s">
        <v>367</v>
      </c>
      <c r="H115" s="3">
        <f t="shared" si="3"/>
        <v>29.312500000000004</v>
      </c>
      <c r="I115" s="3">
        <v>4.6900000000000004</v>
      </c>
    </row>
    <row r="116" spans="1:9">
      <c r="A116" t="s">
        <v>3950</v>
      </c>
      <c r="B116" s="1">
        <v>41816</v>
      </c>
      <c r="C116" t="s">
        <v>3951</v>
      </c>
      <c r="D116">
        <v>1</v>
      </c>
      <c r="E116" t="s">
        <v>3952</v>
      </c>
      <c r="F116" s="72" t="s">
        <v>831</v>
      </c>
      <c r="G116" s="227" t="s">
        <v>467</v>
      </c>
      <c r="H116" s="3">
        <f t="shared" si="3"/>
        <v>386.5625</v>
      </c>
      <c r="I116" s="3">
        <v>61.85</v>
      </c>
    </row>
    <row r="117" spans="1:9">
      <c r="A117" t="s">
        <v>3953</v>
      </c>
      <c r="B117" s="1">
        <v>41816</v>
      </c>
      <c r="C117" t="s">
        <v>3954</v>
      </c>
      <c r="D117">
        <v>1</v>
      </c>
      <c r="E117" t="s">
        <v>3955</v>
      </c>
      <c r="F117" s="72" t="s">
        <v>831</v>
      </c>
      <c r="G117" s="227" t="s">
        <v>467</v>
      </c>
      <c r="H117" s="3">
        <f t="shared" si="3"/>
        <v>431.68749999999994</v>
      </c>
      <c r="I117" s="3">
        <v>69.069999999999993</v>
      </c>
    </row>
    <row r="118" spans="1:9">
      <c r="A118" t="s">
        <v>3593</v>
      </c>
      <c r="B118" s="1">
        <v>41807</v>
      </c>
      <c r="C118" t="s">
        <v>3594</v>
      </c>
      <c r="D118">
        <v>1</v>
      </c>
      <c r="E118" t="s">
        <v>3595</v>
      </c>
      <c r="F118" s="203" t="s">
        <v>3986</v>
      </c>
      <c r="G118" s="220" t="s">
        <v>3595</v>
      </c>
      <c r="H118" s="3">
        <f t="shared" si="3"/>
        <v>139.8125</v>
      </c>
      <c r="I118" s="3">
        <v>22.37</v>
      </c>
    </row>
    <row r="119" spans="1:9">
      <c r="A119" t="s">
        <v>361</v>
      </c>
      <c r="B119" s="1">
        <v>41820</v>
      </c>
      <c r="C119">
        <v>10329</v>
      </c>
      <c r="D119">
        <v>1</v>
      </c>
      <c r="E119" t="s">
        <v>2020</v>
      </c>
      <c r="F119" s="203" t="s">
        <v>2292</v>
      </c>
      <c r="G119" s="220" t="s">
        <v>2020</v>
      </c>
      <c r="H119" s="3">
        <f t="shared" si="3"/>
        <v>94.8125</v>
      </c>
      <c r="I119" s="3">
        <v>15.17</v>
      </c>
    </row>
    <row r="120" spans="1:9">
      <c r="A120" t="s">
        <v>365</v>
      </c>
      <c r="B120" s="1">
        <v>41820</v>
      </c>
      <c r="C120">
        <v>10332</v>
      </c>
      <c r="D120">
        <v>1</v>
      </c>
      <c r="E120" t="s">
        <v>2020</v>
      </c>
      <c r="F120" s="203" t="s">
        <v>2292</v>
      </c>
      <c r="G120" s="220" t="s">
        <v>2020</v>
      </c>
      <c r="H120" s="3">
        <f t="shared" si="3"/>
        <v>413.81249999999994</v>
      </c>
      <c r="I120" s="3">
        <v>66.209999999999994</v>
      </c>
    </row>
    <row r="121" spans="1:9">
      <c r="A121" t="s">
        <v>408</v>
      </c>
      <c r="B121" s="1">
        <v>41820</v>
      </c>
      <c r="C121">
        <v>10360</v>
      </c>
      <c r="D121">
        <v>1</v>
      </c>
      <c r="E121" t="s">
        <v>2020</v>
      </c>
      <c r="F121" s="203" t="s">
        <v>2292</v>
      </c>
      <c r="G121" s="220" t="s">
        <v>2020</v>
      </c>
      <c r="H121" s="3">
        <f t="shared" si="3"/>
        <v>603.4375</v>
      </c>
      <c r="I121" s="3">
        <v>96.55</v>
      </c>
    </row>
    <row r="122" spans="1:9">
      <c r="A122" t="s">
        <v>2031</v>
      </c>
      <c r="B122" s="1">
        <v>41820</v>
      </c>
      <c r="C122">
        <v>10341</v>
      </c>
      <c r="D122">
        <v>1</v>
      </c>
      <c r="E122" t="s">
        <v>2036</v>
      </c>
      <c r="F122" s="203" t="s">
        <v>870</v>
      </c>
      <c r="G122" s="220" t="s">
        <v>2036</v>
      </c>
      <c r="H122" s="3">
        <f t="shared" si="3"/>
        <v>1646.9999999999998</v>
      </c>
      <c r="I122" s="3">
        <v>263.52</v>
      </c>
    </row>
    <row r="123" spans="1:9">
      <c r="A123" t="s">
        <v>390</v>
      </c>
      <c r="B123" s="1">
        <v>41820</v>
      </c>
      <c r="C123">
        <v>10352</v>
      </c>
      <c r="D123">
        <v>1</v>
      </c>
      <c r="E123" t="s">
        <v>3739</v>
      </c>
      <c r="F123" s="203" t="s">
        <v>3987</v>
      </c>
      <c r="G123" s="220" t="s">
        <v>3739</v>
      </c>
      <c r="H123" s="3">
        <f t="shared" si="3"/>
        <v>119.875</v>
      </c>
      <c r="I123" s="3">
        <v>19.18</v>
      </c>
    </row>
    <row r="124" spans="1:9">
      <c r="A124" t="s">
        <v>2035</v>
      </c>
      <c r="B124" s="1">
        <v>41820</v>
      </c>
      <c r="C124">
        <v>10345</v>
      </c>
      <c r="D124">
        <v>1</v>
      </c>
      <c r="E124" t="s">
        <v>270</v>
      </c>
      <c r="F124" s="203" t="s">
        <v>836</v>
      </c>
      <c r="G124" s="220" t="s">
        <v>270</v>
      </c>
      <c r="H124" s="3">
        <f t="shared" si="3"/>
        <v>69.9375</v>
      </c>
      <c r="I124" s="3">
        <v>11.19</v>
      </c>
    </row>
    <row r="125" spans="1:9">
      <c r="A125" t="s">
        <v>2038</v>
      </c>
      <c r="B125" s="1">
        <v>41820</v>
      </c>
      <c r="C125">
        <v>10351</v>
      </c>
      <c r="D125">
        <v>1</v>
      </c>
      <c r="E125" t="s">
        <v>270</v>
      </c>
      <c r="F125" s="203" t="s">
        <v>836</v>
      </c>
      <c r="G125" s="220" t="s">
        <v>270</v>
      </c>
      <c r="H125" s="3">
        <f t="shared" si="3"/>
        <v>101.125</v>
      </c>
      <c r="I125" s="3">
        <v>16.18</v>
      </c>
    </row>
    <row r="126" spans="1:9">
      <c r="A126" t="s">
        <v>396</v>
      </c>
      <c r="B126" s="1">
        <v>41820</v>
      </c>
      <c r="C126">
        <v>10354</v>
      </c>
      <c r="D126">
        <v>1</v>
      </c>
      <c r="E126" t="s">
        <v>270</v>
      </c>
      <c r="F126" s="203" t="s">
        <v>836</v>
      </c>
      <c r="G126" s="220" t="s">
        <v>270</v>
      </c>
      <c r="H126" s="3">
        <f t="shared" si="3"/>
        <v>81</v>
      </c>
      <c r="I126" s="3">
        <v>12.96</v>
      </c>
    </row>
    <row r="127" spans="1:9">
      <c r="A127" t="s">
        <v>401</v>
      </c>
      <c r="B127" s="1">
        <v>41820</v>
      </c>
      <c r="C127">
        <v>10357</v>
      </c>
      <c r="D127">
        <v>1</v>
      </c>
      <c r="E127" t="s">
        <v>270</v>
      </c>
      <c r="F127" s="203" t="s">
        <v>836</v>
      </c>
      <c r="G127" s="220" t="s">
        <v>270</v>
      </c>
      <c r="H127" s="3">
        <f t="shared" si="3"/>
        <v>42.5</v>
      </c>
      <c r="I127" s="3">
        <v>6.8</v>
      </c>
    </row>
    <row r="128" spans="1:9">
      <c r="A128" t="s">
        <v>2049</v>
      </c>
      <c r="B128" s="1">
        <v>41820</v>
      </c>
      <c r="C128">
        <v>10366</v>
      </c>
      <c r="D128">
        <v>1</v>
      </c>
      <c r="E128" t="s">
        <v>3743</v>
      </c>
      <c r="F128" s="203" t="s">
        <v>790</v>
      </c>
      <c r="G128" s="220" t="s">
        <v>3743</v>
      </c>
      <c r="H128" s="3">
        <f t="shared" si="3"/>
        <v>18.5625</v>
      </c>
      <c r="I128" s="3">
        <v>2.97</v>
      </c>
    </row>
    <row r="129" spans="1:9">
      <c r="A129" t="s">
        <v>525</v>
      </c>
      <c r="B129" s="1">
        <v>41806</v>
      </c>
      <c r="C129" t="s">
        <v>3893</v>
      </c>
      <c r="D129">
        <v>1</v>
      </c>
      <c r="E129" t="s">
        <v>453</v>
      </c>
      <c r="F129" s="138" t="s">
        <v>838</v>
      </c>
      <c r="G129" s="220" t="s">
        <v>3988</v>
      </c>
      <c r="H129" s="3">
        <f t="shared" si="3"/>
        <v>10898.375</v>
      </c>
      <c r="I129" s="3">
        <v>1743.74</v>
      </c>
    </row>
    <row r="130" spans="1:9">
      <c r="A130" t="s">
        <v>3792</v>
      </c>
      <c r="B130" s="1">
        <v>41820</v>
      </c>
      <c r="C130">
        <v>10378</v>
      </c>
      <c r="D130">
        <v>1</v>
      </c>
      <c r="E130" t="s">
        <v>3793</v>
      </c>
      <c r="F130" s="9" t="s">
        <v>3989</v>
      </c>
      <c r="G130" s="138" t="s">
        <v>3793</v>
      </c>
      <c r="H130" s="3">
        <f t="shared" si="3"/>
        <v>137.9375</v>
      </c>
      <c r="I130" s="3">
        <v>22.07</v>
      </c>
    </row>
    <row r="131" spans="1:9">
      <c r="A131" t="s">
        <v>2729</v>
      </c>
      <c r="B131" s="1">
        <v>41804</v>
      </c>
      <c r="C131" t="s">
        <v>3884</v>
      </c>
      <c r="D131">
        <v>1</v>
      </c>
      <c r="E131" t="s">
        <v>3885</v>
      </c>
      <c r="F131" t="s">
        <v>3990</v>
      </c>
      <c r="G131" s="219" t="s">
        <v>3991</v>
      </c>
      <c r="H131" s="3">
        <f t="shared" si="3"/>
        <v>3165.5</v>
      </c>
      <c r="I131" s="3">
        <v>506.48</v>
      </c>
    </row>
    <row r="132" spans="1:9">
      <c r="A132" t="s">
        <v>580</v>
      </c>
      <c r="B132" s="1">
        <v>41810</v>
      </c>
      <c r="C132" t="s">
        <v>3903</v>
      </c>
      <c r="D132">
        <v>1</v>
      </c>
      <c r="E132" t="s">
        <v>3885</v>
      </c>
      <c r="F132" t="s">
        <v>3990</v>
      </c>
      <c r="G132" s="219" t="s">
        <v>3885</v>
      </c>
      <c r="H132" s="3">
        <f t="shared" si="3"/>
        <v>3174</v>
      </c>
      <c r="I132" s="3">
        <v>507.84</v>
      </c>
    </row>
    <row r="133" spans="1:9">
      <c r="A133" t="s">
        <v>2809</v>
      </c>
      <c r="B133" s="1">
        <v>41815</v>
      </c>
      <c r="C133" t="s">
        <v>3920</v>
      </c>
      <c r="D133">
        <v>1</v>
      </c>
      <c r="E133" t="s">
        <v>3885</v>
      </c>
      <c r="F133" t="s">
        <v>3990</v>
      </c>
      <c r="G133" s="219" t="s">
        <v>3885</v>
      </c>
      <c r="H133" s="3">
        <f t="shared" si="3"/>
        <v>1030</v>
      </c>
      <c r="I133" s="3">
        <v>164.8</v>
      </c>
    </row>
    <row r="134" spans="1:9">
      <c r="A134" t="s">
        <v>3682</v>
      </c>
      <c r="B134" s="1">
        <v>41817</v>
      </c>
      <c r="C134" t="s">
        <v>3683</v>
      </c>
      <c r="D134">
        <v>1</v>
      </c>
      <c r="E134" t="s">
        <v>3684</v>
      </c>
      <c r="F134" s="9" t="s">
        <v>1573</v>
      </c>
      <c r="G134" s="138" t="s">
        <v>1574</v>
      </c>
      <c r="H134" s="3">
        <f t="shared" si="3"/>
        <v>156573.6875</v>
      </c>
      <c r="I134" s="3">
        <v>25051.79</v>
      </c>
    </row>
    <row r="135" spans="1:9">
      <c r="A135" t="s">
        <v>1315</v>
      </c>
      <c r="B135" s="1">
        <v>41797</v>
      </c>
      <c r="C135" t="s">
        <v>3854</v>
      </c>
      <c r="D135">
        <v>1</v>
      </c>
      <c r="E135" t="s">
        <v>499</v>
      </c>
      <c r="F135" s="9" t="s">
        <v>845</v>
      </c>
      <c r="G135" s="138" t="s">
        <v>2018</v>
      </c>
      <c r="H135" s="3">
        <f t="shared" si="3"/>
        <v>2062.375</v>
      </c>
      <c r="I135" s="3">
        <v>329.98</v>
      </c>
    </row>
    <row r="136" spans="1:9">
      <c r="A136" t="s">
        <v>497</v>
      </c>
      <c r="B136" s="1">
        <v>41804</v>
      </c>
      <c r="C136" t="s">
        <v>3881</v>
      </c>
      <c r="D136">
        <v>1</v>
      </c>
      <c r="E136" t="s">
        <v>499</v>
      </c>
      <c r="F136" s="15" t="s">
        <v>845</v>
      </c>
      <c r="G136" s="15" t="s">
        <v>2018</v>
      </c>
      <c r="H136" s="3">
        <f t="shared" si="3"/>
        <v>430</v>
      </c>
      <c r="I136" s="3">
        <v>68.8</v>
      </c>
    </row>
    <row r="137" spans="1:9">
      <c r="A137" t="s">
        <v>2812</v>
      </c>
      <c r="B137" s="1">
        <v>41815</v>
      </c>
      <c r="C137" t="s">
        <v>3921</v>
      </c>
      <c r="D137">
        <v>1</v>
      </c>
      <c r="E137" t="s">
        <v>499</v>
      </c>
      <c r="F137" s="9" t="s">
        <v>845</v>
      </c>
      <c r="G137" s="138" t="s">
        <v>2018</v>
      </c>
      <c r="H137" s="3">
        <f t="shared" si="3"/>
        <v>568.8125</v>
      </c>
      <c r="I137" s="3">
        <v>91.01</v>
      </c>
    </row>
    <row r="138" spans="1:9">
      <c r="A138" t="s">
        <v>3580</v>
      </c>
      <c r="B138" s="1">
        <v>41807</v>
      </c>
      <c r="C138">
        <v>10255</v>
      </c>
      <c r="D138">
        <v>1</v>
      </c>
      <c r="E138" t="s">
        <v>3581</v>
      </c>
      <c r="F138" s="203" t="s">
        <v>3992</v>
      </c>
      <c r="G138" s="220" t="s">
        <v>3993</v>
      </c>
      <c r="H138" s="3">
        <f t="shared" si="3"/>
        <v>275.875</v>
      </c>
      <c r="I138" s="3">
        <v>44.14</v>
      </c>
    </row>
    <row r="139" spans="1:9">
      <c r="A139" t="s">
        <v>3583</v>
      </c>
      <c r="B139" s="1">
        <v>41807</v>
      </c>
      <c r="C139">
        <v>10264</v>
      </c>
      <c r="D139">
        <v>1</v>
      </c>
      <c r="E139" t="s">
        <v>1750</v>
      </c>
      <c r="F139" s="203" t="s">
        <v>848</v>
      </c>
      <c r="G139" s="220" t="s">
        <v>2596</v>
      </c>
      <c r="H139" s="3">
        <f t="shared" si="3"/>
        <v>379.3125</v>
      </c>
      <c r="I139" s="3">
        <v>60.69</v>
      </c>
    </row>
    <row r="140" spans="1:9">
      <c r="A140" t="s">
        <v>3586</v>
      </c>
      <c r="B140" s="1">
        <v>41807</v>
      </c>
      <c r="C140">
        <v>10273</v>
      </c>
      <c r="D140">
        <v>1</v>
      </c>
      <c r="E140" t="s">
        <v>1750</v>
      </c>
      <c r="F140" s="203" t="s">
        <v>848</v>
      </c>
      <c r="G140" s="220" t="s">
        <v>2596</v>
      </c>
      <c r="H140" s="3">
        <f t="shared" si="3"/>
        <v>344.8125</v>
      </c>
      <c r="I140" s="3">
        <v>55.17</v>
      </c>
    </row>
    <row r="141" spans="1:9">
      <c r="A141" t="s">
        <v>2057</v>
      </c>
      <c r="B141" s="1">
        <v>41820</v>
      </c>
      <c r="C141">
        <v>10371</v>
      </c>
      <c r="D141">
        <v>1</v>
      </c>
      <c r="E141" t="s">
        <v>1750</v>
      </c>
      <c r="F141" s="203" t="s">
        <v>848</v>
      </c>
      <c r="G141" s="220" t="s">
        <v>2596</v>
      </c>
      <c r="H141" s="3">
        <f t="shared" si="3"/>
        <v>344.8125</v>
      </c>
      <c r="I141" s="3">
        <v>55.17</v>
      </c>
    </row>
    <row r="142" spans="1:9">
      <c r="A142" t="s">
        <v>2069</v>
      </c>
      <c r="B142" s="1">
        <v>41820</v>
      </c>
      <c r="C142">
        <v>10373</v>
      </c>
      <c r="D142">
        <v>1</v>
      </c>
      <c r="E142" t="s">
        <v>1750</v>
      </c>
      <c r="F142" s="203" t="s">
        <v>848</v>
      </c>
      <c r="G142" s="220" t="s">
        <v>2596</v>
      </c>
      <c r="H142" s="3">
        <f t="shared" si="3"/>
        <v>344.8125</v>
      </c>
      <c r="I142" s="3">
        <v>55.17</v>
      </c>
    </row>
    <row r="143" spans="1:9">
      <c r="A143" t="s">
        <v>2024</v>
      </c>
      <c r="B143" s="1">
        <v>41820</v>
      </c>
      <c r="C143">
        <v>10334</v>
      </c>
      <c r="D143">
        <v>1</v>
      </c>
      <c r="E143" t="s">
        <v>2596</v>
      </c>
      <c r="F143" s="203" t="s">
        <v>848</v>
      </c>
      <c r="G143" s="220" t="s">
        <v>2596</v>
      </c>
      <c r="H143" s="3">
        <f t="shared" si="3"/>
        <v>344.8125</v>
      </c>
      <c r="I143" s="3">
        <v>55.17</v>
      </c>
    </row>
    <row r="144" spans="1:9">
      <c r="A144" t="s">
        <v>442</v>
      </c>
      <c r="B144" s="1">
        <v>41797</v>
      </c>
      <c r="C144" t="s">
        <v>3857</v>
      </c>
      <c r="D144">
        <v>1</v>
      </c>
      <c r="E144" t="s">
        <v>1389</v>
      </c>
      <c r="F144" t="s">
        <v>1576</v>
      </c>
      <c r="G144" s="219" t="s">
        <v>3994</v>
      </c>
      <c r="H144" s="3">
        <f t="shared" si="3"/>
        <v>603.1875</v>
      </c>
      <c r="I144" s="3">
        <v>96.51</v>
      </c>
    </row>
    <row r="145" spans="1:11">
      <c r="A145" t="s">
        <v>3849</v>
      </c>
      <c r="B145" s="1">
        <v>41797</v>
      </c>
      <c r="C145" t="s">
        <v>3850</v>
      </c>
      <c r="D145">
        <v>2</v>
      </c>
      <c r="E145" t="s">
        <v>512</v>
      </c>
      <c r="F145" s="9" t="s">
        <v>849</v>
      </c>
      <c r="G145" s="138" t="s">
        <v>3995</v>
      </c>
      <c r="H145" s="3">
        <f t="shared" si="3"/>
        <v>25256.25</v>
      </c>
      <c r="I145" s="3">
        <v>4041</v>
      </c>
    </row>
    <row r="146" spans="1:11">
      <c r="A146" t="s">
        <v>503</v>
      </c>
      <c r="B146" s="1">
        <v>41804</v>
      </c>
      <c r="C146" t="s">
        <v>3883</v>
      </c>
      <c r="D146">
        <v>2</v>
      </c>
      <c r="E146" t="s">
        <v>512</v>
      </c>
      <c r="F146" s="9" t="s">
        <v>849</v>
      </c>
      <c r="G146" s="138" t="s">
        <v>3995</v>
      </c>
      <c r="H146" s="3">
        <f t="shared" ref="H146:H210" si="4">+I146/0.16</f>
        <v>1334.75</v>
      </c>
      <c r="I146" s="3">
        <v>213.56</v>
      </c>
    </row>
    <row r="147" spans="1:11">
      <c r="A147" t="s">
        <v>2818</v>
      </c>
      <c r="B147" s="1">
        <v>41815</v>
      </c>
      <c r="C147" t="s">
        <v>3925</v>
      </c>
      <c r="D147">
        <v>2</v>
      </c>
      <c r="E147" t="s">
        <v>512</v>
      </c>
      <c r="F147" s="9" t="s">
        <v>849</v>
      </c>
      <c r="G147" s="138" t="s">
        <v>3995</v>
      </c>
      <c r="H147" s="3">
        <f t="shared" si="4"/>
        <v>1687.6874999999998</v>
      </c>
      <c r="I147" s="3">
        <v>270.02999999999997</v>
      </c>
    </row>
    <row r="148" spans="1:11">
      <c r="A148" t="s">
        <v>3845</v>
      </c>
      <c r="B148" s="1">
        <v>41797</v>
      </c>
      <c r="C148" t="s">
        <v>3846</v>
      </c>
      <c r="D148">
        <v>2</v>
      </c>
      <c r="E148" t="s">
        <v>608</v>
      </c>
      <c r="F148" t="s">
        <v>853</v>
      </c>
      <c r="G148" s="219" t="s">
        <v>3996</v>
      </c>
      <c r="H148" s="3">
        <f t="shared" si="4"/>
        <v>365</v>
      </c>
      <c r="I148" s="3">
        <v>58.4</v>
      </c>
    </row>
    <row r="149" spans="1:11">
      <c r="A149" t="s">
        <v>1342</v>
      </c>
      <c r="B149" s="1">
        <v>41804</v>
      </c>
      <c r="C149" t="s">
        <v>3878</v>
      </c>
      <c r="D149">
        <v>2</v>
      </c>
      <c r="E149" t="s">
        <v>608</v>
      </c>
      <c r="F149" t="s">
        <v>853</v>
      </c>
      <c r="G149" s="219" t="s">
        <v>3996</v>
      </c>
      <c r="H149" s="3">
        <f t="shared" si="4"/>
        <v>951.99999999999989</v>
      </c>
      <c r="I149" s="3">
        <v>152.32</v>
      </c>
    </row>
    <row r="150" spans="1:11">
      <c r="A150" t="s">
        <v>1418</v>
      </c>
      <c r="B150" s="1">
        <v>41810</v>
      </c>
      <c r="C150" t="s">
        <v>3900</v>
      </c>
      <c r="D150">
        <v>2</v>
      </c>
      <c r="E150" t="s">
        <v>608</v>
      </c>
      <c r="F150" t="s">
        <v>853</v>
      </c>
      <c r="G150" s="219" t="s">
        <v>3996</v>
      </c>
      <c r="H150" s="3">
        <f t="shared" si="4"/>
        <v>791</v>
      </c>
      <c r="I150" s="3">
        <v>126.56</v>
      </c>
    </row>
    <row r="151" spans="1:11">
      <c r="A151" t="s">
        <v>600</v>
      </c>
      <c r="B151" s="1">
        <v>41815</v>
      </c>
      <c r="C151" t="s">
        <v>3914</v>
      </c>
      <c r="D151">
        <v>2</v>
      </c>
      <c r="E151" t="s">
        <v>608</v>
      </c>
      <c r="F151" t="s">
        <v>853</v>
      </c>
      <c r="G151" s="219" t="s">
        <v>3996</v>
      </c>
      <c r="H151" s="3">
        <f t="shared" si="4"/>
        <v>1889.9999999999998</v>
      </c>
      <c r="I151" s="3">
        <v>302.39999999999998</v>
      </c>
    </row>
    <row r="152" spans="1:11">
      <c r="A152" t="s">
        <v>602</v>
      </c>
      <c r="B152" s="1">
        <v>41815</v>
      </c>
      <c r="C152" t="s">
        <v>3915</v>
      </c>
      <c r="D152">
        <v>1</v>
      </c>
      <c r="E152" t="s">
        <v>608</v>
      </c>
      <c r="F152" t="s">
        <v>853</v>
      </c>
      <c r="G152" s="219" t="s">
        <v>3996</v>
      </c>
      <c r="H152" s="3">
        <f t="shared" si="4"/>
        <v>500</v>
      </c>
      <c r="I152" s="3">
        <v>80</v>
      </c>
    </row>
    <row r="153" spans="1:11">
      <c r="A153" t="s">
        <v>3575</v>
      </c>
      <c r="B153" s="1">
        <v>41807</v>
      </c>
      <c r="C153" t="s">
        <v>3576</v>
      </c>
      <c r="D153">
        <v>1</v>
      </c>
      <c r="E153" t="s">
        <v>3059</v>
      </c>
      <c r="F153" s="203" t="s">
        <v>888</v>
      </c>
      <c r="G153" s="220" t="s">
        <v>3059</v>
      </c>
      <c r="H153" s="3">
        <f t="shared" si="4"/>
        <v>1.1875</v>
      </c>
      <c r="I153" s="3">
        <v>0.19</v>
      </c>
    </row>
    <row r="154" spans="1:11">
      <c r="A154" t="s">
        <v>2053</v>
      </c>
      <c r="B154" s="1">
        <v>41820</v>
      </c>
      <c r="C154">
        <v>10368</v>
      </c>
      <c r="D154">
        <v>1</v>
      </c>
      <c r="E154" t="s">
        <v>3744</v>
      </c>
      <c r="F154" s="203" t="s">
        <v>2281</v>
      </c>
      <c r="G154" s="220" t="s">
        <v>2032</v>
      </c>
      <c r="H154" s="3">
        <f t="shared" si="4"/>
        <v>168.0625</v>
      </c>
      <c r="I154" s="3">
        <v>26.89</v>
      </c>
    </row>
    <row r="155" spans="1:11">
      <c r="A155" t="s">
        <v>3548</v>
      </c>
      <c r="B155" s="1">
        <v>41792</v>
      </c>
      <c r="C155" t="s">
        <v>3549</v>
      </c>
      <c r="D155">
        <v>1</v>
      </c>
      <c r="E155" t="s">
        <v>780</v>
      </c>
      <c r="F155" s="228" t="s">
        <v>742</v>
      </c>
      <c r="G155" s="220" t="s">
        <v>743</v>
      </c>
      <c r="H155" s="3">
        <f t="shared" si="4"/>
        <v>233864.375</v>
      </c>
      <c r="I155" s="3">
        <v>37418.300000000003</v>
      </c>
    </row>
    <row r="156" spans="1:11">
      <c r="A156" t="s">
        <v>3623</v>
      </c>
      <c r="B156" s="1">
        <v>41813</v>
      </c>
      <c r="C156" t="s">
        <v>3603</v>
      </c>
      <c r="D156">
        <v>1</v>
      </c>
      <c r="E156" t="s">
        <v>3624</v>
      </c>
      <c r="F156" s="138" t="s">
        <v>787</v>
      </c>
      <c r="G156" s="220" t="s">
        <v>788</v>
      </c>
      <c r="H156" s="3">
        <f t="shared" si="4"/>
        <v>-224993.125</v>
      </c>
      <c r="I156" s="3">
        <v>-35998.9</v>
      </c>
      <c r="J156" s="2"/>
    </row>
    <row r="157" spans="1:11">
      <c r="A157" t="s">
        <v>3630</v>
      </c>
      <c r="B157" s="1">
        <v>41813</v>
      </c>
      <c r="C157" t="s">
        <v>26</v>
      </c>
      <c r="D157">
        <v>1</v>
      </c>
      <c r="E157" t="s">
        <v>3631</v>
      </c>
      <c r="F157" s="25" t="s">
        <v>1553</v>
      </c>
      <c r="G157" s="27" t="s">
        <v>3997</v>
      </c>
      <c r="H157" s="3">
        <f>I157/0.16</f>
        <v>577.625</v>
      </c>
      <c r="I157" s="3">
        <v>92.42</v>
      </c>
      <c r="J157" s="3"/>
      <c r="K157" s="3"/>
    </row>
    <row r="158" spans="1:11">
      <c r="A158" t="s">
        <v>3630</v>
      </c>
      <c r="B158" s="1">
        <v>41813</v>
      </c>
      <c r="C158" t="s">
        <v>26</v>
      </c>
      <c r="D158">
        <v>1</v>
      </c>
      <c r="E158" t="s">
        <v>3631</v>
      </c>
      <c r="F158" s="9" t="s">
        <v>893</v>
      </c>
      <c r="G158" s="138" t="s">
        <v>266</v>
      </c>
      <c r="H158" s="3">
        <f>I158/0.16</f>
        <v>86.187499999999986</v>
      </c>
      <c r="I158" s="3">
        <v>13.79</v>
      </c>
      <c r="J158" s="13">
        <f>663.81-H157-H158</f>
        <v>-2.5000000000403588E-3</v>
      </c>
      <c r="K158" s="13">
        <f>106.21-I157-I158</f>
        <v>0</v>
      </c>
    </row>
    <row r="159" spans="1:11">
      <c r="A159" t="s">
        <v>481</v>
      </c>
      <c r="B159" s="1">
        <v>41803</v>
      </c>
      <c r="C159" t="s">
        <v>3870</v>
      </c>
      <c r="D159">
        <v>1</v>
      </c>
      <c r="E159" t="s">
        <v>1501</v>
      </c>
      <c r="F159" t="s">
        <v>1664</v>
      </c>
      <c r="G159" s="219" t="s">
        <v>3998</v>
      </c>
      <c r="H159" s="3">
        <f t="shared" si="4"/>
        <v>31802.125</v>
      </c>
      <c r="I159" s="3">
        <v>5088.34</v>
      </c>
    </row>
    <row r="160" spans="1:11">
      <c r="A160" t="s">
        <v>3601</v>
      </c>
      <c r="B160" s="1">
        <v>41807</v>
      </c>
      <c r="C160">
        <v>10285</v>
      </c>
      <c r="D160">
        <v>1</v>
      </c>
      <c r="E160" t="s">
        <v>3602</v>
      </c>
      <c r="F160" s="168" t="s">
        <v>830</v>
      </c>
      <c r="G160" s="138" t="s">
        <v>367</v>
      </c>
      <c r="H160" s="3">
        <f t="shared" si="4"/>
        <v>133.25</v>
      </c>
      <c r="I160" s="3">
        <v>21.32</v>
      </c>
    </row>
    <row r="161" spans="1:12">
      <c r="A161" t="s">
        <v>3956</v>
      </c>
      <c r="B161" s="1">
        <v>41820</v>
      </c>
      <c r="C161" t="s">
        <v>3957</v>
      </c>
      <c r="D161">
        <v>1</v>
      </c>
      <c r="E161" t="s">
        <v>3958</v>
      </c>
      <c r="H161" s="3">
        <f t="shared" si="4"/>
        <v>775.375</v>
      </c>
      <c r="I161" s="3">
        <v>124.06</v>
      </c>
    </row>
    <row r="162" spans="1:12">
      <c r="A162" t="s">
        <v>3956</v>
      </c>
      <c r="B162" s="1">
        <v>41820</v>
      </c>
      <c r="C162" t="s">
        <v>3957</v>
      </c>
      <c r="D162">
        <v>1</v>
      </c>
      <c r="E162" t="s">
        <v>3959</v>
      </c>
      <c r="H162" s="3">
        <f t="shared" si="4"/>
        <v>872.625</v>
      </c>
      <c r="I162" s="3">
        <v>139.62</v>
      </c>
    </row>
    <row r="163" spans="1:12">
      <c r="A163" t="s">
        <v>3672</v>
      </c>
      <c r="B163" s="1">
        <v>41817</v>
      </c>
      <c r="C163" t="s">
        <v>3673</v>
      </c>
      <c r="D163">
        <v>1</v>
      </c>
      <c r="E163" t="s">
        <v>3674</v>
      </c>
      <c r="F163" s="138" t="s">
        <v>858</v>
      </c>
      <c r="G163" s="220" t="s">
        <v>859</v>
      </c>
      <c r="H163" s="3">
        <f t="shared" si="4"/>
        <v>1587.625</v>
      </c>
      <c r="I163" s="3">
        <v>254.02</v>
      </c>
    </row>
    <row r="164" spans="1:12">
      <c r="A164" t="s">
        <v>3669</v>
      </c>
      <c r="B164" s="1">
        <v>41817</v>
      </c>
      <c r="C164" t="s">
        <v>3670</v>
      </c>
      <c r="D164">
        <v>1</v>
      </c>
      <c r="E164" t="s">
        <v>3671</v>
      </c>
      <c r="F164" s="138" t="s">
        <v>858</v>
      </c>
      <c r="G164" s="220" t="s">
        <v>859</v>
      </c>
      <c r="H164" s="3">
        <f t="shared" si="4"/>
        <v>3571.125</v>
      </c>
      <c r="I164" s="3">
        <v>571.38</v>
      </c>
    </row>
    <row r="165" spans="1:12">
      <c r="A165" t="s">
        <v>1335</v>
      </c>
      <c r="B165" s="1">
        <v>41801</v>
      </c>
      <c r="C165" t="s">
        <v>3866</v>
      </c>
      <c r="D165">
        <v>1</v>
      </c>
      <c r="E165" t="s">
        <v>3867</v>
      </c>
      <c r="F165" t="s">
        <v>4081</v>
      </c>
      <c r="G165" s="234" t="s">
        <v>4082</v>
      </c>
      <c r="H165" s="3">
        <f t="shared" si="4"/>
        <v>193965.5625</v>
      </c>
      <c r="I165" s="3">
        <v>31034.49</v>
      </c>
    </row>
    <row r="166" spans="1:12">
      <c r="A166" t="s">
        <v>2833</v>
      </c>
      <c r="B166" s="1">
        <v>41820</v>
      </c>
      <c r="C166" t="s">
        <v>3938</v>
      </c>
      <c r="D166">
        <v>1</v>
      </c>
      <c r="E166" t="s">
        <v>675</v>
      </c>
      <c r="H166" s="3">
        <f t="shared" si="4"/>
        <v>133928.5625</v>
      </c>
      <c r="I166" s="3">
        <v>21428.57</v>
      </c>
      <c r="J166" s="13">
        <f>+H166-[1]JUN!$H$172</f>
        <v>949.8125</v>
      </c>
      <c r="K166" s="13">
        <f>+I166-[1]JUN!$I$172</f>
        <v>151.97000000000116</v>
      </c>
      <c r="L166" t="s">
        <v>850</v>
      </c>
    </row>
    <row r="167" spans="1:12">
      <c r="A167" t="s">
        <v>3709</v>
      </c>
      <c r="B167" s="1">
        <v>41820</v>
      </c>
      <c r="C167" t="s">
        <v>3710</v>
      </c>
      <c r="D167">
        <v>1</v>
      </c>
      <c r="E167" t="s">
        <v>3711</v>
      </c>
      <c r="H167" s="3">
        <f t="shared" si="4"/>
        <v>1108.9375</v>
      </c>
      <c r="I167" s="3">
        <v>177.43</v>
      </c>
    </row>
    <row r="168" spans="1:12">
      <c r="A168" t="s">
        <v>3542</v>
      </c>
      <c r="B168" s="1">
        <v>41792</v>
      </c>
      <c r="C168" t="s">
        <v>3543</v>
      </c>
      <c r="D168">
        <v>1</v>
      </c>
      <c r="E168" t="s">
        <v>3544</v>
      </c>
      <c r="H168" s="3">
        <f t="shared" si="4"/>
        <v>1161.4375</v>
      </c>
      <c r="I168" s="3">
        <v>185.83</v>
      </c>
    </row>
    <row r="169" spans="1:12">
      <c r="A169" t="s">
        <v>3712</v>
      </c>
      <c r="B169" s="1">
        <v>41820</v>
      </c>
      <c r="C169" t="s">
        <v>3713</v>
      </c>
      <c r="D169">
        <v>1</v>
      </c>
      <c r="E169" t="s">
        <v>3714</v>
      </c>
      <c r="H169" s="3">
        <f t="shared" si="4"/>
        <v>2158.5</v>
      </c>
      <c r="I169" s="3">
        <v>345.36</v>
      </c>
    </row>
    <row r="170" spans="1:12">
      <c r="A170" t="s">
        <v>3545</v>
      </c>
      <c r="B170" s="1">
        <v>41792</v>
      </c>
      <c r="C170" t="s">
        <v>3546</v>
      </c>
      <c r="D170">
        <v>1</v>
      </c>
      <c r="E170" t="s">
        <v>3547</v>
      </c>
      <c r="H170" s="3">
        <f t="shared" si="4"/>
        <v>2212.875</v>
      </c>
      <c r="I170" s="3">
        <v>354.06</v>
      </c>
    </row>
    <row r="171" spans="1:12">
      <c r="A171" t="s">
        <v>1774</v>
      </c>
      <c r="B171" s="1">
        <v>41803</v>
      </c>
      <c r="C171" t="s">
        <v>3570</v>
      </c>
      <c r="D171">
        <v>1</v>
      </c>
      <c r="E171" t="s">
        <v>3571</v>
      </c>
      <c r="H171" s="3">
        <f t="shared" si="4"/>
        <v>14963.874999999998</v>
      </c>
      <c r="I171" s="3">
        <v>2394.2199999999998</v>
      </c>
    </row>
    <row r="172" spans="1:12">
      <c r="A172" t="s">
        <v>646</v>
      </c>
      <c r="B172" s="1">
        <v>41820</v>
      </c>
      <c r="C172" t="s">
        <v>3939</v>
      </c>
      <c r="D172">
        <v>1</v>
      </c>
      <c r="E172" t="s">
        <v>672</v>
      </c>
      <c r="H172" s="3">
        <f t="shared" si="4"/>
        <v>133928.5625</v>
      </c>
      <c r="I172" s="3">
        <v>21428.57</v>
      </c>
      <c r="J172" s="13">
        <f>+H172-[1]JUN!$H$198</f>
        <v>949.8125</v>
      </c>
      <c r="K172" s="13">
        <f>+I172-[1]JUN!$I$198</f>
        <v>151.97000000000116</v>
      </c>
      <c r="L172" t="s">
        <v>850</v>
      </c>
    </row>
    <row r="173" spans="1:12">
      <c r="A173" t="s">
        <v>1152</v>
      </c>
      <c r="B173" s="1">
        <v>41813</v>
      </c>
      <c r="C173" t="s">
        <v>3605</v>
      </c>
      <c r="D173">
        <v>1</v>
      </c>
      <c r="E173" t="s">
        <v>3626</v>
      </c>
      <c r="F173" s="15" t="s">
        <v>744</v>
      </c>
      <c r="G173" s="138" t="s">
        <v>745</v>
      </c>
      <c r="H173" s="3">
        <f t="shared" si="4"/>
        <v>-260966.5</v>
      </c>
      <c r="I173" s="3">
        <v>-41754.639999999999</v>
      </c>
      <c r="J173" s="2"/>
    </row>
    <row r="174" spans="1:12">
      <c r="A174" t="s">
        <v>3860</v>
      </c>
      <c r="B174" s="1">
        <v>41797</v>
      </c>
      <c r="C174" t="s">
        <v>3861</v>
      </c>
      <c r="D174">
        <v>1</v>
      </c>
      <c r="E174" t="s">
        <v>1367</v>
      </c>
      <c r="F174" t="s">
        <v>894</v>
      </c>
      <c r="G174" s="219" t="s">
        <v>2651</v>
      </c>
      <c r="H174" s="3">
        <f t="shared" si="4"/>
        <v>12047</v>
      </c>
      <c r="I174" s="3">
        <v>1927.52</v>
      </c>
    </row>
    <row r="175" spans="1:12">
      <c r="A175" t="s">
        <v>494</v>
      </c>
      <c r="B175" s="1">
        <v>41804</v>
      </c>
      <c r="C175" t="s">
        <v>3880</v>
      </c>
      <c r="D175">
        <v>1</v>
      </c>
      <c r="E175" t="s">
        <v>1367</v>
      </c>
      <c r="F175" s="15" t="s">
        <v>894</v>
      </c>
      <c r="G175" s="15" t="s">
        <v>2651</v>
      </c>
      <c r="H175" s="3">
        <f t="shared" si="4"/>
        <v>10646.9375</v>
      </c>
      <c r="I175" s="3">
        <v>1703.51</v>
      </c>
    </row>
    <row r="176" spans="1:12">
      <c r="A176" t="s">
        <v>578</v>
      </c>
      <c r="B176" s="1">
        <v>41810</v>
      </c>
      <c r="C176" t="s">
        <v>3901</v>
      </c>
      <c r="D176">
        <v>1</v>
      </c>
      <c r="E176" t="s">
        <v>1367</v>
      </c>
      <c r="F176" t="s">
        <v>894</v>
      </c>
      <c r="G176" s="219" t="s">
        <v>2651</v>
      </c>
      <c r="H176" s="3">
        <f t="shared" si="4"/>
        <v>6372.4375</v>
      </c>
      <c r="I176" s="3">
        <v>1019.59</v>
      </c>
    </row>
    <row r="177" spans="1:9">
      <c r="A177" t="s">
        <v>3666</v>
      </c>
      <c r="B177" s="1">
        <v>41817</v>
      </c>
      <c r="C177" t="s">
        <v>3667</v>
      </c>
      <c r="D177">
        <v>1</v>
      </c>
      <c r="E177" t="s">
        <v>3668</v>
      </c>
      <c r="F177" s="138" t="s">
        <v>858</v>
      </c>
      <c r="G177" s="220" t="s">
        <v>859</v>
      </c>
      <c r="H177" s="3">
        <f t="shared" si="4"/>
        <v>19308.625</v>
      </c>
      <c r="I177" s="3">
        <v>3089.38</v>
      </c>
    </row>
    <row r="178" spans="1:9">
      <c r="A178" t="s">
        <v>510</v>
      </c>
      <c r="B178" s="1">
        <v>41806</v>
      </c>
      <c r="C178" t="s">
        <v>3890</v>
      </c>
      <c r="D178">
        <v>1</v>
      </c>
      <c r="E178" t="s">
        <v>3891</v>
      </c>
      <c r="F178" s="233" t="s">
        <v>4079</v>
      </c>
      <c r="G178" s="234" t="s">
        <v>4080</v>
      </c>
      <c r="H178" s="3">
        <f t="shared" si="4"/>
        <v>94827.625</v>
      </c>
      <c r="I178" s="3">
        <v>15172.42</v>
      </c>
    </row>
    <row r="179" spans="1:9">
      <c r="A179" t="s">
        <v>508</v>
      </c>
      <c r="B179" s="1">
        <v>41806</v>
      </c>
      <c r="C179" t="s">
        <v>3888</v>
      </c>
      <c r="D179">
        <v>1</v>
      </c>
      <c r="E179" t="s">
        <v>3889</v>
      </c>
      <c r="F179" t="s">
        <v>3999</v>
      </c>
      <c r="G179" s="177" t="s">
        <v>3889</v>
      </c>
      <c r="H179" s="3">
        <f t="shared" si="4"/>
        <v>1962</v>
      </c>
      <c r="I179" s="3">
        <v>313.92</v>
      </c>
    </row>
    <row r="180" spans="1:9">
      <c r="A180" t="s">
        <v>2174</v>
      </c>
      <c r="B180" s="1">
        <v>41806</v>
      </c>
      <c r="C180" t="s">
        <v>3892</v>
      </c>
      <c r="D180">
        <v>2</v>
      </c>
      <c r="E180" t="s">
        <v>590</v>
      </c>
      <c r="F180" s="138" t="s">
        <v>861</v>
      </c>
      <c r="G180" s="220" t="s">
        <v>116</v>
      </c>
      <c r="H180" s="3">
        <f t="shared" si="4"/>
        <v>612.25</v>
      </c>
      <c r="I180" s="3">
        <v>97.96</v>
      </c>
    </row>
    <row r="181" spans="1:9">
      <c r="A181" t="s">
        <v>3909</v>
      </c>
      <c r="B181" s="1">
        <v>41815</v>
      </c>
      <c r="C181" t="s">
        <v>3910</v>
      </c>
      <c r="D181">
        <v>2</v>
      </c>
      <c r="E181" t="s">
        <v>590</v>
      </c>
      <c r="F181" s="15" t="s">
        <v>861</v>
      </c>
      <c r="G181" s="220" t="s">
        <v>116</v>
      </c>
      <c r="H181" s="3">
        <f t="shared" si="4"/>
        <v>6122.375</v>
      </c>
      <c r="I181" s="3">
        <v>979.58</v>
      </c>
    </row>
    <row r="182" spans="1:9">
      <c r="A182" t="s">
        <v>3587</v>
      </c>
      <c r="B182" s="1">
        <v>41807</v>
      </c>
      <c r="C182">
        <v>10275</v>
      </c>
      <c r="D182">
        <v>1</v>
      </c>
      <c r="E182" t="s">
        <v>338</v>
      </c>
      <c r="F182" s="203" t="s">
        <v>862</v>
      </c>
      <c r="G182" s="220" t="s">
        <v>338</v>
      </c>
      <c r="H182" s="3">
        <f t="shared" si="4"/>
        <v>346.5625</v>
      </c>
      <c r="I182" s="3">
        <v>55.45</v>
      </c>
    </row>
    <row r="183" spans="1:9">
      <c r="A183" t="s">
        <v>3812</v>
      </c>
      <c r="B183" s="1">
        <v>41820</v>
      </c>
      <c r="C183" t="s">
        <v>3813</v>
      </c>
      <c r="D183">
        <v>1</v>
      </c>
      <c r="E183" t="s">
        <v>291</v>
      </c>
      <c r="F183" s="9" t="s">
        <v>863</v>
      </c>
      <c r="G183" s="138" t="s">
        <v>291</v>
      </c>
      <c r="H183" s="3">
        <f t="shared" si="4"/>
        <v>258.9375</v>
      </c>
      <c r="I183" s="3">
        <v>41.43</v>
      </c>
    </row>
    <row r="184" spans="1:9">
      <c r="A184" t="s">
        <v>3828</v>
      </c>
      <c r="B184" s="1">
        <v>41820</v>
      </c>
      <c r="C184" t="s">
        <v>3829</v>
      </c>
      <c r="D184">
        <v>1</v>
      </c>
      <c r="E184" t="s">
        <v>3830</v>
      </c>
      <c r="F184" s="9" t="s">
        <v>2877</v>
      </c>
      <c r="G184" s="138" t="s">
        <v>3830</v>
      </c>
      <c r="H184" s="3">
        <f t="shared" si="4"/>
        <v>646.5625</v>
      </c>
      <c r="I184" s="3">
        <v>103.45</v>
      </c>
    </row>
    <row r="185" spans="1:9">
      <c r="A185" t="s">
        <v>382</v>
      </c>
      <c r="B185" s="1">
        <v>41820</v>
      </c>
      <c r="C185">
        <v>10348</v>
      </c>
      <c r="D185">
        <v>1</v>
      </c>
      <c r="E185" t="s">
        <v>3736</v>
      </c>
      <c r="F185" s="203" t="s">
        <v>4000</v>
      </c>
      <c r="G185" s="220" t="s">
        <v>3736</v>
      </c>
      <c r="H185" s="3">
        <f t="shared" si="4"/>
        <v>473.3125</v>
      </c>
      <c r="I185" s="3">
        <v>75.73</v>
      </c>
    </row>
    <row r="186" spans="1:9">
      <c r="A186" t="s">
        <v>3823</v>
      </c>
      <c r="B186" s="1">
        <v>41820</v>
      </c>
      <c r="C186" t="s">
        <v>3824</v>
      </c>
      <c r="D186">
        <v>1</v>
      </c>
      <c r="E186" t="s">
        <v>3825</v>
      </c>
      <c r="F186" s="9" t="s">
        <v>4001</v>
      </c>
      <c r="G186" s="138" t="s">
        <v>4002</v>
      </c>
      <c r="H186" s="3">
        <f t="shared" si="4"/>
        <v>145.625</v>
      </c>
      <c r="I186" s="3">
        <v>23.3</v>
      </c>
    </row>
    <row r="187" spans="1:9">
      <c r="A187" t="s">
        <v>2152</v>
      </c>
      <c r="B187" s="1">
        <v>41803</v>
      </c>
      <c r="C187" t="s">
        <v>3871</v>
      </c>
      <c r="D187">
        <v>1</v>
      </c>
      <c r="E187" t="s">
        <v>2217</v>
      </c>
      <c r="F187" s="9" t="s">
        <v>2306</v>
      </c>
      <c r="G187" s="138" t="s">
        <v>4003</v>
      </c>
      <c r="H187" s="3">
        <f t="shared" si="4"/>
        <v>7500.8750000000009</v>
      </c>
      <c r="I187" s="3">
        <v>1200.1400000000001</v>
      </c>
    </row>
    <row r="188" spans="1:9">
      <c r="A188" t="s">
        <v>405</v>
      </c>
      <c r="B188" s="1">
        <v>41820</v>
      </c>
      <c r="C188">
        <v>10359</v>
      </c>
      <c r="D188">
        <v>1</v>
      </c>
      <c r="E188" t="s">
        <v>3741</v>
      </c>
      <c r="F188" s="203" t="s">
        <v>865</v>
      </c>
      <c r="G188" s="220" t="s">
        <v>347</v>
      </c>
      <c r="H188" s="3">
        <f t="shared" si="4"/>
        <v>276</v>
      </c>
      <c r="I188" s="3">
        <v>44.16</v>
      </c>
    </row>
    <row r="189" spans="1:9">
      <c r="A189" t="s">
        <v>2045</v>
      </c>
      <c r="B189" s="1">
        <v>41820</v>
      </c>
      <c r="C189">
        <v>10364</v>
      </c>
      <c r="D189">
        <v>1</v>
      </c>
      <c r="E189" t="s">
        <v>347</v>
      </c>
      <c r="F189" s="203" t="s">
        <v>865</v>
      </c>
      <c r="G189" s="220" t="s">
        <v>347</v>
      </c>
      <c r="H189" s="3">
        <f t="shared" si="4"/>
        <v>327.625</v>
      </c>
      <c r="I189" s="3">
        <v>52.42</v>
      </c>
    </row>
    <row r="190" spans="1:9">
      <c r="A190" t="s">
        <v>2220</v>
      </c>
      <c r="B190" s="1">
        <v>41815</v>
      </c>
      <c r="C190" t="s">
        <v>3922</v>
      </c>
      <c r="D190">
        <v>1</v>
      </c>
      <c r="E190" t="s">
        <v>640</v>
      </c>
      <c r="F190" s="9" t="s">
        <v>866</v>
      </c>
      <c r="G190" s="138" t="s">
        <v>640</v>
      </c>
      <c r="H190" s="3">
        <f t="shared" si="4"/>
        <v>3380.0624999999995</v>
      </c>
      <c r="I190" s="3">
        <v>540.80999999999995</v>
      </c>
    </row>
    <row r="191" spans="1:9">
      <c r="A191" t="s">
        <v>3588</v>
      </c>
      <c r="B191" s="1">
        <v>41807</v>
      </c>
      <c r="C191">
        <v>10276</v>
      </c>
      <c r="D191">
        <v>1</v>
      </c>
      <c r="E191" t="s">
        <v>3589</v>
      </c>
      <c r="F191" s="203" t="s">
        <v>4004</v>
      </c>
      <c r="G191" s="220" t="s">
        <v>3589</v>
      </c>
      <c r="H191" s="3">
        <f t="shared" si="4"/>
        <v>509.99999999999994</v>
      </c>
      <c r="I191" s="3">
        <v>81.599999999999994</v>
      </c>
    </row>
    <row r="192" spans="1:9">
      <c r="A192" t="s">
        <v>3816</v>
      </c>
      <c r="B192" s="1">
        <v>41820</v>
      </c>
      <c r="C192" t="s">
        <v>3817</v>
      </c>
      <c r="D192">
        <v>1</v>
      </c>
      <c r="E192" t="s">
        <v>3818</v>
      </c>
      <c r="F192" s="9" t="s">
        <v>887</v>
      </c>
      <c r="G192" s="138" t="s">
        <v>4005</v>
      </c>
      <c r="H192" s="3">
        <f t="shared" si="4"/>
        <v>862.0625</v>
      </c>
      <c r="I192" s="3">
        <v>137.93</v>
      </c>
    </row>
    <row r="193" spans="1:9">
      <c r="A193" t="s">
        <v>2207</v>
      </c>
      <c r="B193" s="1">
        <v>41810</v>
      </c>
      <c r="C193" t="s">
        <v>3904</v>
      </c>
      <c r="D193">
        <v>1</v>
      </c>
      <c r="E193" t="s">
        <v>535</v>
      </c>
      <c r="F193" s="9" t="s">
        <v>764</v>
      </c>
      <c r="G193" s="138" t="s">
        <v>535</v>
      </c>
      <c r="H193" s="3">
        <f t="shared" si="4"/>
        <v>860</v>
      </c>
      <c r="I193" s="3">
        <v>137.6</v>
      </c>
    </row>
    <row r="194" spans="1:9">
      <c r="A194" t="s">
        <v>2129</v>
      </c>
      <c r="B194" s="1">
        <v>41797</v>
      </c>
      <c r="C194" t="s">
        <v>3856</v>
      </c>
      <c r="D194">
        <v>1</v>
      </c>
      <c r="E194" t="s">
        <v>643</v>
      </c>
      <c r="F194" s="9" t="s">
        <v>870</v>
      </c>
      <c r="G194" s="138" t="s">
        <v>2036</v>
      </c>
      <c r="H194" s="3">
        <f t="shared" si="4"/>
        <v>1000</v>
      </c>
      <c r="I194" s="3">
        <v>160</v>
      </c>
    </row>
    <row r="195" spans="1:9">
      <c r="A195" t="s">
        <v>2816</v>
      </c>
      <c r="B195" s="1">
        <v>41815</v>
      </c>
      <c r="C195" t="s">
        <v>3924</v>
      </c>
      <c r="D195">
        <v>1</v>
      </c>
      <c r="E195" t="s">
        <v>643</v>
      </c>
      <c r="F195" s="9" t="s">
        <v>870</v>
      </c>
      <c r="G195" s="138" t="s">
        <v>2036</v>
      </c>
      <c r="H195" s="3">
        <f t="shared" si="4"/>
        <v>1339</v>
      </c>
      <c r="I195" s="3">
        <v>214.24</v>
      </c>
    </row>
    <row r="196" spans="1:9">
      <c r="A196" t="s">
        <v>3592</v>
      </c>
      <c r="B196" s="1">
        <v>41807</v>
      </c>
      <c r="C196">
        <v>10278</v>
      </c>
      <c r="D196">
        <v>1</v>
      </c>
      <c r="E196" t="s">
        <v>1887</v>
      </c>
      <c r="F196" s="203" t="s">
        <v>873</v>
      </c>
      <c r="G196" s="220" t="s">
        <v>336</v>
      </c>
      <c r="H196" s="3">
        <f t="shared" si="4"/>
        <v>144</v>
      </c>
      <c r="I196" s="3">
        <v>23.04</v>
      </c>
    </row>
    <row r="197" spans="1:9">
      <c r="A197" t="s">
        <v>2022</v>
      </c>
      <c r="B197" s="1">
        <v>41820</v>
      </c>
      <c r="C197">
        <v>10331</v>
      </c>
      <c r="D197">
        <v>1</v>
      </c>
      <c r="E197" t="s">
        <v>1887</v>
      </c>
      <c r="F197" s="203" t="s">
        <v>873</v>
      </c>
      <c r="G197" s="220" t="s">
        <v>336</v>
      </c>
      <c r="H197" s="3">
        <f t="shared" si="4"/>
        <v>336</v>
      </c>
      <c r="I197" s="3">
        <v>53.76</v>
      </c>
    </row>
    <row r="198" spans="1:9">
      <c r="A198" t="s">
        <v>3847</v>
      </c>
      <c r="B198" s="1">
        <v>41797</v>
      </c>
      <c r="C198" t="s">
        <v>3848</v>
      </c>
      <c r="D198">
        <v>1</v>
      </c>
      <c r="E198" t="s">
        <v>527</v>
      </c>
      <c r="F198" s="9" t="s">
        <v>875</v>
      </c>
      <c r="G198" s="138" t="s">
        <v>1763</v>
      </c>
      <c r="H198" s="3">
        <f t="shared" si="4"/>
        <v>27304</v>
      </c>
      <c r="I198" s="3">
        <v>4368.6400000000003</v>
      </c>
    </row>
    <row r="199" spans="1:9">
      <c r="A199" t="s">
        <v>492</v>
      </c>
      <c r="B199" s="1">
        <v>41804</v>
      </c>
      <c r="C199" t="s">
        <v>3879</v>
      </c>
      <c r="D199">
        <v>1</v>
      </c>
      <c r="E199" t="s">
        <v>527</v>
      </c>
      <c r="F199" s="15" t="s">
        <v>875</v>
      </c>
      <c r="G199" s="220" t="s">
        <v>1763</v>
      </c>
      <c r="H199" s="3">
        <f t="shared" si="4"/>
        <v>7800</v>
      </c>
      <c r="I199" s="3">
        <v>1248</v>
      </c>
    </row>
    <row r="200" spans="1:9">
      <c r="A200" t="s">
        <v>1423</v>
      </c>
      <c r="B200" s="1">
        <v>41810</v>
      </c>
      <c r="C200" t="s">
        <v>3905</v>
      </c>
      <c r="D200">
        <v>1</v>
      </c>
      <c r="E200" t="s">
        <v>527</v>
      </c>
      <c r="F200" s="9" t="s">
        <v>875</v>
      </c>
      <c r="G200" s="138" t="s">
        <v>1763</v>
      </c>
      <c r="H200" s="3">
        <f t="shared" si="4"/>
        <v>6600</v>
      </c>
      <c r="I200" s="3">
        <v>1056</v>
      </c>
    </row>
    <row r="201" spans="1:9">
      <c r="A201" t="s">
        <v>3852</v>
      </c>
      <c r="B201" s="1">
        <v>41797</v>
      </c>
      <c r="C201" t="s">
        <v>3853</v>
      </c>
      <c r="D201">
        <v>1</v>
      </c>
      <c r="E201" t="s">
        <v>496</v>
      </c>
      <c r="F201" s="203" t="s">
        <v>876</v>
      </c>
      <c r="G201" s="220" t="s">
        <v>496</v>
      </c>
      <c r="H201" s="3">
        <f t="shared" si="4"/>
        <v>4214.25</v>
      </c>
      <c r="I201" s="3">
        <v>674.28</v>
      </c>
    </row>
    <row r="202" spans="1:9">
      <c r="A202" t="s">
        <v>500</v>
      </c>
      <c r="B202" s="1">
        <v>41804</v>
      </c>
      <c r="C202" t="s">
        <v>3882</v>
      </c>
      <c r="D202">
        <v>1</v>
      </c>
      <c r="E202" t="s">
        <v>496</v>
      </c>
      <c r="F202" s="203" t="s">
        <v>876</v>
      </c>
      <c r="G202" s="220" t="s">
        <v>496</v>
      </c>
      <c r="H202" s="3">
        <f t="shared" si="4"/>
        <v>412.75000000000006</v>
      </c>
      <c r="I202" s="3">
        <v>66.040000000000006</v>
      </c>
    </row>
    <row r="203" spans="1:9">
      <c r="A203" t="s">
        <v>2224</v>
      </c>
      <c r="B203" s="1">
        <v>41815</v>
      </c>
      <c r="C203" t="s">
        <v>3926</v>
      </c>
      <c r="D203">
        <v>1</v>
      </c>
      <c r="E203" t="s">
        <v>496</v>
      </c>
      <c r="F203" s="203" t="s">
        <v>876</v>
      </c>
      <c r="G203" s="220" t="s">
        <v>496</v>
      </c>
      <c r="H203" s="3">
        <f t="shared" si="4"/>
        <v>1360.875</v>
      </c>
      <c r="I203" s="3">
        <v>217.74</v>
      </c>
    </row>
    <row r="204" spans="1:9">
      <c r="A204" t="s">
        <v>3598</v>
      </c>
      <c r="B204" s="1">
        <v>41807</v>
      </c>
      <c r="C204">
        <v>10282</v>
      </c>
      <c r="D204">
        <v>1</v>
      </c>
      <c r="E204" t="s">
        <v>2618</v>
      </c>
      <c r="F204" s="203" t="s">
        <v>876</v>
      </c>
      <c r="G204" s="220" t="s">
        <v>496</v>
      </c>
      <c r="H204" s="3">
        <f t="shared" si="4"/>
        <v>90.5</v>
      </c>
      <c r="I204" s="3">
        <v>14.48</v>
      </c>
    </row>
    <row r="205" spans="1:9">
      <c r="A205" t="s">
        <v>3582</v>
      </c>
      <c r="B205" s="1">
        <v>41807</v>
      </c>
      <c r="C205">
        <v>10261</v>
      </c>
      <c r="D205">
        <v>1</v>
      </c>
      <c r="E205" t="s">
        <v>377</v>
      </c>
      <c r="F205" s="203" t="s">
        <v>876</v>
      </c>
      <c r="G205" s="220" t="s">
        <v>496</v>
      </c>
      <c r="H205" s="3">
        <f t="shared" si="4"/>
        <v>103</v>
      </c>
      <c r="I205" s="3">
        <v>16.48</v>
      </c>
    </row>
    <row r="206" spans="1:9">
      <c r="A206" t="s">
        <v>3584</v>
      </c>
      <c r="B206" s="1">
        <v>41807</v>
      </c>
      <c r="C206">
        <v>10270</v>
      </c>
      <c r="D206">
        <v>1</v>
      </c>
      <c r="E206" t="s">
        <v>377</v>
      </c>
      <c r="F206" s="203" t="s">
        <v>876</v>
      </c>
      <c r="G206" s="220" t="s">
        <v>496</v>
      </c>
      <c r="H206" s="3">
        <f t="shared" si="4"/>
        <v>68.875</v>
      </c>
      <c r="I206" s="3">
        <v>11.02</v>
      </c>
    </row>
    <row r="207" spans="1:9">
      <c r="A207" t="s">
        <v>3679</v>
      </c>
      <c r="B207" s="1">
        <v>41817</v>
      </c>
      <c r="C207" t="s">
        <v>3680</v>
      </c>
      <c r="D207">
        <v>1</v>
      </c>
      <c r="E207" t="s">
        <v>3681</v>
      </c>
      <c r="F207" s="15" t="s">
        <v>744</v>
      </c>
      <c r="G207" s="138" t="s">
        <v>745</v>
      </c>
      <c r="H207" s="3">
        <f t="shared" si="4"/>
        <v>164099.5625</v>
      </c>
      <c r="I207" s="3">
        <v>26255.93</v>
      </c>
    </row>
    <row r="208" spans="1:9">
      <c r="A208" t="s">
        <v>162</v>
      </c>
      <c r="B208" s="1">
        <v>41813</v>
      </c>
      <c r="C208" t="s">
        <v>3605</v>
      </c>
      <c r="D208">
        <v>1</v>
      </c>
      <c r="E208" t="s">
        <v>3627</v>
      </c>
      <c r="F208" s="15" t="s">
        <v>744</v>
      </c>
      <c r="G208" s="138" t="s">
        <v>745</v>
      </c>
      <c r="H208" s="3">
        <f t="shared" si="4"/>
        <v>260966.375</v>
      </c>
      <c r="I208" s="3">
        <v>41754.620000000003</v>
      </c>
    </row>
    <row r="209" spans="1:9">
      <c r="A209" t="s">
        <v>1847</v>
      </c>
      <c r="B209" s="1">
        <v>41808</v>
      </c>
      <c r="C209" t="s">
        <v>3605</v>
      </c>
      <c r="D209">
        <v>1</v>
      </c>
      <c r="E209" t="s">
        <v>2844</v>
      </c>
      <c r="F209" s="15" t="s">
        <v>744</v>
      </c>
      <c r="G209" s="138" t="s">
        <v>745</v>
      </c>
      <c r="H209" s="3">
        <f t="shared" si="4"/>
        <v>260966.5</v>
      </c>
      <c r="I209" s="3">
        <v>41754.639999999999</v>
      </c>
    </row>
    <row r="210" spans="1:9">
      <c r="A210" t="s">
        <v>358</v>
      </c>
      <c r="B210" s="1">
        <v>41820</v>
      </c>
      <c r="C210">
        <v>10327</v>
      </c>
      <c r="D210">
        <v>1</v>
      </c>
      <c r="E210" t="s">
        <v>3732</v>
      </c>
      <c r="F210" s="15" t="s">
        <v>815</v>
      </c>
      <c r="G210" s="138" t="s">
        <v>355</v>
      </c>
      <c r="H210" s="3">
        <f t="shared" si="4"/>
        <v>1079.875</v>
      </c>
      <c r="I210" s="3">
        <v>172.78</v>
      </c>
    </row>
    <row r="211" spans="1:9">
      <c r="A211" t="s">
        <v>465</v>
      </c>
      <c r="B211" s="1">
        <v>41800</v>
      </c>
      <c r="C211" t="s">
        <v>3863</v>
      </c>
      <c r="D211">
        <v>2</v>
      </c>
      <c r="E211" t="s">
        <v>444</v>
      </c>
      <c r="F211" s="138" t="s">
        <v>879</v>
      </c>
      <c r="G211" s="220" t="s">
        <v>4006</v>
      </c>
      <c r="H211" s="3">
        <f t="shared" ref="H211:H269" si="5">+I211/0.16</f>
        <v>1050</v>
      </c>
      <c r="I211" s="3">
        <v>168</v>
      </c>
    </row>
    <row r="212" spans="1:9">
      <c r="A212" t="s">
        <v>3596</v>
      </c>
      <c r="B212" s="1">
        <v>41807</v>
      </c>
      <c r="C212">
        <v>10280</v>
      </c>
      <c r="D212">
        <v>1</v>
      </c>
      <c r="E212" t="s">
        <v>3245</v>
      </c>
      <c r="F212" s="203" t="s">
        <v>794</v>
      </c>
      <c r="G212" s="220" t="s">
        <v>3245</v>
      </c>
      <c r="H212" s="3">
        <f t="shared" si="5"/>
        <v>103.4375</v>
      </c>
      <c r="I212" s="3">
        <v>16.55</v>
      </c>
    </row>
    <row r="213" spans="1:9">
      <c r="A213" t="s">
        <v>403</v>
      </c>
      <c r="B213" s="1">
        <v>41820</v>
      </c>
      <c r="C213">
        <v>10358</v>
      </c>
      <c r="D213">
        <v>1</v>
      </c>
      <c r="E213" t="s">
        <v>3740</v>
      </c>
      <c r="F213" s="203" t="s">
        <v>4007</v>
      </c>
      <c r="G213" s="220" t="s">
        <v>4008</v>
      </c>
      <c r="H213" s="3">
        <f t="shared" si="5"/>
        <v>623.3125</v>
      </c>
      <c r="I213" s="3">
        <v>99.73</v>
      </c>
    </row>
    <row r="214" spans="1:9">
      <c r="A214" t="s">
        <v>3590</v>
      </c>
      <c r="B214" s="1">
        <v>41807</v>
      </c>
      <c r="C214">
        <v>10277</v>
      </c>
      <c r="D214">
        <v>1</v>
      </c>
      <c r="E214" t="s">
        <v>3591</v>
      </c>
      <c r="F214" s="203" t="s">
        <v>4009</v>
      </c>
      <c r="G214" s="220" t="s">
        <v>4010</v>
      </c>
      <c r="H214" s="3">
        <f t="shared" si="5"/>
        <v>441.375</v>
      </c>
      <c r="I214" s="3">
        <v>70.62</v>
      </c>
    </row>
    <row r="215" spans="1:9">
      <c r="A215" t="s">
        <v>3599</v>
      </c>
      <c r="B215" s="1">
        <v>41807</v>
      </c>
      <c r="C215">
        <v>10284</v>
      </c>
      <c r="D215">
        <v>1</v>
      </c>
      <c r="E215" t="s">
        <v>3600</v>
      </c>
      <c r="F215" s="203" t="s">
        <v>4011</v>
      </c>
      <c r="G215" s="220" t="s">
        <v>3600</v>
      </c>
      <c r="H215" s="3">
        <f t="shared" si="5"/>
        <v>64.625</v>
      </c>
      <c r="I215" s="3">
        <v>10.34</v>
      </c>
    </row>
    <row r="216" spans="1:9">
      <c r="A216" t="s">
        <v>366</v>
      </c>
      <c r="B216" s="1">
        <v>41820</v>
      </c>
      <c r="C216">
        <v>10336</v>
      </c>
      <c r="D216">
        <v>1</v>
      </c>
      <c r="E216" t="s">
        <v>1243</v>
      </c>
      <c r="F216" s="203" t="s">
        <v>885</v>
      </c>
      <c r="G216" s="220" t="s">
        <v>505</v>
      </c>
      <c r="H216" s="3">
        <f t="shared" si="5"/>
        <v>86.4375</v>
      </c>
      <c r="I216" s="3">
        <v>13.83</v>
      </c>
    </row>
    <row r="217" spans="1:9">
      <c r="A217" t="s">
        <v>2690</v>
      </c>
      <c r="B217" s="1">
        <v>41797</v>
      </c>
      <c r="C217" t="s">
        <v>3851</v>
      </c>
      <c r="D217">
        <v>2</v>
      </c>
      <c r="E217" t="s">
        <v>550</v>
      </c>
      <c r="F217" t="s">
        <v>886</v>
      </c>
      <c r="G217" s="219" t="s">
        <v>4012</v>
      </c>
      <c r="H217" s="3">
        <f t="shared" si="5"/>
        <v>36500</v>
      </c>
      <c r="I217" s="3">
        <v>5840</v>
      </c>
    </row>
    <row r="218" spans="1:9">
      <c r="A218" t="s">
        <v>1350</v>
      </c>
      <c r="B218" s="1">
        <v>41804</v>
      </c>
      <c r="C218" t="s">
        <v>3886</v>
      </c>
      <c r="D218">
        <v>2</v>
      </c>
      <c r="E218" t="s">
        <v>550</v>
      </c>
      <c r="F218" t="s">
        <v>886</v>
      </c>
      <c r="G218" s="219" t="s">
        <v>4012</v>
      </c>
      <c r="H218" s="3">
        <f t="shared" si="5"/>
        <v>2000</v>
      </c>
      <c r="I218" s="3">
        <v>320</v>
      </c>
    </row>
    <row r="219" spans="1:9">
      <c r="A219" t="s">
        <v>1444</v>
      </c>
      <c r="B219" s="1">
        <v>41815</v>
      </c>
      <c r="C219" t="s">
        <v>3917</v>
      </c>
      <c r="D219">
        <v>1</v>
      </c>
      <c r="E219" t="s">
        <v>550</v>
      </c>
      <c r="F219" t="s">
        <v>886</v>
      </c>
      <c r="G219" s="219" t="s">
        <v>4012</v>
      </c>
      <c r="H219" s="3">
        <f t="shared" si="5"/>
        <v>2400</v>
      </c>
      <c r="I219" s="3">
        <v>384</v>
      </c>
    </row>
    <row r="220" spans="1:9">
      <c r="A220" t="s">
        <v>2805</v>
      </c>
      <c r="B220" s="1">
        <v>41815</v>
      </c>
      <c r="C220" t="s">
        <v>3918</v>
      </c>
      <c r="D220">
        <v>2</v>
      </c>
      <c r="E220" t="s">
        <v>550</v>
      </c>
      <c r="F220" t="s">
        <v>886</v>
      </c>
      <c r="G220" s="219" t="s">
        <v>4012</v>
      </c>
      <c r="H220" s="3">
        <f t="shared" si="5"/>
        <v>15500</v>
      </c>
      <c r="I220" s="3">
        <v>2480</v>
      </c>
    </row>
    <row r="221" spans="1:9">
      <c r="A221" t="s">
        <v>2026</v>
      </c>
      <c r="B221" s="1">
        <v>41820</v>
      </c>
      <c r="C221">
        <v>10335</v>
      </c>
      <c r="D221">
        <v>1</v>
      </c>
      <c r="E221" t="s">
        <v>3733</v>
      </c>
      <c r="F221" s="203" t="s">
        <v>4013</v>
      </c>
      <c r="G221" s="138" t="s">
        <v>3733</v>
      </c>
      <c r="H221" s="3">
        <f t="shared" si="5"/>
        <v>1527.5625</v>
      </c>
      <c r="I221" s="3">
        <v>244.41</v>
      </c>
    </row>
    <row r="222" spans="1:9">
      <c r="A222" t="s">
        <v>3606</v>
      </c>
      <c r="B222" s="1">
        <v>41810</v>
      </c>
      <c r="C222" t="s">
        <v>3607</v>
      </c>
      <c r="D222">
        <v>1</v>
      </c>
      <c r="E222" t="s">
        <v>3608</v>
      </c>
      <c r="G222" s="219" t="s">
        <v>2179</v>
      </c>
      <c r="H222" s="3">
        <f t="shared" si="5"/>
        <v>850</v>
      </c>
      <c r="I222" s="3">
        <v>136</v>
      </c>
    </row>
    <row r="223" spans="1:9">
      <c r="A223" t="s">
        <v>3606</v>
      </c>
      <c r="B223" s="1">
        <v>41810</v>
      </c>
      <c r="C223" t="s">
        <v>3607</v>
      </c>
      <c r="D223">
        <v>1</v>
      </c>
      <c r="E223" t="s">
        <v>3609</v>
      </c>
      <c r="G223" s="219" t="s">
        <v>2179</v>
      </c>
      <c r="H223" s="3">
        <f t="shared" si="5"/>
        <v>400</v>
      </c>
      <c r="I223" s="3">
        <v>64</v>
      </c>
    </row>
    <row r="224" spans="1:9">
      <c r="A224" t="s">
        <v>3606</v>
      </c>
      <c r="B224" s="1">
        <v>41810</v>
      </c>
      <c r="C224" t="s">
        <v>3607</v>
      </c>
      <c r="D224">
        <v>1</v>
      </c>
      <c r="E224" t="s">
        <v>3610</v>
      </c>
      <c r="G224" s="219" t="s">
        <v>2179</v>
      </c>
      <c r="H224" s="3">
        <f t="shared" si="5"/>
        <v>300</v>
      </c>
      <c r="I224" s="3">
        <v>48</v>
      </c>
    </row>
    <row r="225" spans="1:9">
      <c r="A225" t="s">
        <v>2559</v>
      </c>
      <c r="B225" s="1">
        <v>41816</v>
      </c>
      <c r="C225" t="s">
        <v>3645</v>
      </c>
      <c r="D225">
        <v>1</v>
      </c>
      <c r="E225" t="s">
        <v>3646</v>
      </c>
      <c r="F225" s="229" t="s">
        <v>2890</v>
      </c>
      <c r="G225" s="230" t="s">
        <v>2406</v>
      </c>
      <c r="H225" s="3">
        <f t="shared" si="5"/>
        <v>320437.1875</v>
      </c>
      <c r="I225" s="3">
        <v>51269.95</v>
      </c>
    </row>
    <row r="226" spans="1:9">
      <c r="A226" t="s">
        <v>1433</v>
      </c>
      <c r="B226" s="1">
        <v>41814</v>
      </c>
      <c r="C226" t="s">
        <v>3907</v>
      </c>
      <c r="D226">
        <v>2</v>
      </c>
      <c r="E226" t="s">
        <v>3908</v>
      </c>
      <c r="F226" s="138" t="s">
        <v>3456</v>
      </c>
      <c r="G226" s="220" t="s">
        <v>3908</v>
      </c>
      <c r="H226" s="3">
        <f t="shared" si="5"/>
        <v>1000</v>
      </c>
      <c r="I226" s="3">
        <v>160</v>
      </c>
    </row>
    <row r="227" spans="1:9">
      <c r="A227" t="s">
        <v>1451</v>
      </c>
      <c r="B227" s="1">
        <v>41817</v>
      </c>
      <c r="C227" t="s">
        <v>3931</v>
      </c>
      <c r="D227">
        <v>1</v>
      </c>
      <c r="E227" t="s">
        <v>665</v>
      </c>
      <c r="F227" s="193" t="s">
        <v>892</v>
      </c>
      <c r="G227" s="223" t="s">
        <v>4014</v>
      </c>
      <c r="H227" s="3">
        <f t="shared" si="5"/>
        <v>6445</v>
      </c>
      <c r="I227" s="3">
        <v>1031.2</v>
      </c>
    </row>
    <row r="228" spans="1:9">
      <c r="A228" t="s">
        <v>3389</v>
      </c>
      <c r="B228" s="1">
        <v>41817</v>
      </c>
      <c r="C228" t="s">
        <v>3932</v>
      </c>
      <c r="D228">
        <v>1</v>
      </c>
      <c r="E228" t="s">
        <v>665</v>
      </c>
      <c r="F228" s="193" t="s">
        <v>892</v>
      </c>
      <c r="G228" s="223" t="s">
        <v>4014</v>
      </c>
      <c r="H228" s="3">
        <f t="shared" si="5"/>
        <v>11105.375</v>
      </c>
      <c r="I228" s="3">
        <v>1776.86</v>
      </c>
    </row>
    <row r="229" spans="1:9">
      <c r="A229" t="s">
        <v>3585</v>
      </c>
      <c r="B229" s="1">
        <v>41807</v>
      </c>
      <c r="C229">
        <v>10271</v>
      </c>
      <c r="D229">
        <v>1</v>
      </c>
      <c r="E229" t="s">
        <v>266</v>
      </c>
      <c r="F229" s="203" t="s">
        <v>893</v>
      </c>
      <c r="G229" s="138" t="s">
        <v>266</v>
      </c>
      <c r="H229" s="3">
        <f t="shared" si="5"/>
        <v>77.5625</v>
      </c>
      <c r="I229" s="3">
        <v>12.41</v>
      </c>
    </row>
    <row r="230" spans="1:9">
      <c r="A230" t="s">
        <v>368</v>
      </c>
      <c r="B230" s="1">
        <v>41820</v>
      </c>
      <c r="C230">
        <v>10337</v>
      </c>
      <c r="D230">
        <v>1</v>
      </c>
      <c r="E230" t="s">
        <v>266</v>
      </c>
      <c r="F230" s="203" t="s">
        <v>893</v>
      </c>
      <c r="G230" s="138" t="s">
        <v>266</v>
      </c>
      <c r="H230" s="3">
        <f t="shared" si="5"/>
        <v>49.125</v>
      </c>
      <c r="I230" s="3">
        <v>7.86</v>
      </c>
    </row>
    <row r="231" spans="1:9">
      <c r="A231" t="s">
        <v>2072</v>
      </c>
      <c r="B231" s="1">
        <v>41820</v>
      </c>
      <c r="C231">
        <v>10375</v>
      </c>
      <c r="D231">
        <v>1</v>
      </c>
      <c r="E231" t="s">
        <v>266</v>
      </c>
      <c r="F231" s="203" t="s">
        <v>893</v>
      </c>
      <c r="G231" s="138" t="s">
        <v>266</v>
      </c>
      <c r="H231" s="3">
        <f t="shared" si="5"/>
        <v>62.0625</v>
      </c>
      <c r="I231" s="3">
        <v>9.93</v>
      </c>
    </row>
    <row r="232" spans="1:9">
      <c r="A232" t="s">
        <v>2977</v>
      </c>
      <c r="B232" s="1">
        <v>41794</v>
      </c>
      <c r="C232" t="s">
        <v>3552</v>
      </c>
      <c r="D232">
        <v>1</v>
      </c>
      <c r="E232" t="s">
        <v>467</v>
      </c>
      <c r="F232" s="162" t="s">
        <v>760</v>
      </c>
      <c r="G232" s="231" t="s">
        <v>761</v>
      </c>
      <c r="H232" s="3">
        <f t="shared" si="5"/>
        <v>295915.4375</v>
      </c>
      <c r="I232" s="3">
        <v>47346.47</v>
      </c>
    </row>
    <row r="233" spans="1:9">
      <c r="A233" t="s">
        <v>3556</v>
      </c>
      <c r="B233" s="1">
        <v>41797</v>
      </c>
      <c r="C233" t="s">
        <v>3557</v>
      </c>
      <c r="D233">
        <v>1</v>
      </c>
      <c r="E233" t="s">
        <v>467</v>
      </c>
      <c r="F233" s="162" t="s">
        <v>760</v>
      </c>
      <c r="G233" s="231" t="s">
        <v>761</v>
      </c>
      <c r="H233" s="3">
        <f t="shared" si="5"/>
        <v>271235.4375</v>
      </c>
      <c r="I233" s="3">
        <v>43397.67</v>
      </c>
    </row>
    <row r="234" spans="1:9">
      <c r="A234" t="s">
        <v>3563</v>
      </c>
      <c r="B234" s="1">
        <v>41801</v>
      </c>
      <c r="C234" t="s">
        <v>3558</v>
      </c>
      <c r="D234">
        <v>1</v>
      </c>
      <c r="E234" t="s">
        <v>467</v>
      </c>
      <c r="F234" s="162" t="s">
        <v>760</v>
      </c>
      <c r="G234" s="231" t="s">
        <v>761</v>
      </c>
      <c r="H234" s="3">
        <f t="shared" si="5"/>
        <v>382307.875</v>
      </c>
      <c r="I234" s="3">
        <v>61169.26</v>
      </c>
    </row>
    <row r="235" spans="1:9">
      <c r="A235" t="s">
        <v>3564</v>
      </c>
      <c r="B235" s="1">
        <v>41801</v>
      </c>
      <c r="C235" t="s">
        <v>3565</v>
      </c>
      <c r="D235">
        <v>1</v>
      </c>
      <c r="E235" t="s">
        <v>467</v>
      </c>
      <c r="F235" s="162" t="s">
        <v>760</v>
      </c>
      <c r="G235" s="231" t="s">
        <v>761</v>
      </c>
      <c r="H235" s="3">
        <f t="shared" si="5"/>
        <v>411420.75000000006</v>
      </c>
      <c r="I235" s="3">
        <v>65827.320000000007</v>
      </c>
    </row>
    <row r="236" spans="1:9">
      <c r="A236" t="s">
        <v>3566</v>
      </c>
      <c r="B236" s="1">
        <v>41801</v>
      </c>
      <c r="C236" t="s">
        <v>3567</v>
      </c>
      <c r="D236">
        <v>1</v>
      </c>
      <c r="E236" t="s">
        <v>467</v>
      </c>
      <c r="F236" s="162" t="s">
        <v>760</v>
      </c>
      <c r="G236" s="231" t="s">
        <v>761</v>
      </c>
      <c r="H236" s="3">
        <f t="shared" si="5"/>
        <v>271235.4375</v>
      </c>
      <c r="I236" s="3">
        <v>43397.67</v>
      </c>
    </row>
    <row r="237" spans="1:9">
      <c r="A237" t="s">
        <v>3568</v>
      </c>
      <c r="B237" s="1">
        <v>41802</v>
      </c>
      <c r="C237" t="s">
        <v>3569</v>
      </c>
      <c r="D237">
        <v>1</v>
      </c>
      <c r="E237" t="s">
        <v>467</v>
      </c>
      <c r="F237" s="162" t="s">
        <v>760</v>
      </c>
      <c r="G237" s="231" t="s">
        <v>761</v>
      </c>
      <c r="H237" s="3">
        <f t="shared" si="5"/>
        <v>382307.875</v>
      </c>
      <c r="I237" s="3">
        <v>61169.26</v>
      </c>
    </row>
    <row r="238" spans="1:9">
      <c r="A238" t="s">
        <v>3572</v>
      </c>
      <c r="B238" s="1">
        <v>41804</v>
      </c>
      <c r="C238" t="s">
        <v>3573</v>
      </c>
      <c r="D238">
        <v>1</v>
      </c>
      <c r="E238" t="s">
        <v>467</v>
      </c>
      <c r="F238" s="162" t="s">
        <v>760</v>
      </c>
      <c r="G238" s="231" t="s">
        <v>761</v>
      </c>
      <c r="H238" s="3">
        <f t="shared" si="5"/>
        <v>162935.75</v>
      </c>
      <c r="I238" s="3">
        <v>26069.72</v>
      </c>
    </row>
    <row r="239" spans="1:9">
      <c r="A239" t="s">
        <v>3620</v>
      </c>
      <c r="B239" s="1">
        <v>41811</v>
      </c>
      <c r="C239" t="s">
        <v>3621</v>
      </c>
      <c r="D239">
        <v>1</v>
      </c>
      <c r="E239" t="s">
        <v>467</v>
      </c>
      <c r="F239" s="162" t="s">
        <v>760</v>
      </c>
      <c r="G239" s="231" t="s">
        <v>761</v>
      </c>
      <c r="H239" s="3">
        <f t="shared" si="5"/>
        <v>156573.6875</v>
      </c>
      <c r="I239" s="3">
        <v>25051.79</v>
      </c>
    </row>
    <row r="240" spans="1:9" s="9" customFormat="1" ht="13.5" customHeight="1">
      <c r="A240" s="9" t="s">
        <v>3622</v>
      </c>
      <c r="B240" s="218">
        <v>41813</v>
      </c>
      <c r="C240" s="9" t="s">
        <v>3574</v>
      </c>
      <c r="D240" s="9">
        <v>1</v>
      </c>
      <c r="E240" s="9" t="s">
        <v>467</v>
      </c>
      <c r="F240" s="162" t="s">
        <v>760</v>
      </c>
      <c r="G240" s="231" t="s">
        <v>761</v>
      </c>
      <c r="H240" s="3">
        <f t="shared" si="5"/>
        <v>217536.93750000003</v>
      </c>
      <c r="I240" s="141">
        <v>34805.910000000003</v>
      </c>
    </row>
    <row r="241" spans="1:9">
      <c r="A241" t="s">
        <v>3628</v>
      </c>
      <c r="B241" s="1">
        <v>41813</v>
      </c>
      <c r="C241" t="s">
        <v>3629</v>
      </c>
      <c r="D241">
        <v>1</v>
      </c>
      <c r="E241" t="s">
        <v>467</v>
      </c>
      <c r="F241" s="162" t="s">
        <v>760</v>
      </c>
      <c r="G241" s="231" t="s">
        <v>761</v>
      </c>
      <c r="H241" s="3">
        <f t="shared" si="5"/>
        <v>295915.4375</v>
      </c>
      <c r="I241" s="3">
        <v>47346.47</v>
      </c>
    </row>
    <row r="242" spans="1:9">
      <c r="A242" t="s">
        <v>3637</v>
      </c>
      <c r="B242" s="1">
        <v>41814</v>
      </c>
      <c r="C242" t="s">
        <v>3619</v>
      </c>
      <c r="D242">
        <v>1</v>
      </c>
      <c r="E242" t="s">
        <v>467</v>
      </c>
      <c r="F242" s="162" t="s">
        <v>760</v>
      </c>
      <c r="G242" s="231" t="s">
        <v>761</v>
      </c>
      <c r="H242" s="3">
        <f t="shared" si="5"/>
        <v>156573.6875</v>
      </c>
      <c r="I242" s="3">
        <v>25051.79</v>
      </c>
    </row>
    <row r="243" spans="1:9">
      <c r="A243" t="s">
        <v>3115</v>
      </c>
      <c r="B243" s="1">
        <v>41815</v>
      </c>
      <c r="C243" t="s">
        <v>3638</v>
      </c>
      <c r="D243">
        <v>1</v>
      </c>
      <c r="E243" t="s">
        <v>467</v>
      </c>
      <c r="F243" s="162" t="s">
        <v>760</v>
      </c>
      <c r="G243" s="231" t="s">
        <v>761</v>
      </c>
      <c r="H243" s="3">
        <f t="shared" si="5"/>
        <v>297961.625</v>
      </c>
      <c r="I243" s="3">
        <v>47673.86</v>
      </c>
    </row>
    <row r="244" spans="1:9">
      <c r="A244" t="s">
        <v>3656</v>
      </c>
      <c r="B244" s="1">
        <v>41816</v>
      </c>
      <c r="C244" t="s">
        <v>3657</v>
      </c>
      <c r="D244">
        <v>1</v>
      </c>
      <c r="E244" t="s">
        <v>467</v>
      </c>
      <c r="F244" s="162" t="s">
        <v>760</v>
      </c>
      <c r="G244" s="231" t="s">
        <v>761</v>
      </c>
      <c r="H244" s="3">
        <f t="shared" si="5"/>
        <v>315421.1875</v>
      </c>
      <c r="I244" s="3">
        <v>50467.39</v>
      </c>
    </row>
    <row r="245" spans="1:9">
      <c r="A245" t="s">
        <v>3658</v>
      </c>
      <c r="B245" s="1">
        <v>41817</v>
      </c>
      <c r="C245" t="s">
        <v>3659</v>
      </c>
      <c r="D245">
        <v>1</v>
      </c>
      <c r="E245" t="s">
        <v>467</v>
      </c>
      <c r="F245" s="162" t="s">
        <v>760</v>
      </c>
      <c r="G245" s="231" t="s">
        <v>761</v>
      </c>
      <c r="H245" s="3">
        <f t="shared" si="5"/>
        <v>174075.25</v>
      </c>
      <c r="I245" s="3">
        <v>27852.04</v>
      </c>
    </row>
    <row r="246" spans="1:9">
      <c r="A246" t="s">
        <v>3660</v>
      </c>
      <c r="B246" s="1">
        <v>41817</v>
      </c>
      <c r="C246" t="s">
        <v>3661</v>
      </c>
      <c r="D246">
        <v>1</v>
      </c>
      <c r="E246" t="s">
        <v>467</v>
      </c>
      <c r="F246" s="162" t="s">
        <v>760</v>
      </c>
      <c r="G246" s="231" t="s">
        <v>761</v>
      </c>
      <c r="H246" s="3">
        <f t="shared" si="5"/>
        <v>425101.875</v>
      </c>
      <c r="I246" s="3">
        <v>68016.3</v>
      </c>
    </row>
    <row r="247" spans="1:9">
      <c r="A247" t="s">
        <v>3662</v>
      </c>
      <c r="B247" s="1">
        <v>41817</v>
      </c>
      <c r="C247" t="s">
        <v>3663</v>
      </c>
      <c r="D247">
        <v>1</v>
      </c>
      <c r="E247" t="s">
        <v>467</v>
      </c>
      <c r="F247" s="162" t="s">
        <v>760</v>
      </c>
      <c r="G247" s="231" t="s">
        <v>761</v>
      </c>
      <c r="H247" s="3">
        <f t="shared" si="5"/>
        <v>297961.625</v>
      </c>
      <c r="I247" s="3">
        <v>47673.86</v>
      </c>
    </row>
    <row r="248" spans="1:9">
      <c r="A248" t="s">
        <v>3664</v>
      </c>
      <c r="B248" s="1">
        <v>41817</v>
      </c>
      <c r="C248" t="s">
        <v>3665</v>
      </c>
      <c r="D248">
        <v>1</v>
      </c>
      <c r="E248" t="s">
        <v>467</v>
      </c>
      <c r="F248" s="162" t="s">
        <v>760</v>
      </c>
      <c r="G248" s="231" t="s">
        <v>761</v>
      </c>
      <c r="H248" s="3">
        <f t="shared" si="5"/>
        <v>323465.75</v>
      </c>
      <c r="I248" s="3">
        <v>51754.52</v>
      </c>
    </row>
    <row r="249" spans="1:9">
      <c r="A249" t="s">
        <v>3144</v>
      </c>
      <c r="B249" s="1">
        <v>41817</v>
      </c>
      <c r="C249" t="s">
        <v>3675</v>
      </c>
      <c r="D249">
        <v>1</v>
      </c>
      <c r="E249" t="s">
        <v>467</v>
      </c>
      <c r="F249" s="162" t="s">
        <v>760</v>
      </c>
      <c r="G249" s="231" t="s">
        <v>761</v>
      </c>
      <c r="H249" s="3">
        <f t="shared" si="5"/>
        <v>162935.75</v>
      </c>
      <c r="I249" s="3">
        <v>26069.72</v>
      </c>
    </row>
    <row r="250" spans="1:9">
      <c r="A250" t="s">
        <v>1952</v>
      </c>
      <c r="B250" s="1">
        <v>41817</v>
      </c>
      <c r="C250" t="s">
        <v>3676</v>
      </c>
      <c r="D250">
        <v>1</v>
      </c>
      <c r="E250" t="s">
        <v>467</v>
      </c>
      <c r="F250" s="162" t="s">
        <v>760</v>
      </c>
      <c r="G250" s="231" t="s">
        <v>761</v>
      </c>
      <c r="H250" s="3">
        <f t="shared" si="5"/>
        <v>170461.625</v>
      </c>
      <c r="I250" s="3">
        <v>27273.86</v>
      </c>
    </row>
    <row r="251" spans="1:9">
      <c r="A251" t="s">
        <v>3677</v>
      </c>
      <c r="B251" s="1">
        <v>41817</v>
      </c>
      <c r="C251" t="s">
        <v>3678</v>
      </c>
      <c r="D251">
        <v>1</v>
      </c>
      <c r="E251" t="s">
        <v>467</v>
      </c>
      <c r="F251" s="162" t="s">
        <v>760</v>
      </c>
      <c r="G251" s="231" t="s">
        <v>761</v>
      </c>
      <c r="H251" s="3">
        <f t="shared" si="5"/>
        <v>170461.625</v>
      </c>
      <c r="I251" s="3">
        <v>27273.86</v>
      </c>
    </row>
    <row r="252" spans="1:9">
      <c r="A252" t="s">
        <v>3685</v>
      </c>
      <c r="B252" s="1">
        <v>41817</v>
      </c>
      <c r="C252" t="s">
        <v>3686</v>
      </c>
      <c r="D252">
        <v>1</v>
      </c>
      <c r="E252" t="s">
        <v>467</v>
      </c>
      <c r="F252" s="162" t="s">
        <v>760</v>
      </c>
      <c r="G252" s="231" t="s">
        <v>761</v>
      </c>
      <c r="H252" s="3">
        <f t="shared" si="5"/>
        <v>246689.9375</v>
      </c>
      <c r="I252" s="3">
        <v>39470.39</v>
      </c>
    </row>
    <row r="253" spans="1:9">
      <c r="A253" t="s">
        <v>3687</v>
      </c>
      <c r="B253" s="1">
        <v>41817</v>
      </c>
      <c r="C253" t="s">
        <v>3688</v>
      </c>
      <c r="D253">
        <v>1</v>
      </c>
      <c r="E253" t="s">
        <v>467</v>
      </c>
      <c r="F253" s="162" t="s">
        <v>760</v>
      </c>
      <c r="G253" s="231" t="s">
        <v>761</v>
      </c>
      <c r="H253" s="3">
        <f t="shared" si="5"/>
        <v>271235.4375</v>
      </c>
      <c r="I253" s="3">
        <v>43397.67</v>
      </c>
    </row>
    <row r="254" spans="1:9">
      <c r="A254" t="s">
        <v>3689</v>
      </c>
      <c r="B254" s="1">
        <v>41817</v>
      </c>
      <c r="C254" t="s">
        <v>3690</v>
      </c>
      <c r="D254">
        <v>1</v>
      </c>
      <c r="E254" t="s">
        <v>467</v>
      </c>
      <c r="F254" s="162" t="s">
        <v>760</v>
      </c>
      <c r="G254" s="231" t="s">
        <v>761</v>
      </c>
      <c r="H254" s="3">
        <f t="shared" si="5"/>
        <v>271235.4375</v>
      </c>
      <c r="I254" s="3">
        <v>43397.67</v>
      </c>
    </row>
    <row r="255" spans="1:9">
      <c r="A255" t="s">
        <v>3691</v>
      </c>
      <c r="B255" s="1">
        <v>41817</v>
      </c>
      <c r="C255" t="s">
        <v>3692</v>
      </c>
      <c r="D255">
        <v>1</v>
      </c>
      <c r="E255" t="s">
        <v>467</v>
      </c>
      <c r="F255" s="162" t="s">
        <v>760</v>
      </c>
      <c r="G255" s="231" t="s">
        <v>761</v>
      </c>
      <c r="H255" s="3">
        <f t="shared" si="5"/>
        <v>356752.875</v>
      </c>
      <c r="I255" s="3">
        <v>57080.46</v>
      </c>
    </row>
    <row r="256" spans="1:9">
      <c r="A256" t="s">
        <v>228</v>
      </c>
      <c r="B256" s="1">
        <v>41817</v>
      </c>
      <c r="C256" t="s">
        <v>3693</v>
      </c>
      <c r="D256">
        <v>1</v>
      </c>
      <c r="E256" t="s">
        <v>467</v>
      </c>
      <c r="F256" s="162" t="s">
        <v>760</v>
      </c>
      <c r="G256" s="231" t="s">
        <v>761</v>
      </c>
      <c r="H256" s="3">
        <f t="shared" si="5"/>
        <v>300201.375</v>
      </c>
      <c r="I256" s="3">
        <v>48032.22</v>
      </c>
    </row>
    <row r="257" spans="1:11">
      <c r="A257" t="s">
        <v>3156</v>
      </c>
      <c r="B257" s="1">
        <v>41817</v>
      </c>
      <c r="C257" t="s">
        <v>3694</v>
      </c>
      <c r="D257">
        <v>1</v>
      </c>
      <c r="E257" t="s">
        <v>467</v>
      </c>
      <c r="F257" s="162" t="s">
        <v>760</v>
      </c>
      <c r="G257" s="231" t="s">
        <v>761</v>
      </c>
      <c r="H257" s="3">
        <f t="shared" si="5"/>
        <v>300201.375</v>
      </c>
      <c r="I257" s="3">
        <v>48032.22</v>
      </c>
    </row>
    <row r="258" spans="1:11">
      <c r="A258" t="s">
        <v>3162</v>
      </c>
      <c r="B258" s="1">
        <v>41817</v>
      </c>
      <c r="C258" t="s">
        <v>3695</v>
      </c>
      <c r="D258">
        <v>1</v>
      </c>
      <c r="E258" t="s">
        <v>467</v>
      </c>
      <c r="F258" s="162" t="s">
        <v>760</v>
      </c>
      <c r="G258" s="231" t="s">
        <v>761</v>
      </c>
      <c r="H258" s="3">
        <f t="shared" si="5"/>
        <v>300201.375</v>
      </c>
      <c r="I258" s="3">
        <v>48032.22</v>
      </c>
    </row>
    <row r="259" spans="1:11">
      <c r="A259" t="s">
        <v>3696</v>
      </c>
      <c r="B259" s="1">
        <v>41817</v>
      </c>
      <c r="C259" t="s">
        <v>3697</v>
      </c>
      <c r="D259">
        <v>1</v>
      </c>
      <c r="E259" t="s">
        <v>467</v>
      </c>
      <c r="F259" s="162" t="s">
        <v>760</v>
      </c>
      <c r="G259" s="231" t="s">
        <v>761</v>
      </c>
      <c r="H259" s="3">
        <f t="shared" si="5"/>
        <v>174075.25</v>
      </c>
      <c r="I259" s="3">
        <v>27852.04</v>
      </c>
    </row>
    <row r="260" spans="1:11">
      <c r="A260" t="s">
        <v>3698</v>
      </c>
      <c r="B260" s="1">
        <v>41817</v>
      </c>
      <c r="C260" t="s">
        <v>3699</v>
      </c>
      <c r="D260">
        <v>1</v>
      </c>
      <c r="E260" t="s">
        <v>467</v>
      </c>
      <c r="F260" s="162" t="s">
        <v>760</v>
      </c>
      <c r="G260" s="231" t="s">
        <v>761</v>
      </c>
      <c r="H260" s="3">
        <f t="shared" si="5"/>
        <v>174075.25</v>
      </c>
      <c r="I260" s="3">
        <v>27852.04</v>
      </c>
    </row>
    <row r="261" spans="1:11">
      <c r="A261" t="s">
        <v>3700</v>
      </c>
      <c r="B261" s="1">
        <v>41817</v>
      </c>
      <c r="C261" t="s">
        <v>3701</v>
      </c>
      <c r="D261">
        <v>1</v>
      </c>
      <c r="E261" t="s">
        <v>467</v>
      </c>
      <c r="F261" s="162" t="s">
        <v>760</v>
      </c>
      <c r="G261" s="231" t="s">
        <v>761</v>
      </c>
      <c r="H261" s="3">
        <f t="shared" si="5"/>
        <v>356752.875</v>
      </c>
      <c r="I261" s="3">
        <v>57080.46</v>
      </c>
    </row>
    <row r="262" spans="1:11">
      <c r="A262" t="s">
        <v>3189</v>
      </c>
      <c r="B262" s="1">
        <v>41818</v>
      </c>
      <c r="C262" t="s">
        <v>3708</v>
      </c>
      <c r="D262">
        <v>1</v>
      </c>
      <c r="E262" t="s">
        <v>467</v>
      </c>
      <c r="F262" s="162" t="s">
        <v>760</v>
      </c>
      <c r="G262" s="231" t="s">
        <v>761</v>
      </c>
      <c r="H262" s="3">
        <f t="shared" si="5"/>
        <v>224993.125</v>
      </c>
      <c r="I262" s="3">
        <v>35998.9</v>
      </c>
    </row>
    <row r="263" spans="1:11">
      <c r="A263" t="s">
        <v>275</v>
      </c>
      <c r="B263" s="1">
        <v>41820</v>
      </c>
      <c r="C263" t="s">
        <v>3723</v>
      </c>
      <c r="D263">
        <v>1</v>
      </c>
      <c r="E263" t="s">
        <v>467</v>
      </c>
      <c r="F263" s="162" t="s">
        <v>760</v>
      </c>
      <c r="G263" s="231" t="s">
        <v>761</v>
      </c>
      <c r="H263" s="3">
        <f t="shared" si="5"/>
        <v>148194.375</v>
      </c>
      <c r="I263" s="3">
        <v>23711.1</v>
      </c>
    </row>
    <row r="264" spans="1:11">
      <c r="A264" t="s">
        <v>279</v>
      </c>
      <c r="B264" s="1">
        <v>41820</v>
      </c>
      <c r="C264" t="s">
        <v>3722</v>
      </c>
      <c r="D264">
        <v>1</v>
      </c>
      <c r="E264" t="s">
        <v>467</v>
      </c>
      <c r="F264" s="162" t="s">
        <v>760</v>
      </c>
      <c r="G264" s="231" t="s">
        <v>761</v>
      </c>
      <c r="H264" s="3">
        <f t="shared" si="5"/>
        <v>148194.375</v>
      </c>
      <c r="I264" s="3">
        <v>23711.1</v>
      </c>
    </row>
    <row r="265" spans="1:11">
      <c r="A265" t="s">
        <v>3724</v>
      </c>
      <c r="B265" s="1">
        <v>41820</v>
      </c>
      <c r="C265" t="s">
        <v>3725</v>
      </c>
      <c r="D265">
        <v>1</v>
      </c>
      <c r="E265" t="s">
        <v>467</v>
      </c>
      <c r="F265" s="162" t="s">
        <v>760</v>
      </c>
      <c r="G265" s="231" t="s">
        <v>761</v>
      </c>
      <c r="H265" s="3">
        <f t="shared" si="5"/>
        <v>148194.375</v>
      </c>
      <c r="I265" s="3">
        <v>23711.1</v>
      </c>
    </row>
    <row r="266" spans="1:11">
      <c r="A266" t="s">
        <v>2010</v>
      </c>
      <c r="B266" s="1">
        <v>41820</v>
      </c>
      <c r="C266" t="s">
        <v>3726</v>
      </c>
      <c r="D266">
        <v>1</v>
      </c>
      <c r="E266" t="s">
        <v>467</v>
      </c>
      <c r="F266" s="162" t="s">
        <v>760</v>
      </c>
      <c r="G266" s="231" t="s">
        <v>761</v>
      </c>
      <c r="H266" s="3">
        <f t="shared" si="5"/>
        <v>342833.875</v>
      </c>
      <c r="I266" s="3">
        <v>54853.42</v>
      </c>
    </row>
    <row r="267" spans="1:11">
      <c r="A267" t="s">
        <v>334</v>
      </c>
      <c r="B267" s="1">
        <v>41820</v>
      </c>
      <c r="C267" t="s">
        <v>3727</v>
      </c>
      <c r="D267">
        <v>1</v>
      </c>
      <c r="E267" t="s">
        <v>467</v>
      </c>
      <c r="F267" s="162" t="s">
        <v>760</v>
      </c>
      <c r="G267" s="231" t="s">
        <v>761</v>
      </c>
      <c r="H267" s="3">
        <f t="shared" si="5"/>
        <v>224993.125</v>
      </c>
      <c r="I267" s="3">
        <v>35998.9</v>
      </c>
    </row>
    <row r="268" spans="1:11">
      <c r="A268" t="s">
        <v>477</v>
      </c>
      <c r="B268" s="1">
        <v>41803</v>
      </c>
      <c r="C268" t="s">
        <v>3869</v>
      </c>
      <c r="D268">
        <v>1</v>
      </c>
      <c r="E268" t="s">
        <v>467</v>
      </c>
      <c r="F268" s="72" t="s">
        <v>831</v>
      </c>
      <c r="G268" s="227" t="s">
        <v>467</v>
      </c>
      <c r="H268" s="3">
        <f t="shared" si="5"/>
        <v>14964.125000000002</v>
      </c>
      <c r="I268" s="3">
        <v>2394.2600000000002</v>
      </c>
    </row>
    <row r="269" spans="1:11">
      <c r="A269" t="s">
        <v>416</v>
      </c>
      <c r="B269" s="1">
        <v>41820</v>
      </c>
      <c r="C269">
        <v>10370</v>
      </c>
      <c r="D269">
        <v>1</v>
      </c>
      <c r="E269" t="s">
        <v>3745</v>
      </c>
      <c r="F269" s="203" t="s">
        <v>2317</v>
      </c>
      <c r="G269" s="220" t="s">
        <v>1769</v>
      </c>
      <c r="H269" s="3">
        <f t="shared" si="5"/>
        <v>350</v>
      </c>
      <c r="I269" s="3">
        <v>56</v>
      </c>
    </row>
    <row r="270" spans="1:11">
      <c r="A270" t="s">
        <v>2106</v>
      </c>
      <c r="B270" s="1">
        <v>41820</v>
      </c>
      <c r="C270" t="s">
        <v>3771</v>
      </c>
      <c r="D270">
        <v>1</v>
      </c>
      <c r="E270" t="s">
        <v>3772</v>
      </c>
      <c r="F270" s="232" t="s">
        <v>1553</v>
      </c>
      <c r="G270" s="27" t="s">
        <v>3537</v>
      </c>
      <c r="H270" s="3">
        <f t="shared" ref="H270:H301" si="6">I270/0.16</f>
        <v>56.0625</v>
      </c>
      <c r="I270" s="3">
        <v>8.9700000000000006</v>
      </c>
      <c r="J270" s="3"/>
      <c r="K270" s="3"/>
    </row>
    <row r="271" spans="1:11">
      <c r="A271" t="s">
        <v>2106</v>
      </c>
      <c r="B271" s="1">
        <v>41820</v>
      </c>
      <c r="C271" t="s">
        <v>3771</v>
      </c>
      <c r="D271">
        <v>1</v>
      </c>
      <c r="E271" t="s">
        <v>3772</v>
      </c>
      <c r="F271" s="203" t="s">
        <v>4015</v>
      </c>
      <c r="G271" s="138" t="s">
        <v>4016</v>
      </c>
      <c r="H271" s="3">
        <f t="shared" si="6"/>
        <v>95</v>
      </c>
      <c r="I271" s="3">
        <v>15.2</v>
      </c>
    </row>
    <row r="272" spans="1:11">
      <c r="A272" t="s">
        <v>2106</v>
      </c>
      <c r="B272" s="1">
        <v>41820</v>
      </c>
      <c r="C272" t="s">
        <v>3771</v>
      </c>
      <c r="D272">
        <v>1</v>
      </c>
      <c r="E272" t="s">
        <v>3772</v>
      </c>
      <c r="F272" s="203" t="s">
        <v>964</v>
      </c>
      <c r="G272" s="138" t="s">
        <v>4017</v>
      </c>
      <c r="H272" s="3">
        <f t="shared" si="6"/>
        <v>209.375</v>
      </c>
      <c r="I272" s="3">
        <v>33.5</v>
      </c>
      <c r="J272" s="13">
        <f>360.44-H270-H271-H272</f>
        <v>2.4999999999977263E-3</v>
      </c>
      <c r="K272" s="13">
        <f>57.67-I270-I271-I272</f>
        <v>0</v>
      </c>
    </row>
    <row r="273" spans="1:11">
      <c r="A273" t="s">
        <v>3789</v>
      </c>
      <c r="B273" s="1">
        <v>41820</v>
      </c>
      <c r="C273" t="s">
        <v>3790</v>
      </c>
      <c r="D273">
        <v>1</v>
      </c>
      <c r="E273" t="s">
        <v>3791</v>
      </c>
      <c r="F273" s="25" t="s">
        <v>1553</v>
      </c>
      <c r="G273" s="27" t="s">
        <v>843</v>
      </c>
      <c r="H273" s="3">
        <f t="shared" si="6"/>
        <v>706.9375</v>
      </c>
      <c r="I273" s="3">
        <v>113.11</v>
      </c>
      <c r="J273" s="3"/>
      <c r="K273" s="3"/>
    </row>
    <row r="274" spans="1:11">
      <c r="A274" t="s">
        <v>3789</v>
      </c>
      <c r="B274" s="1">
        <v>41820</v>
      </c>
      <c r="C274" t="s">
        <v>3790</v>
      </c>
      <c r="D274">
        <v>1</v>
      </c>
      <c r="E274" t="s">
        <v>3791</v>
      </c>
      <c r="F274" s="9" t="s">
        <v>4018</v>
      </c>
      <c r="G274" s="138" t="s">
        <v>4019</v>
      </c>
      <c r="H274" s="3">
        <f t="shared" si="6"/>
        <v>100</v>
      </c>
      <c r="I274" s="3">
        <v>16</v>
      </c>
    </row>
    <row r="275" spans="1:11">
      <c r="A275" t="s">
        <v>3789</v>
      </c>
      <c r="B275" s="1">
        <v>41820</v>
      </c>
      <c r="C275" t="s">
        <v>3790</v>
      </c>
      <c r="D275">
        <v>1</v>
      </c>
      <c r="E275" t="s">
        <v>3791</v>
      </c>
      <c r="F275" t="s">
        <v>2352</v>
      </c>
      <c r="G275" s="219" t="s">
        <v>2353</v>
      </c>
      <c r="H275" s="3">
        <f t="shared" si="6"/>
        <v>310</v>
      </c>
      <c r="I275" s="3">
        <v>49.6</v>
      </c>
      <c r="J275" s="13">
        <f>1116.94-H273-H274-H275</f>
        <v>2.5000000000545697E-3</v>
      </c>
      <c r="K275" s="13">
        <f>178.71-I273-I274-I275</f>
        <v>0</v>
      </c>
    </row>
    <row r="276" spans="1:11">
      <c r="A276" t="s">
        <v>3285</v>
      </c>
      <c r="B276" s="1">
        <v>41820</v>
      </c>
      <c r="C276" t="s">
        <v>3787</v>
      </c>
      <c r="D276">
        <v>1</v>
      </c>
      <c r="E276" t="s">
        <v>3788</v>
      </c>
      <c r="F276" s="25" t="s">
        <v>1553</v>
      </c>
      <c r="G276" s="27" t="s">
        <v>843</v>
      </c>
      <c r="H276" s="3">
        <f t="shared" si="6"/>
        <v>706.9375</v>
      </c>
      <c r="I276" s="3">
        <v>113.11</v>
      </c>
      <c r="J276" s="3"/>
      <c r="K276" s="3"/>
    </row>
    <row r="277" spans="1:11">
      <c r="A277" t="s">
        <v>3285</v>
      </c>
      <c r="B277" s="1">
        <v>41820</v>
      </c>
      <c r="C277" t="s">
        <v>3787</v>
      </c>
      <c r="D277">
        <v>1</v>
      </c>
      <c r="E277" t="s">
        <v>3788</v>
      </c>
      <c r="F277" t="s">
        <v>2352</v>
      </c>
      <c r="G277" s="219" t="s">
        <v>2353</v>
      </c>
      <c r="H277" s="3">
        <f t="shared" si="6"/>
        <v>293.1875</v>
      </c>
      <c r="I277" s="3">
        <v>46.91</v>
      </c>
      <c r="J277" s="3">
        <f>1000.13-H276-H277</f>
        <v>4.9999999999954525E-3</v>
      </c>
      <c r="K277" s="3">
        <f>160.02-I276-I277</f>
        <v>0</v>
      </c>
    </row>
    <row r="278" spans="1:11">
      <c r="A278" t="s">
        <v>2102</v>
      </c>
      <c r="B278" s="1">
        <v>41820</v>
      </c>
      <c r="C278" t="s">
        <v>3769</v>
      </c>
      <c r="D278">
        <v>1</v>
      </c>
      <c r="E278" t="s">
        <v>3770</v>
      </c>
      <c r="F278" s="203" t="s">
        <v>923</v>
      </c>
      <c r="G278" s="138" t="s">
        <v>2916</v>
      </c>
      <c r="H278" s="3">
        <f t="shared" si="6"/>
        <v>293.125</v>
      </c>
      <c r="I278" s="3">
        <v>46.9</v>
      </c>
      <c r="J278" s="3"/>
      <c r="K278" s="3"/>
    </row>
    <row r="279" spans="1:11">
      <c r="A279" t="s">
        <v>2102</v>
      </c>
      <c r="B279" s="1">
        <v>41820</v>
      </c>
      <c r="C279" t="s">
        <v>3769</v>
      </c>
      <c r="D279">
        <v>1</v>
      </c>
      <c r="E279" t="s">
        <v>3770</v>
      </c>
      <c r="F279" s="232" t="s">
        <v>1553</v>
      </c>
      <c r="G279" s="27" t="s">
        <v>843</v>
      </c>
      <c r="H279" s="3">
        <f t="shared" si="6"/>
        <v>265.5625</v>
      </c>
      <c r="I279" s="3">
        <v>42.49</v>
      </c>
    </row>
    <row r="280" spans="1:11">
      <c r="A280" t="s">
        <v>2102</v>
      </c>
      <c r="B280" s="1">
        <v>41820</v>
      </c>
      <c r="C280" t="s">
        <v>3769</v>
      </c>
      <c r="D280">
        <v>1</v>
      </c>
      <c r="E280" t="s">
        <v>3770</v>
      </c>
      <c r="F280" s="203" t="s">
        <v>2912</v>
      </c>
      <c r="G280" s="138" t="s">
        <v>4020</v>
      </c>
      <c r="H280" s="3">
        <f t="shared" si="6"/>
        <v>70</v>
      </c>
      <c r="I280" s="3">
        <v>11.2</v>
      </c>
    </row>
    <row r="281" spans="1:11">
      <c r="A281" t="s">
        <v>2102</v>
      </c>
      <c r="B281" s="1">
        <v>41820</v>
      </c>
      <c r="C281" t="s">
        <v>3769</v>
      </c>
      <c r="D281">
        <v>1</v>
      </c>
      <c r="E281" t="s">
        <v>3770</v>
      </c>
      <c r="F281" s="203" t="s">
        <v>940</v>
      </c>
      <c r="G281" s="138" t="s">
        <v>4021</v>
      </c>
      <c r="H281" s="3">
        <f t="shared" si="6"/>
        <v>335.0625</v>
      </c>
      <c r="I281" s="3">
        <v>53.61</v>
      </c>
      <c r="J281" s="13">
        <f>963.75-H278-H279-H280-H281</f>
        <v>0</v>
      </c>
      <c r="K281" s="13">
        <f>154.2-I278-I279-I280-I281</f>
        <v>0</v>
      </c>
    </row>
    <row r="282" spans="1:11">
      <c r="A282" t="s">
        <v>2065</v>
      </c>
      <c r="B282" s="1">
        <v>41820</v>
      </c>
      <c r="C282" t="s">
        <v>3748</v>
      </c>
      <c r="D282">
        <v>1</v>
      </c>
      <c r="E282" t="s">
        <v>3749</v>
      </c>
      <c r="F282" s="203" t="s">
        <v>923</v>
      </c>
      <c r="G282" s="220" t="s">
        <v>2916</v>
      </c>
      <c r="H282" s="3">
        <f t="shared" si="6"/>
        <v>54.312499999999993</v>
      </c>
      <c r="I282" s="3">
        <v>8.69</v>
      </c>
      <c r="J282" s="3"/>
      <c r="K282" s="3"/>
    </row>
    <row r="283" spans="1:11">
      <c r="A283" t="s">
        <v>2065</v>
      </c>
      <c r="B283" s="1">
        <v>41820</v>
      </c>
      <c r="C283" t="s">
        <v>3748</v>
      </c>
      <c r="D283">
        <v>1</v>
      </c>
      <c r="E283" t="s">
        <v>3749</v>
      </c>
      <c r="F283" s="203" t="s">
        <v>839</v>
      </c>
      <c r="G283" s="220" t="s">
        <v>840</v>
      </c>
      <c r="H283" s="3">
        <f t="shared" si="6"/>
        <v>83.875</v>
      </c>
      <c r="I283" s="3">
        <v>13.42</v>
      </c>
    </row>
    <row r="284" spans="1:11">
      <c r="A284" t="s">
        <v>2065</v>
      </c>
      <c r="B284" s="1">
        <v>41820</v>
      </c>
      <c r="C284" t="s">
        <v>3748</v>
      </c>
      <c r="D284">
        <v>1</v>
      </c>
      <c r="E284" t="s">
        <v>3749</v>
      </c>
      <c r="F284" s="232" t="s">
        <v>1553</v>
      </c>
      <c r="G284" s="224" t="s">
        <v>843</v>
      </c>
      <c r="H284" s="3">
        <f t="shared" si="6"/>
        <v>258.6875</v>
      </c>
      <c r="I284" s="3">
        <v>41.39</v>
      </c>
    </row>
    <row r="285" spans="1:11">
      <c r="A285" t="s">
        <v>2065</v>
      </c>
      <c r="B285" s="1">
        <v>41820</v>
      </c>
      <c r="C285" t="s">
        <v>3748</v>
      </c>
      <c r="D285">
        <v>1</v>
      </c>
      <c r="E285" t="s">
        <v>3749</v>
      </c>
      <c r="F285" s="203" t="s">
        <v>4022</v>
      </c>
      <c r="G285" s="220" t="s">
        <v>4023</v>
      </c>
      <c r="H285" s="3">
        <f t="shared" si="6"/>
        <v>418.8125</v>
      </c>
      <c r="I285" s="3">
        <v>67.010000000000005</v>
      </c>
    </row>
    <row r="286" spans="1:11">
      <c r="A286" t="s">
        <v>2065</v>
      </c>
      <c r="B286" s="1">
        <v>41820</v>
      </c>
      <c r="C286" t="s">
        <v>3748</v>
      </c>
      <c r="D286">
        <v>1</v>
      </c>
      <c r="E286" t="s">
        <v>3749</v>
      </c>
      <c r="F286" s="203" t="s">
        <v>2342</v>
      </c>
      <c r="G286" s="220" t="s">
        <v>4024</v>
      </c>
      <c r="H286" s="3">
        <f t="shared" si="6"/>
        <v>86.187499999999986</v>
      </c>
      <c r="I286" s="3">
        <v>13.79</v>
      </c>
      <c r="J286" s="13"/>
      <c r="K286" s="13"/>
    </row>
    <row r="287" spans="1:11">
      <c r="A287" t="s">
        <v>2065</v>
      </c>
      <c r="B287" s="1">
        <v>41820</v>
      </c>
      <c r="C287" t="s">
        <v>3748</v>
      </c>
      <c r="D287">
        <v>1</v>
      </c>
      <c r="E287" t="s">
        <v>3749</v>
      </c>
      <c r="F287" s="203" t="s">
        <v>1649</v>
      </c>
      <c r="G287" s="220" t="s">
        <v>4025</v>
      </c>
      <c r="H287" s="3">
        <f t="shared" si="6"/>
        <v>271.5625</v>
      </c>
      <c r="I287" s="3">
        <v>43.45</v>
      </c>
      <c r="J287" s="13">
        <f>1173.44-H282-H283-H284-H285-H286-H287</f>
        <v>2.5000000000545697E-3</v>
      </c>
      <c r="K287" s="13">
        <f>187.75-I282-I283-I284-I285-I286-I287</f>
        <v>0</v>
      </c>
    </row>
    <row r="288" spans="1:11">
      <c r="A288" t="s">
        <v>2100</v>
      </c>
      <c r="B288" s="1">
        <v>41820</v>
      </c>
      <c r="C288" t="s">
        <v>3767</v>
      </c>
      <c r="D288">
        <v>1</v>
      </c>
      <c r="E288" t="s">
        <v>3768</v>
      </c>
      <c r="F288" s="203" t="s">
        <v>1649</v>
      </c>
      <c r="G288" s="138" t="s">
        <v>4025</v>
      </c>
      <c r="H288" s="3">
        <f t="shared" si="6"/>
        <v>495.74999999999994</v>
      </c>
      <c r="I288" s="3">
        <v>79.319999999999993</v>
      </c>
      <c r="J288" s="3"/>
      <c r="K288" s="3"/>
    </row>
    <row r="289" spans="1:11">
      <c r="A289" t="s">
        <v>2100</v>
      </c>
      <c r="B289" s="1">
        <v>41820</v>
      </c>
      <c r="C289" t="s">
        <v>3767</v>
      </c>
      <c r="D289">
        <v>1</v>
      </c>
      <c r="E289" t="s">
        <v>3768</v>
      </c>
      <c r="F289" s="203" t="s">
        <v>901</v>
      </c>
      <c r="G289" s="138" t="s">
        <v>4026</v>
      </c>
      <c r="H289" s="3">
        <f t="shared" si="6"/>
        <v>134.5</v>
      </c>
      <c r="I289" s="3">
        <v>21.52</v>
      </c>
    </row>
    <row r="290" spans="1:11">
      <c r="A290" t="s">
        <v>2100</v>
      </c>
      <c r="B290" s="1">
        <v>41820</v>
      </c>
      <c r="C290" t="s">
        <v>3767</v>
      </c>
      <c r="D290">
        <v>1</v>
      </c>
      <c r="E290" t="s">
        <v>3768</v>
      </c>
      <c r="F290" s="232" t="s">
        <v>1553</v>
      </c>
      <c r="G290" s="27" t="s">
        <v>843</v>
      </c>
      <c r="H290" s="3">
        <f t="shared" si="6"/>
        <v>396.625</v>
      </c>
      <c r="I290" s="3">
        <v>63.46</v>
      </c>
    </row>
    <row r="291" spans="1:11">
      <c r="A291" t="s">
        <v>2100</v>
      </c>
      <c r="B291" s="1">
        <v>41820</v>
      </c>
      <c r="C291" t="s">
        <v>3767</v>
      </c>
      <c r="D291">
        <v>1</v>
      </c>
      <c r="E291" t="s">
        <v>3768</v>
      </c>
      <c r="F291" s="203" t="s">
        <v>921</v>
      </c>
      <c r="G291" s="138" t="s">
        <v>1628</v>
      </c>
      <c r="H291" s="3">
        <f t="shared" si="6"/>
        <v>526.0625</v>
      </c>
      <c r="I291" s="3">
        <v>84.17</v>
      </c>
      <c r="J291" s="13">
        <f>1552.94-H288-H289-H290-H291</f>
        <v>2.5000000000545697E-3</v>
      </c>
      <c r="K291" s="13">
        <f>248.47-I288-I289-I290-I291</f>
        <v>0</v>
      </c>
    </row>
    <row r="292" spans="1:11">
      <c r="A292" t="s">
        <v>3264</v>
      </c>
      <c r="B292" s="1">
        <v>41820</v>
      </c>
      <c r="C292" t="s">
        <v>3773</v>
      </c>
      <c r="D292">
        <v>1</v>
      </c>
      <c r="E292" t="s">
        <v>3774</v>
      </c>
      <c r="F292" s="203" t="s">
        <v>4027</v>
      </c>
      <c r="G292" s="138" t="s">
        <v>4028</v>
      </c>
      <c r="H292" s="3">
        <f t="shared" si="6"/>
        <v>67.0625</v>
      </c>
      <c r="I292" s="3">
        <v>10.73</v>
      </c>
      <c r="J292" s="3"/>
      <c r="K292" s="3"/>
    </row>
    <row r="293" spans="1:11">
      <c r="A293" t="s">
        <v>3264</v>
      </c>
      <c r="B293" s="1">
        <v>41820</v>
      </c>
      <c r="C293" t="s">
        <v>3773</v>
      </c>
      <c r="D293">
        <v>1</v>
      </c>
      <c r="E293" t="s">
        <v>3774</v>
      </c>
      <c r="F293" s="203" t="s">
        <v>923</v>
      </c>
      <c r="G293" s="138" t="s">
        <v>2916</v>
      </c>
      <c r="H293" s="3">
        <f t="shared" si="6"/>
        <v>362.9375</v>
      </c>
      <c r="I293" s="3">
        <v>58.07</v>
      </c>
    </row>
    <row r="294" spans="1:11">
      <c r="A294" t="s">
        <v>3264</v>
      </c>
      <c r="B294" s="1">
        <v>41820</v>
      </c>
      <c r="C294" t="s">
        <v>3773</v>
      </c>
      <c r="D294">
        <v>1</v>
      </c>
      <c r="E294" t="s">
        <v>3774</v>
      </c>
      <c r="F294" s="203" t="s">
        <v>3528</v>
      </c>
      <c r="G294" s="219" t="s">
        <v>3533</v>
      </c>
      <c r="H294" s="3">
        <f t="shared" si="6"/>
        <v>91.375</v>
      </c>
      <c r="I294" s="3">
        <v>14.62</v>
      </c>
    </row>
    <row r="295" spans="1:11">
      <c r="A295" t="s">
        <v>3264</v>
      </c>
      <c r="B295" s="1">
        <v>41820</v>
      </c>
      <c r="C295" t="s">
        <v>3773</v>
      </c>
      <c r="D295">
        <v>1</v>
      </c>
      <c r="E295" t="s">
        <v>3774</v>
      </c>
      <c r="F295" s="232" t="s">
        <v>1553</v>
      </c>
      <c r="G295" s="27" t="s">
        <v>843</v>
      </c>
      <c r="H295" s="3">
        <f t="shared" si="6"/>
        <v>430.1875</v>
      </c>
      <c r="I295" s="3">
        <v>68.83</v>
      </c>
    </row>
    <row r="296" spans="1:11">
      <c r="A296" t="s">
        <v>3264</v>
      </c>
      <c r="B296" s="1">
        <v>41820</v>
      </c>
      <c r="C296" t="s">
        <v>3773</v>
      </c>
      <c r="D296">
        <v>1</v>
      </c>
      <c r="E296" t="s">
        <v>3774</v>
      </c>
      <c r="F296" s="203" t="s">
        <v>911</v>
      </c>
      <c r="G296" s="138" t="s">
        <v>4029</v>
      </c>
      <c r="H296" s="3">
        <f t="shared" si="6"/>
        <v>477.9375</v>
      </c>
      <c r="I296" s="3">
        <v>76.47</v>
      </c>
      <c r="J296" s="13">
        <f>1429.5-H292-H293-H294-H295-H296</f>
        <v>0</v>
      </c>
      <c r="K296" s="13">
        <f>228.72-I292-I293-I294-I295-I296</f>
        <v>0</v>
      </c>
    </row>
    <row r="297" spans="1:11">
      <c r="A297" t="s">
        <v>3532</v>
      </c>
      <c r="B297" s="1">
        <v>41820</v>
      </c>
      <c r="C297" t="s">
        <v>3783</v>
      </c>
      <c r="D297">
        <v>1</v>
      </c>
      <c r="E297" t="s">
        <v>3784</v>
      </c>
      <c r="F297" s="9" t="s">
        <v>923</v>
      </c>
      <c r="G297" s="138" t="s">
        <v>2916</v>
      </c>
      <c r="H297" s="3">
        <f t="shared" si="6"/>
        <v>405.1875</v>
      </c>
      <c r="I297" s="3">
        <v>64.83</v>
      </c>
      <c r="J297" s="3"/>
      <c r="K297" s="3"/>
    </row>
    <row r="298" spans="1:11">
      <c r="A298" t="s">
        <v>3532</v>
      </c>
      <c r="B298" s="1">
        <v>41820</v>
      </c>
      <c r="C298" t="s">
        <v>3783</v>
      </c>
      <c r="D298">
        <v>1</v>
      </c>
      <c r="E298" t="s">
        <v>3784</v>
      </c>
      <c r="F298" s="9" t="s">
        <v>4030</v>
      </c>
      <c r="G298" s="138" t="s">
        <v>4031</v>
      </c>
      <c r="H298" s="3">
        <f t="shared" si="6"/>
        <v>83.8125</v>
      </c>
      <c r="I298" s="3">
        <v>13.41</v>
      </c>
    </row>
    <row r="299" spans="1:11">
      <c r="A299" t="s">
        <v>3532</v>
      </c>
      <c r="B299" s="1">
        <v>41820</v>
      </c>
      <c r="C299" t="s">
        <v>3783</v>
      </c>
      <c r="D299">
        <v>1</v>
      </c>
      <c r="E299" t="s">
        <v>3784</v>
      </c>
      <c r="F299" s="25" t="s">
        <v>1553</v>
      </c>
      <c r="G299" s="27" t="s">
        <v>843</v>
      </c>
      <c r="H299" s="3">
        <f t="shared" si="6"/>
        <v>430.1875</v>
      </c>
      <c r="I299" s="3">
        <v>68.83</v>
      </c>
    </row>
    <row r="300" spans="1:11">
      <c r="A300" t="s">
        <v>3532</v>
      </c>
      <c r="B300" s="1">
        <v>41820</v>
      </c>
      <c r="C300" t="s">
        <v>3783</v>
      </c>
      <c r="D300">
        <v>1</v>
      </c>
      <c r="E300" t="s">
        <v>3784</v>
      </c>
      <c r="F300" s="9" t="s">
        <v>4032</v>
      </c>
      <c r="G300" s="138" t="s">
        <v>4033</v>
      </c>
      <c r="H300" s="3">
        <f t="shared" si="6"/>
        <v>73.25</v>
      </c>
      <c r="I300" s="3">
        <v>11.72</v>
      </c>
    </row>
    <row r="301" spans="1:11">
      <c r="A301" t="s">
        <v>3532</v>
      </c>
      <c r="B301" s="1">
        <v>41820</v>
      </c>
      <c r="C301" t="s">
        <v>3783</v>
      </c>
      <c r="D301">
        <v>1</v>
      </c>
      <c r="E301" t="s">
        <v>3784</v>
      </c>
      <c r="F301" t="s">
        <v>911</v>
      </c>
      <c r="G301" s="219" t="s">
        <v>4029</v>
      </c>
      <c r="H301" s="3">
        <f t="shared" si="6"/>
        <v>502.56249999999994</v>
      </c>
      <c r="I301" s="3">
        <v>80.41</v>
      </c>
      <c r="J301" s="13">
        <f>1495-H297-H298-H299-H300-H301</f>
        <v>0</v>
      </c>
      <c r="K301" s="13">
        <f>239.2-I297-I298-I299-I300-I301</f>
        <v>0</v>
      </c>
    </row>
    <row r="302" spans="1:11">
      <c r="A302" t="s">
        <v>3525</v>
      </c>
      <c r="B302" s="1">
        <v>41820</v>
      </c>
      <c r="C302" t="s">
        <v>3785</v>
      </c>
      <c r="D302">
        <v>1</v>
      </c>
      <c r="E302" t="s">
        <v>3786</v>
      </c>
      <c r="F302" s="9" t="s">
        <v>923</v>
      </c>
      <c r="G302" s="138" t="s">
        <v>2916</v>
      </c>
      <c r="H302" s="3">
        <f t="shared" ref="H302:H333" si="7">I302/0.16</f>
        <v>362.9375</v>
      </c>
      <c r="I302" s="3">
        <v>58.07</v>
      </c>
      <c r="J302" s="3"/>
      <c r="K302" s="3"/>
    </row>
    <row r="303" spans="1:11">
      <c r="A303" t="s">
        <v>3525</v>
      </c>
      <c r="B303" s="1">
        <v>41820</v>
      </c>
      <c r="C303" t="s">
        <v>3785</v>
      </c>
      <c r="D303">
        <v>1</v>
      </c>
      <c r="E303" t="s">
        <v>3786</v>
      </c>
      <c r="F303" s="25" t="s">
        <v>1553</v>
      </c>
      <c r="G303" s="27" t="s">
        <v>843</v>
      </c>
      <c r="H303" s="3">
        <f t="shared" si="7"/>
        <v>430.1875</v>
      </c>
      <c r="I303" s="3">
        <v>68.83</v>
      </c>
    </row>
    <row r="304" spans="1:11">
      <c r="A304" t="s">
        <v>3525</v>
      </c>
      <c r="B304" s="1">
        <v>41820</v>
      </c>
      <c r="C304" t="s">
        <v>3785</v>
      </c>
      <c r="D304">
        <v>1</v>
      </c>
      <c r="E304" t="s">
        <v>3786</v>
      </c>
      <c r="F304" s="9" t="s">
        <v>4032</v>
      </c>
      <c r="G304" s="138" t="s">
        <v>4033</v>
      </c>
      <c r="H304" s="3">
        <f t="shared" si="7"/>
        <v>64.625</v>
      </c>
      <c r="I304" s="3">
        <v>10.34</v>
      </c>
    </row>
    <row r="305" spans="1:11">
      <c r="A305" t="s">
        <v>3525</v>
      </c>
      <c r="B305" s="1">
        <v>41820</v>
      </c>
      <c r="C305" t="s">
        <v>3785</v>
      </c>
      <c r="D305">
        <v>1</v>
      </c>
      <c r="E305" t="s">
        <v>3786</v>
      </c>
      <c r="F305" t="s">
        <v>911</v>
      </c>
      <c r="G305" s="219" t="s">
        <v>4029</v>
      </c>
      <c r="H305" s="3">
        <f t="shared" si="7"/>
        <v>544.5625</v>
      </c>
      <c r="I305" s="3">
        <v>87.13</v>
      </c>
      <c r="J305" s="13">
        <f>1402.31-H302-H303-H304-H305</f>
        <v>-2.5000000000545697E-3</v>
      </c>
      <c r="K305" s="13">
        <f>224.37-I302-I303-I304-I305</f>
        <v>0</v>
      </c>
    </row>
    <row r="306" spans="1:11">
      <c r="A306" t="s">
        <v>3530</v>
      </c>
      <c r="B306" s="1">
        <v>41820</v>
      </c>
      <c r="C306" t="s">
        <v>3779</v>
      </c>
      <c r="D306">
        <v>1</v>
      </c>
      <c r="E306" t="s">
        <v>3780</v>
      </c>
      <c r="F306" s="9" t="s">
        <v>923</v>
      </c>
      <c r="G306" s="138" t="s">
        <v>2916</v>
      </c>
      <c r="H306" s="3">
        <f t="shared" si="7"/>
        <v>362.9375</v>
      </c>
      <c r="I306" s="3">
        <v>58.07</v>
      </c>
      <c r="J306" s="3"/>
      <c r="K306" s="3"/>
    </row>
    <row r="307" spans="1:11">
      <c r="A307" t="s">
        <v>3530</v>
      </c>
      <c r="B307" s="1">
        <v>41820</v>
      </c>
      <c r="C307" t="s">
        <v>3779</v>
      </c>
      <c r="D307">
        <v>1</v>
      </c>
      <c r="E307" t="s">
        <v>3780</v>
      </c>
      <c r="F307" s="25" t="s">
        <v>1553</v>
      </c>
      <c r="G307" s="27" t="s">
        <v>843</v>
      </c>
      <c r="H307" s="3">
        <f t="shared" si="7"/>
        <v>430.1875</v>
      </c>
      <c r="I307" s="3">
        <v>68.83</v>
      </c>
    </row>
    <row r="308" spans="1:11">
      <c r="A308" t="s">
        <v>3530</v>
      </c>
      <c r="B308" s="1">
        <v>41820</v>
      </c>
      <c r="C308" t="s">
        <v>3779</v>
      </c>
      <c r="D308">
        <v>1</v>
      </c>
      <c r="E308" t="s">
        <v>3780</v>
      </c>
      <c r="F308" s="9" t="s">
        <v>2914</v>
      </c>
      <c r="G308" s="138" t="s">
        <v>4034</v>
      </c>
      <c r="H308" s="3">
        <f t="shared" si="7"/>
        <v>73.25</v>
      </c>
      <c r="I308" s="3">
        <v>11.72</v>
      </c>
    </row>
    <row r="309" spans="1:11">
      <c r="A309" t="s">
        <v>3530</v>
      </c>
      <c r="B309" s="1">
        <v>41820</v>
      </c>
      <c r="C309" t="s">
        <v>3779</v>
      </c>
      <c r="D309">
        <v>1</v>
      </c>
      <c r="E309" t="s">
        <v>3780</v>
      </c>
      <c r="F309" t="s">
        <v>911</v>
      </c>
      <c r="G309" s="219" t="s">
        <v>4029</v>
      </c>
      <c r="H309" s="3">
        <f t="shared" si="7"/>
        <v>544.5625</v>
      </c>
      <c r="I309" s="3">
        <v>87.13</v>
      </c>
      <c r="J309" s="13">
        <f>1410.94-H306-H307-H308-H309</f>
        <v>2.5000000000545697E-3</v>
      </c>
      <c r="K309" s="13">
        <f>225.75-I306-I307-I308-I309</f>
        <v>0</v>
      </c>
    </row>
    <row r="310" spans="1:11">
      <c r="A310" t="s">
        <v>2098</v>
      </c>
      <c r="B310" s="1">
        <v>41820</v>
      </c>
      <c r="C310" t="s">
        <v>3765</v>
      </c>
      <c r="D310">
        <v>1</v>
      </c>
      <c r="E310" t="s">
        <v>3766</v>
      </c>
      <c r="F310" s="203" t="s">
        <v>923</v>
      </c>
      <c r="G310" s="138" t="s">
        <v>2916</v>
      </c>
      <c r="H310" s="3">
        <f t="shared" si="7"/>
        <v>200</v>
      </c>
      <c r="I310" s="3">
        <v>32</v>
      </c>
      <c r="J310" s="3"/>
      <c r="K310" s="3"/>
    </row>
    <row r="311" spans="1:11">
      <c r="A311" t="s">
        <v>2098</v>
      </c>
      <c r="B311" s="1">
        <v>41820</v>
      </c>
      <c r="C311" t="s">
        <v>3765</v>
      </c>
      <c r="D311">
        <v>1</v>
      </c>
      <c r="E311" t="s">
        <v>3766</v>
      </c>
      <c r="F311" s="203" t="s">
        <v>2338</v>
      </c>
      <c r="G311" s="138" t="s">
        <v>4035</v>
      </c>
      <c r="H311" s="3">
        <f t="shared" si="7"/>
        <v>502.68750000000006</v>
      </c>
      <c r="I311" s="3">
        <v>80.430000000000007</v>
      </c>
    </row>
    <row r="312" spans="1:11">
      <c r="A312" t="s">
        <v>2098</v>
      </c>
      <c r="B312" s="1">
        <v>41820</v>
      </c>
      <c r="C312" t="s">
        <v>3765</v>
      </c>
      <c r="D312">
        <v>1</v>
      </c>
      <c r="E312" t="s">
        <v>3766</v>
      </c>
      <c r="F312" s="232" t="s">
        <v>763</v>
      </c>
      <c r="G312" s="27" t="s">
        <v>843</v>
      </c>
      <c r="H312" s="3">
        <f t="shared" si="7"/>
        <v>176.8125</v>
      </c>
      <c r="I312" s="3">
        <v>28.29</v>
      </c>
    </row>
    <row r="313" spans="1:11">
      <c r="A313" t="s">
        <v>2098</v>
      </c>
      <c r="B313" s="1">
        <v>41820</v>
      </c>
      <c r="C313" t="s">
        <v>3765</v>
      </c>
      <c r="D313">
        <v>1</v>
      </c>
      <c r="E313" t="s">
        <v>3766</v>
      </c>
      <c r="F313" s="203" t="s">
        <v>873</v>
      </c>
      <c r="G313" s="138" t="s">
        <v>336</v>
      </c>
      <c r="H313" s="3">
        <f t="shared" si="7"/>
        <v>89.5</v>
      </c>
      <c r="I313" s="3">
        <v>14.32</v>
      </c>
      <c r="J313" s="13">
        <f>969-H310-H311-H312-H313</f>
        <v>0</v>
      </c>
      <c r="K313" s="13">
        <f>155.04-I310-I311-I312-I313</f>
        <v>-1.4210854715202004E-14</v>
      </c>
    </row>
    <row r="314" spans="1:11">
      <c r="A314" t="s">
        <v>3756</v>
      </c>
      <c r="B314" s="1">
        <v>41820</v>
      </c>
      <c r="C314" t="s">
        <v>3757</v>
      </c>
      <c r="D314">
        <v>1</v>
      </c>
      <c r="E314" t="s">
        <v>3758</v>
      </c>
      <c r="F314" s="203" t="s">
        <v>923</v>
      </c>
      <c r="G314" s="138" t="s">
        <v>2916</v>
      </c>
      <c r="H314" s="3">
        <f t="shared" si="7"/>
        <v>286.1875</v>
      </c>
      <c r="I314" s="3">
        <v>45.79</v>
      </c>
      <c r="J314" s="3"/>
      <c r="K314" s="3"/>
    </row>
    <row r="315" spans="1:11">
      <c r="A315" t="s">
        <v>3756</v>
      </c>
      <c r="B315" s="1">
        <v>41820</v>
      </c>
      <c r="C315" t="s">
        <v>3757</v>
      </c>
      <c r="D315">
        <v>1</v>
      </c>
      <c r="E315" t="s">
        <v>3758</v>
      </c>
      <c r="F315" s="203" t="s">
        <v>923</v>
      </c>
      <c r="G315" s="138" t="s">
        <v>2916</v>
      </c>
      <c r="H315" s="3">
        <f t="shared" si="7"/>
        <v>286.1875</v>
      </c>
      <c r="I315" s="3">
        <v>45.79</v>
      </c>
    </row>
    <row r="316" spans="1:11">
      <c r="A316" t="s">
        <v>3756</v>
      </c>
      <c r="B316" s="1">
        <v>41820</v>
      </c>
      <c r="C316" t="s">
        <v>3757</v>
      </c>
      <c r="D316">
        <v>1</v>
      </c>
      <c r="E316" t="s">
        <v>3758</v>
      </c>
      <c r="F316" s="203" t="s">
        <v>4036</v>
      </c>
      <c r="G316" s="138" t="s">
        <v>4037</v>
      </c>
      <c r="H316" s="3">
        <f t="shared" si="7"/>
        <v>219.625</v>
      </c>
      <c r="I316" s="3">
        <v>35.14</v>
      </c>
    </row>
    <row r="317" spans="1:11">
      <c r="A317" t="s">
        <v>3756</v>
      </c>
      <c r="B317" s="1">
        <v>41820</v>
      </c>
      <c r="C317" t="s">
        <v>3757</v>
      </c>
      <c r="D317">
        <v>1</v>
      </c>
      <c r="E317" t="s">
        <v>3758</v>
      </c>
      <c r="F317" s="232" t="s">
        <v>1553</v>
      </c>
      <c r="G317" s="27" t="s">
        <v>843</v>
      </c>
      <c r="H317" s="3">
        <f t="shared" si="7"/>
        <v>169.8125</v>
      </c>
      <c r="I317" s="3">
        <v>27.17</v>
      </c>
      <c r="J317" s="13">
        <f>961.81-H314-H315-H316-H317</f>
        <v>-2.5000000000545697E-3</v>
      </c>
      <c r="K317" s="13">
        <f>153.89-I314-I315-I316-I317</f>
        <v>0</v>
      </c>
    </row>
    <row r="318" spans="1:11">
      <c r="A318" t="s">
        <v>3250</v>
      </c>
      <c r="B318" s="1">
        <v>41820</v>
      </c>
      <c r="C318" t="s">
        <v>3759</v>
      </c>
      <c r="D318">
        <v>1</v>
      </c>
      <c r="E318" t="s">
        <v>3758</v>
      </c>
      <c r="F318" s="232" t="s">
        <v>1553</v>
      </c>
      <c r="G318" s="27" t="s">
        <v>843</v>
      </c>
      <c r="H318" s="3">
        <f t="shared" si="7"/>
        <v>125.875</v>
      </c>
      <c r="I318" s="3">
        <v>20.14</v>
      </c>
      <c r="J318" s="3"/>
      <c r="K318" s="3"/>
    </row>
    <row r="319" spans="1:11">
      <c r="A319" t="s">
        <v>3250</v>
      </c>
      <c r="B319" s="1">
        <v>41820</v>
      </c>
      <c r="C319" t="s">
        <v>3759</v>
      </c>
      <c r="D319">
        <v>1</v>
      </c>
      <c r="E319" t="s">
        <v>3758</v>
      </c>
      <c r="F319" s="203" t="s">
        <v>4038</v>
      </c>
      <c r="G319" s="138" t="s">
        <v>4039</v>
      </c>
      <c r="H319" s="3">
        <f t="shared" si="7"/>
        <v>83.75</v>
      </c>
      <c r="I319" s="3">
        <v>13.4</v>
      </c>
    </row>
    <row r="320" spans="1:11">
      <c r="A320" t="s">
        <v>3250</v>
      </c>
      <c r="B320" s="1">
        <v>41820</v>
      </c>
      <c r="C320" t="s">
        <v>3759</v>
      </c>
      <c r="D320">
        <v>1</v>
      </c>
      <c r="E320" t="s">
        <v>3758</v>
      </c>
      <c r="F320" s="203" t="s">
        <v>2349</v>
      </c>
      <c r="G320" s="138" t="s">
        <v>4040</v>
      </c>
      <c r="H320" s="3">
        <f t="shared" si="7"/>
        <v>226.18749999999997</v>
      </c>
      <c r="I320" s="3">
        <v>36.19</v>
      </c>
    </row>
    <row r="321" spans="1:11">
      <c r="A321" t="s">
        <v>3250</v>
      </c>
      <c r="B321" s="1">
        <v>41820</v>
      </c>
      <c r="C321" t="s">
        <v>3759</v>
      </c>
      <c r="D321">
        <v>1</v>
      </c>
      <c r="E321" t="s">
        <v>3758</v>
      </c>
      <c r="F321" s="203" t="s">
        <v>1605</v>
      </c>
      <c r="G321" s="138" t="s">
        <v>4041</v>
      </c>
      <c r="H321" s="3">
        <f t="shared" si="7"/>
        <v>702.5625</v>
      </c>
      <c r="I321" s="3">
        <v>112.41</v>
      </c>
    </row>
    <row r="322" spans="1:11">
      <c r="A322" t="s">
        <v>3250</v>
      </c>
      <c r="B322" s="1">
        <v>41820</v>
      </c>
      <c r="C322" t="s">
        <v>3759</v>
      </c>
      <c r="D322">
        <v>1</v>
      </c>
      <c r="E322" t="s">
        <v>3758</v>
      </c>
      <c r="F322" s="203" t="s">
        <v>2352</v>
      </c>
      <c r="G322" s="138" t="s">
        <v>2353</v>
      </c>
      <c r="H322" s="3">
        <f t="shared" si="7"/>
        <v>605.375</v>
      </c>
      <c r="I322" s="3">
        <v>96.86</v>
      </c>
      <c r="J322" s="13">
        <f>1743.75-H318-H319-H320-H321-H322</f>
        <v>0</v>
      </c>
      <c r="K322" s="13">
        <f>279-I318-I319-I320-I321-I322</f>
        <v>0</v>
      </c>
    </row>
    <row r="323" spans="1:11">
      <c r="A323" t="s">
        <v>3269</v>
      </c>
      <c r="B323" s="1">
        <v>41820</v>
      </c>
      <c r="C323" t="s">
        <v>3777</v>
      </c>
      <c r="D323">
        <v>1</v>
      </c>
      <c r="E323" t="s">
        <v>3778</v>
      </c>
      <c r="F323" t="s">
        <v>1649</v>
      </c>
      <c r="G323" s="219" t="s">
        <v>4025</v>
      </c>
      <c r="H323" s="3">
        <f t="shared" si="7"/>
        <v>495.74999999999994</v>
      </c>
      <c r="I323" s="3">
        <v>79.319999999999993</v>
      </c>
      <c r="J323" s="3"/>
      <c r="K323" s="3"/>
    </row>
    <row r="324" spans="1:11">
      <c r="A324" t="s">
        <v>3269</v>
      </c>
      <c r="B324" s="1">
        <v>41820</v>
      </c>
      <c r="C324" t="s">
        <v>3777</v>
      </c>
      <c r="D324">
        <v>1</v>
      </c>
      <c r="E324" t="s">
        <v>3778</v>
      </c>
      <c r="F324" s="9" t="s">
        <v>1629</v>
      </c>
      <c r="G324" s="138" t="s">
        <v>4042</v>
      </c>
      <c r="H324" s="3">
        <f t="shared" si="7"/>
        <v>656.875</v>
      </c>
      <c r="I324" s="3">
        <v>105.1</v>
      </c>
    </row>
    <row r="325" spans="1:11">
      <c r="A325" t="s">
        <v>3269</v>
      </c>
      <c r="B325" s="1">
        <v>41820</v>
      </c>
      <c r="C325" t="s">
        <v>3777</v>
      </c>
      <c r="D325">
        <v>1</v>
      </c>
      <c r="E325" t="s">
        <v>3778</v>
      </c>
      <c r="F325" s="9" t="s">
        <v>1635</v>
      </c>
      <c r="G325" s="138" t="s">
        <v>4043</v>
      </c>
      <c r="H325" s="3">
        <f t="shared" si="7"/>
        <v>92.25</v>
      </c>
      <c r="I325" s="3">
        <v>14.76</v>
      </c>
    </row>
    <row r="326" spans="1:11">
      <c r="A326" t="s">
        <v>3269</v>
      </c>
      <c r="B326" s="1">
        <v>41820</v>
      </c>
      <c r="C326" t="s">
        <v>3777</v>
      </c>
      <c r="D326">
        <v>1</v>
      </c>
      <c r="E326" t="s">
        <v>3778</v>
      </c>
      <c r="F326" s="25" t="s">
        <v>1553</v>
      </c>
      <c r="G326" s="27" t="s">
        <v>843</v>
      </c>
      <c r="H326" s="3">
        <f t="shared" si="7"/>
        <v>979.37499999999989</v>
      </c>
      <c r="I326" s="3">
        <v>156.69999999999999</v>
      </c>
    </row>
    <row r="327" spans="1:11">
      <c r="A327" t="s">
        <v>3269</v>
      </c>
      <c r="B327" s="1">
        <v>41820</v>
      </c>
      <c r="C327" t="s">
        <v>3777</v>
      </c>
      <c r="D327">
        <v>1</v>
      </c>
      <c r="E327" t="s">
        <v>3778</v>
      </c>
      <c r="F327" s="9" t="s">
        <v>2944</v>
      </c>
      <c r="G327" s="138" t="s">
        <v>4044</v>
      </c>
      <c r="H327" s="3">
        <f t="shared" si="7"/>
        <v>813.0625</v>
      </c>
      <c r="I327" s="3">
        <v>130.09</v>
      </c>
    </row>
    <row r="328" spans="1:11">
      <c r="A328" t="s">
        <v>3269</v>
      </c>
      <c r="B328" s="1">
        <v>41820</v>
      </c>
      <c r="C328" t="s">
        <v>3777</v>
      </c>
      <c r="D328">
        <v>1</v>
      </c>
      <c r="E328" t="s">
        <v>3778</v>
      </c>
      <c r="F328" s="9" t="s">
        <v>925</v>
      </c>
      <c r="G328" s="138" t="s">
        <v>4045</v>
      </c>
      <c r="H328" s="3">
        <f t="shared" si="7"/>
        <v>377</v>
      </c>
      <c r="I328" s="3">
        <v>60.32</v>
      </c>
    </row>
    <row r="329" spans="1:11">
      <c r="A329" t="s">
        <v>3269</v>
      </c>
      <c r="B329" s="1">
        <v>41820</v>
      </c>
      <c r="C329" t="s">
        <v>3777</v>
      </c>
      <c r="D329">
        <v>1</v>
      </c>
      <c r="E329" t="s">
        <v>3778</v>
      </c>
      <c r="F329" s="9" t="s">
        <v>4046</v>
      </c>
      <c r="G329" s="138" t="s">
        <v>4047</v>
      </c>
      <c r="H329" s="3">
        <f t="shared" si="7"/>
        <v>78</v>
      </c>
      <c r="I329" s="3">
        <v>12.48</v>
      </c>
    </row>
    <row r="330" spans="1:11">
      <c r="A330" t="s">
        <v>3269</v>
      </c>
      <c r="B330" s="1">
        <v>41820</v>
      </c>
      <c r="C330" t="s">
        <v>3777</v>
      </c>
      <c r="D330">
        <v>1</v>
      </c>
      <c r="E330" t="s">
        <v>3778</v>
      </c>
      <c r="F330" t="s">
        <v>4048</v>
      </c>
      <c r="G330" s="219" t="s">
        <v>4049</v>
      </c>
      <c r="H330" s="3">
        <f t="shared" si="7"/>
        <v>828.4375</v>
      </c>
      <c r="I330" s="3">
        <v>132.55000000000001</v>
      </c>
      <c r="J330" s="13">
        <f>4320.75-H323-H324-H325-H326-H327-H328-H329-H330</f>
        <v>0</v>
      </c>
      <c r="K330" s="13">
        <f>691.32-I323-I324-I325-I326-I327-I328-I329-I330</f>
        <v>0</v>
      </c>
    </row>
    <row r="331" spans="1:11">
      <c r="A331" t="s">
        <v>3531</v>
      </c>
      <c r="B331" s="1">
        <v>41820</v>
      </c>
      <c r="C331" t="s">
        <v>3781</v>
      </c>
      <c r="D331">
        <v>1</v>
      </c>
      <c r="E331" t="s">
        <v>3782</v>
      </c>
      <c r="F331" t="s">
        <v>1649</v>
      </c>
      <c r="G331" s="219" t="s">
        <v>4025</v>
      </c>
      <c r="H331" s="3">
        <f t="shared" si="7"/>
        <v>426.75</v>
      </c>
      <c r="I331" s="3">
        <v>68.28</v>
      </c>
      <c r="J331" s="3"/>
      <c r="K331" s="3"/>
    </row>
    <row r="332" spans="1:11">
      <c r="A332" t="s">
        <v>3531</v>
      </c>
      <c r="B332" s="1">
        <v>41820</v>
      </c>
      <c r="C332" t="s">
        <v>3781</v>
      </c>
      <c r="D332">
        <v>1</v>
      </c>
      <c r="E332" t="s">
        <v>3782</v>
      </c>
      <c r="F332" s="9" t="s">
        <v>923</v>
      </c>
      <c r="G332" s="138" t="s">
        <v>2916</v>
      </c>
      <c r="H332" s="3">
        <f t="shared" si="7"/>
        <v>44.8125</v>
      </c>
      <c r="I332" s="3">
        <v>7.17</v>
      </c>
    </row>
    <row r="333" spans="1:11">
      <c r="A333" t="s">
        <v>3531</v>
      </c>
      <c r="B333" s="1">
        <v>41820</v>
      </c>
      <c r="C333" t="s">
        <v>3781</v>
      </c>
      <c r="D333">
        <v>1</v>
      </c>
      <c r="E333" t="s">
        <v>3782</v>
      </c>
      <c r="F333" s="9" t="s">
        <v>1629</v>
      </c>
      <c r="G333" s="138" t="s">
        <v>4042</v>
      </c>
      <c r="H333" s="3">
        <f t="shared" si="7"/>
        <v>292.25</v>
      </c>
      <c r="I333" s="3">
        <v>46.76</v>
      </c>
    </row>
    <row r="334" spans="1:11">
      <c r="A334" t="s">
        <v>3531</v>
      </c>
      <c r="B334" s="1">
        <v>41820</v>
      </c>
      <c r="C334" t="s">
        <v>3781</v>
      </c>
      <c r="D334">
        <v>1</v>
      </c>
      <c r="E334" t="s">
        <v>3782</v>
      </c>
      <c r="F334" s="9" t="s">
        <v>1635</v>
      </c>
      <c r="G334" s="138" t="s">
        <v>4043</v>
      </c>
      <c r="H334" s="3">
        <f t="shared" ref="H334:H365" si="8">I334/0.16</f>
        <v>100</v>
      </c>
      <c r="I334" s="3">
        <v>16</v>
      </c>
    </row>
    <row r="335" spans="1:11">
      <c r="A335" t="s">
        <v>3531</v>
      </c>
      <c r="B335" s="1">
        <v>41820</v>
      </c>
      <c r="C335" t="s">
        <v>3781</v>
      </c>
      <c r="D335">
        <v>1</v>
      </c>
      <c r="E335" t="s">
        <v>3782</v>
      </c>
      <c r="F335" s="25" t="s">
        <v>1553</v>
      </c>
      <c r="G335" s="27" t="s">
        <v>843</v>
      </c>
      <c r="H335" s="3">
        <f t="shared" si="8"/>
        <v>607.9375</v>
      </c>
      <c r="I335" s="3">
        <v>97.27</v>
      </c>
    </row>
    <row r="336" spans="1:11">
      <c r="A336" t="s">
        <v>3531</v>
      </c>
      <c r="B336" s="1">
        <v>41820</v>
      </c>
      <c r="C336" t="s">
        <v>3781</v>
      </c>
      <c r="D336">
        <v>1</v>
      </c>
      <c r="E336" t="s">
        <v>3782</v>
      </c>
      <c r="F336" s="9" t="s">
        <v>1617</v>
      </c>
      <c r="G336" s="138" t="s">
        <v>4050</v>
      </c>
      <c r="H336" s="3">
        <f t="shared" si="8"/>
        <v>813.0625</v>
      </c>
      <c r="I336" s="3">
        <v>130.09</v>
      </c>
    </row>
    <row r="337" spans="1:11">
      <c r="A337" t="s">
        <v>3531</v>
      </c>
      <c r="B337" s="1">
        <v>41820</v>
      </c>
      <c r="C337" t="s">
        <v>3781</v>
      </c>
      <c r="D337">
        <v>1</v>
      </c>
      <c r="E337" t="s">
        <v>3782</v>
      </c>
      <c r="F337" s="9" t="s">
        <v>925</v>
      </c>
      <c r="G337" s="138" t="s">
        <v>4045</v>
      </c>
      <c r="H337" s="3">
        <f t="shared" si="8"/>
        <v>335.125</v>
      </c>
      <c r="I337" s="3">
        <v>53.62</v>
      </c>
      <c r="J337" s="13">
        <f>2619.94-H331-H332-H333-H334-H335-H336-H337</f>
        <v>2.5000000000545697E-3</v>
      </c>
      <c r="K337" s="13">
        <f>419.19-I331-I332-I333-I334-I335-I336-I337</f>
        <v>0</v>
      </c>
    </row>
    <row r="338" spans="1:11">
      <c r="A338" t="s">
        <v>421</v>
      </c>
      <c r="B338" s="1">
        <v>41820</v>
      </c>
      <c r="C338" t="s">
        <v>3775</v>
      </c>
      <c r="D338">
        <v>1</v>
      </c>
      <c r="E338" t="s">
        <v>3776</v>
      </c>
      <c r="F338" s="25" t="s">
        <v>1553</v>
      </c>
      <c r="G338" s="27" t="s">
        <v>843</v>
      </c>
      <c r="H338" s="3">
        <f t="shared" si="8"/>
        <v>729.375</v>
      </c>
      <c r="I338" s="3">
        <v>116.7</v>
      </c>
      <c r="J338" s="3"/>
      <c r="K338" s="3"/>
    </row>
    <row r="339" spans="1:11">
      <c r="A339" t="s">
        <v>421</v>
      </c>
      <c r="B339" s="1">
        <v>41820</v>
      </c>
      <c r="C339" t="s">
        <v>3775</v>
      </c>
      <c r="D339">
        <v>1</v>
      </c>
      <c r="E339" t="s">
        <v>3776</v>
      </c>
      <c r="F339" s="9" t="s">
        <v>4051</v>
      </c>
      <c r="G339" s="138" t="s">
        <v>4052</v>
      </c>
      <c r="H339" s="3">
        <f t="shared" si="8"/>
        <v>90.5625</v>
      </c>
      <c r="I339" s="3">
        <v>14.49</v>
      </c>
    </row>
    <row r="340" spans="1:11">
      <c r="A340" t="s">
        <v>421</v>
      </c>
      <c r="B340" s="1">
        <v>41820</v>
      </c>
      <c r="C340" t="s">
        <v>3775</v>
      </c>
      <c r="D340">
        <v>1</v>
      </c>
      <c r="E340" t="s">
        <v>3776</v>
      </c>
      <c r="F340" t="s">
        <v>4053</v>
      </c>
      <c r="G340" s="219" t="s">
        <v>4054</v>
      </c>
      <c r="H340" s="3">
        <f t="shared" si="8"/>
        <v>753.8125</v>
      </c>
      <c r="I340" s="3">
        <v>120.61</v>
      </c>
      <c r="J340" s="13">
        <f>1573.75-H338-H339-H340</f>
        <v>0</v>
      </c>
      <c r="K340" s="13">
        <f>251.8-I338-I339-I340</f>
        <v>0</v>
      </c>
    </row>
    <row r="341" spans="1:11">
      <c r="A341" t="s">
        <v>2095</v>
      </c>
      <c r="B341" s="1">
        <v>41820</v>
      </c>
      <c r="C341" t="s">
        <v>3763</v>
      </c>
      <c r="D341">
        <v>1</v>
      </c>
      <c r="E341" t="s">
        <v>3764</v>
      </c>
      <c r="F341" s="203" t="s">
        <v>923</v>
      </c>
      <c r="G341" s="138" t="s">
        <v>2916</v>
      </c>
      <c r="H341" s="3">
        <f t="shared" si="8"/>
        <v>362.9375</v>
      </c>
      <c r="I341" s="3">
        <v>58.07</v>
      </c>
      <c r="J341" s="3"/>
      <c r="K341" s="3"/>
    </row>
    <row r="342" spans="1:11">
      <c r="A342" t="s">
        <v>2095</v>
      </c>
      <c r="B342" s="1">
        <v>41820</v>
      </c>
      <c r="C342" t="s">
        <v>3763</v>
      </c>
      <c r="D342">
        <v>1</v>
      </c>
      <c r="E342" t="s">
        <v>3764</v>
      </c>
      <c r="F342" s="203" t="s">
        <v>3528</v>
      </c>
      <c r="G342" s="219" t="s">
        <v>3533</v>
      </c>
      <c r="H342" s="3">
        <f t="shared" si="8"/>
        <v>84.5</v>
      </c>
      <c r="I342" s="3">
        <v>13.52</v>
      </c>
    </row>
    <row r="343" spans="1:11">
      <c r="A343" t="s">
        <v>2095</v>
      </c>
      <c r="B343" s="1">
        <v>41820</v>
      </c>
      <c r="C343" t="s">
        <v>3763</v>
      </c>
      <c r="D343">
        <v>1</v>
      </c>
      <c r="E343" t="s">
        <v>3764</v>
      </c>
      <c r="F343" s="232" t="s">
        <v>1553</v>
      </c>
      <c r="G343" s="27" t="s">
        <v>843</v>
      </c>
      <c r="H343" s="3">
        <f t="shared" si="8"/>
        <v>430.1875</v>
      </c>
      <c r="I343" s="3">
        <v>68.83</v>
      </c>
    </row>
    <row r="344" spans="1:11">
      <c r="A344" t="s">
        <v>2095</v>
      </c>
      <c r="B344" s="1">
        <v>41820</v>
      </c>
      <c r="C344" t="s">
        <v>3763</v>
      </c>
      <c r="D344">
        <v>1</v>
      </c>
      <c r="E344" t="s">
        <v>3764</v>
      </c>
      <c r="F344" s="203" t="s">
        <v>911</v>
      </c>
      <c r="G344" s="138" t="s">
        <v>4029</v>
      </c>
      <c r="H344" s="3">
        <f t="shared" si="8"/>
        <v>377</v>
      </c>
      <c r="I344" s="3">
        <v>60.32</v>
      </c>
      <c r="J344" s="13">
        <f>1254.63-H341-H342-H343-H344</f>
        <v>5.0000000001091394E-3</v>
      </c>
      <c r="K344" s="13">
        <f>200.74-I341-I342-I343-I344</f>
        <v>0</v>
      </c>
    </row>
    <row r="345" spans="1:11">
      <c r="A345" t="s">
        <v>3760</v>
      </c>
      <c r="B345" s="1">
        <v>41820</v>
      </c>
      <c r="C345" t="s">
        <v>3761</v>
      </c>
      <c r="D345">
        <v>1</v>
      </c>
      <c r="E345" t="s">
        <v>3762</v>
      </c>
      <c r="F345" s="203" t="s">
        <v>903</v>
      </c>
      <c r="G345" s="138" t="s">
        <v>3510</v>
      </c>
      <c r="H345" s="3">
        <f t="shared" si="8"/>
        <v>94.8125</v>
      </c>
      <c r="I345" s="3">
        <v>15.17</v>
      </c>
      <c r="J345" s="3"/>
      <c r="K345" s="3"/>
    </row>
    <row r="346" spans="1:11">
      <c r="A346" t="s">
        <v>3760</v>
      </c>
      <c r="B346" s="1">
        <v>41820</v>
      </c>
      <c r="C346" t="s">
        <v>3761</v>
      </c>
      <c r="D346">
        <v>1</v>
      </c>
      <c r="E346" t="s">
        <v>3762</v>
      </c>
      <c r="F346" s="203" t="s">
        <v>923</v>
      </c>
      <c r="G346" s="138" t="s">
        <v>2916</v>
      </c>
      <c r="H346" s="3">
        <f t="shared" si="8"/>
        <v>300.875</v>
      </c>
      <c r="I346" s="3">
        <v>48.14</v>
      </c>
    </row>
    <row r="347" spans="1:11">
      <c r="A347" t="s">
        <v>3760</v>
      </c>
      <c r="B347" s="1">
        <v>41820</v>
      </c>
      <c r="C347" t="s">
        <v>3761</v>
      </c>
      <c r="D347">
        <v>1</v>
      </c>
      <c r="E347" t="s">
        <v>3762</v>
      </c>
      <c r="F347" s="232" t="s">
        <v>1553</v>
      </c>
      <c r="G347" s="27" t="s">
        <v>843</v>
      </c>
      <c r="H347" s="3">
        <f t="shared" si="8"/>
        <v>176.8125</v>
      </c>
      <c r="I347" s="3">
        <v>28.29</v>
      </c>
    </row>
    <row r="348" spans="1:11">
      <c r="A348" t="s">
        <v>3760</v>
      </c>
      <c r="B348" s="1">
        <v>41820</v>
      </c>
      <c r="C348" t="s">
        <v>3761</v>
      </c>
      <c r="D348">
        <v>1</v>
      </c>
      <c r="E348" t="s">
        <v>3762</v>
      </c>
      <c r="F348" s="203" t="s">
        <v>905</v>
      </c>
      <c r="G348" s="138" t="s">
        <v>906</v>
      </c>
      <c r="H348" s="3">
        <f t="shared" si="8"/>
        <v>376.9375</v>
      </c>
      <c r="I348" s="3">
        <v>60.31</v>
      </c>
      <c r="J348" s="13">
        <f>949.44-H345-H346-H347-H348</f>
        <v>2.5000000000545697E-3</v>
      </c>
      <c r="K348" s="13">
        <f>151.91-I345-I346-I347-I348</f>
        <v>0</v>
      </c>
    </row>
    <row r="349" spans="1:11">
      <c r="A349" t="s">
        <v>3797</v>
      </c>
      <c r="B349" s="1">
        <v>41820</v>
      </c>
      <c r="C349" t="s">
        <v>3798</v>
      </c>
      <c r="D349">
        <v>1</v>
      </c>
      <c r="E349" t="s">
        <v>3799</v>
      </c>
      <c r="F349" s="9" t="s">
        <v>2365</v>
      </c>
      <c r="G349" s="138" t="s">
        <v>4055</v>
      </c>
      <c r="H349" s="3">
        <f t="shared" si="8"/>
        <v>83.75</v>
      </c>
      <c r="I349" s="3">
        <v>13.4</v>
      </c>
      <c r="J349" s="3"/>
      <c r="K349" s="3"/>
    </row>
    <row r="350" spans="1:11">
      <c r="A350" t="s">
        <v>3797</v>
      </c>
      <c r="B350" s="1">
        <v>41820</v>
      </c>
      <c r="C350" t="s">
        <v>3798</v>
      </c>
      <c r="D350">
        <v>1</v>
      </c>
      <c r="E350" t="s">
        <v>3799</v>
      </c>
      <c r="F350" s="25" t="s">
        <v>1553</v>
      </c>
      <c r="G350" s="27" t="s">
        <v>843</v>
      </c>
      <c r="H350" s="3">
        <f t="shared" si="8"/>
        <v>56.0625</v>
      </c>
      <c r="I350" s="3">
        <v>8.9700000000000006</v>
      </c>
      <c r="J350" s="13">
        <f>139.81-H349-H350</f>
        <v>-2.4999999999977263E-3</v>
      </c>
      <c r="K350" s="13">
        <f>22.37-I349-I350</f>
        <v>0</v>
      </c>
    </row>
    <row r="351" spans="1:11">
      <c r="A351" t="s">
        <v>3246</v>
      </c>
      <c r="B351" s="1">
        <v>41820</v>
      </c>
      <c r="C351" t="s">
        <v>3750</v>
      </c>
      <c r="D351">
        <v>1</v>
      </c>
      <c r="E351" t="s">
        <v>3751</v>
      </c>
      <c r="F351" s="203" t="s">
        <v>914</v>
      </c>
      <c r="G351" s="138" t="s">
        <v>4056</v>
      </c>
      <c r="H351" s="3">
        <f t="shared" si="8"/>
        <v>385.125</v>
      </c>
      <c r="I351" s="3">
        <v>61.62</v>
      </c>
      <c r="J351" s="3"/>
      <c r="K351" s="3"/>
    </row>
    <row r="352" spans="1:11">
      <c r="A352" t="s">
        <v>3246</v>
      </c>
      <c r="B352" s="1">
        <v>41820</v>
      </c>
      <c r="C352" t="s">
        <v>3750</v>
      </c>
      <c r="D352">
        <v>1</v>
      </c>
      <c r="E352" t="s">
        <v>3751</v>
      </c>
      <c r="F352" s="203" t="s">
        <v>923</v>
      </c>
      <c r="G352" s="220" t="s">
        <v>2916</v>
      </c>
      <c r="H352" s="3">
        <f t="shared" si="8"/>
        <v>362.9375</v>
      </c>
      <c r="I352" s="3">
        <v>58.07</v>
      </c>
    </row>
    <row r="353" spans="1:11">
      <c r="A353" t="s">
        <v>3246</v>
      </c>
      <c r="B353" s="1">
        <v>41820</v>
      </c>
      <c r="C353" t="s">
        <v>3750</v>
      </c>
      <c r="D353">
        <v>1</v>
      </c>
      <c r="E353" t="s">
        <v>3751</v>
      </c>
      <c r="F353" s="203" t="s">
        <v>946</v>
      </c>
      <c r="G353" s="220" t="s">
        <v>4057</v>
      </c>
      <c r="H353" s="3">
        <f t="shared" si="8"/>
        <v>81.0625</v>
      </c>
      <c r="I353" s="3">
        <v>12.97</v>
      </c>
    </row>
    <row r="354" spans="1:11">
      <c r="A354" t="s">
        <v>3246</v>
      </c>
      <c r="B354" s="1">
        <v>41820</v>
      </c>
      <c r="C354" t="s">
        <v>3750</v>
      </c>
      <c r="D354">
        <v>1</v>
      </c>
      <c r="E354" t="s">
        <v>3751</v>
      </c>
      <c r="F354" s="232" t="s">
        <v>1553</v>
      </c>
      <c r="G354" s="27" t="s">
        <v>843</v>
      </c>
      <c r="H354" s="3">
        <f t="shared" si="8"/>
        <v>430.1875</v>
      </c>
      <c r="I354" s="3">
        <v>68.83</v>
      </c>
      <c r="J354" s="13">
        <f>1259.31-H351-H352-H353-H354</f>
        <v>-2.5000000000545697E-3</v>
      </c>
      <c r="K354" s="13">
        <f>201.49-I351-I352-I353-I354</f>
        <v>0</v>
      </c>
    </row>
    <row r="355" spans="1:11">
      <c r="A355" t="s">
        <v>3806</v>
      </c>
      <c r="B355" s="1">
        <v>41820</v>
      </c>
      <c r="C355" t="s">
        <v>3807</v>
      </c>
      <c r="D355">
        <v>1</v>
      </c>
      <c r="E355" t="s">
        <v>3808</v>
      </c>
      <c r="F355" s="9" t="s">
        <v>923</v>
      </c>
      <c r="G355" s="138" t="s">
        <v>2916</v>
      </c>
      <c r="H355" s="3">
        <f t="shared" si="8"/>
        <v>54.312499999999993</v>
      </c>
      <c r="I355" s="3">
        <v>8.69</v>
      </c>
      <c r="J355" s="3"/>
      <c r="K355" s="3"/>
    </row>
    <row r="356" spans="1:11">
      <c r="A356" t="s">
        <v>3806</v>
      </c>
      <c r="B356" s="1">
        <v>41820</v>
      </c>
      <c r="C356" t="s">
        <v>3807</v>
      </c>
      <c r="D356">
        <v>1</v>
      </c>
      <c r="E356" t="s">
        <v>3808</v>
      </c>
      <c r="F356" s="9" t="s">
        <v>4058</v>
      </c>
      <c r="G356" s="138" t="s">
        <v>4059</v>
      </c>
      <c r="H356" s="3">
        <f t="shared" si="8"/>
        <v>251.3125</v>
      </c>
      <c r="I356" s="3">
        <v>40.21</v>
      </c>
    </row>
    <row r="357" spans="1:11">
      <c r="A357" t="s">
        <v>3806</v>
      </c>
      <c r="B357" s="1">
        <v>41820</v>
      </c>
      <c r="C357" t="s">
        <v>3807</v>
      </c>
      <c r="D357">
        <v>1</v>
      </c>
      <c r="E357" t="s">
        <v>3808</v>
      </c>
      <c r="F357" s="25" t="s">
        <v>1553</v>
      </c>
      <c r="G357" s="27" t="s">
        <v>843</v>
      </c>
      <c r="H357" s="3">
        <f t="shared" si="8"/>
        <v>114.6875</v>
      </c>
      <c r="I357" s="3">
        <v>18.350000000000001</v>
      </c>
    </row>
    <row r="358" spans="1:11">
      <c r="A358" t="s">
        <v>3806</v>
      </c>
      <c r="B358" s="1">
        <v>41820</v>
      </c>
      <c r="C358" t="s">
        <v>3807</v>
      </c>
      <c r="D358">
        <v>1</v>
      </c>
      <c r="E358" t="s">
        <v>3808</v>
      </c>
      <c r="F358" s="9" t="s">
        <v>930</v>
      </c>
      <c r="G358" s="138" t="s">
        <v>4060</v>
      </c>
      <c r="H358" s="3">
        <f t="shared" si="8"/>
        <v>87.9375</v>
      </c>
      <c r="I358" s="3">
        <v>14.07</v>
      </c>
      <c r="J358" s="13">
        <f>508.25-H355-H356-H357-H358</f>
        <v>0</v>
      </c>
      <c r="K358" s="13">
        <f>81.32-I355-I356-I357-I358</f>
        <v>0</v>
      </c>
    </row>
    <row r="359" spans="1:11">
      <c r="A359" t="s">
        <v>3248</v>
      </c>
      <c r="B359" s="1">
        <v>41820</v>
      </c>
      <c r="C359" t="s">
        <v>3754</v>
      </c>
      <c r="D359">
        <v>1</v>
      </c>
      <c r="E359" t="s">
        <v>3755</v>
      </c>
      <c r="F359" s="232" t="s">
        <v>763</v>
      </c>
      <c r="G359" s="27" t="s">
        <v>843</v>
      </c>
      <c r="H359" s="3">
        <f t="shared" si="8"/>
        <v>645.6875</v>
      </c>
      <c r="I359" s="3">
        <v>103.31</v>
      </c>
      <c r="J359" s="3"/>
      <c r="K359" s="3"/>
    </row>
    <row r="360" spans="1:11">
      <c r="A360" t="s">
        <v>3248</v>
      </c>
      <c r="B360" s="1">
        <v>41820</v>
      </c>
      <c r="C360" t="s">
        <v>3754</v>
      </c>
      <c r="D360">
        <v>1</v>
      </c>
      <c r="E360" t="s">
        <v>3755</v>
      </c>
      <c r="F360" s="203" t="s">
        <v>4061</v>
      </c>
      <c r="G360" s="138" t="s">
        <v>4062</v>
      </c>
      <c r="H360" s="3">
        <f t="shared" si="8"/>
        <v>570.5</v>
      </c>
      <c r="I360" s="3">
        <v>91.28</v>
      </c>
    </row>
    <row r="361" spans="1:11">
      <c r="A361" t="s">
        <v>3248</v>
      </c>
      <c r="B361" s="1">
        <v>41820</v>
      </c>
      <c r="C361" t="s">
        <v>3754</v>
      </c>
      <c r="D361">
        <v>1</v>
      </c>
      <c r="E361" t="s">
        <v>3755</v>
      </c>
      <c r="F361" s="203" t="s">
        <v>954</v>
      </c>
      <c r="G361" s="138" t="s">
        <v>4063</v>
      </c>
      <c r="H361" s="3">
        <f t="shared" si="8"/>
        <v>105.18749999999999</v>
      </c>
      <c r="I361" s="3">
        <v>16.829999999999998</v>
      </c>
    </row>
    <row r="362" spans="1:11">
      <c r="A362" t="s">
        <v>3248</v>
      </c>
      <c r="B362" s="1">
        <v>41820</v>
      </c>
      <c r="C362" t="s">
        <v>3754</v>
      </c>
      <c r="D362">
        <v>1</v>
      </c>
      <c r="E362" t="s">
        <v>3755</v>
      </c>
      <c r="F362" s="203" t="s">
        <v>925</v>
      </c>
      <c r="G362" s="138" t="s">
        <v>4045</v>
      </c>
      <c r="H362" s="3">
        <f t="shared" si="8"/>
        <v>418.87499999999994</v>
      </c>
      <c r="I362" s="3">
        <v>67.02</v>
      </c>
      <c r="J362" s="13">
        <f>1740.25-H359-H360-H361-H362</f>
        <v>0</v>
      </c>
      <c r="K362" s="13">
        <f>278.44-I359-I360-I361-I362</f>
        <v>0</v>
      </c>
    </row>
    <row r="363" spans="1:11">
      <c r="A363" t="s">
        <v>3247</v>
      </c>
      <c r="B363" s="1">
        <v>41820</v>
      </c>
      <c r="C363" t="s">
        <v>3752</v>
      </c>
      <c r="D363">
        <v>1</v>
      </c>
      <c r="E363" t="s">
        <v>3753</v>
      </c>
      <c r="F363" s="203" t="s">
        <v>903</v>
      </c>
      <c r="G363" s="138" t="s">
        <v>3510</v>
      </c>
      <c r="H363" s="3">
        <f t="shared" si="8"/>
        <v>63.812500000000007</v>
      </c>
      <c r="I363" s="3">
        <v>10.210000000000001</v>
      </c>
      <c r="J363" s="3"/>
      <c r="K363" s="3"/>
    </row>
    <row r="364" spans="1:11">
      <c r="A364" t="s">
        <v>3247</v>
      </c>
      <c r="B364" s="1">
        <v>41820</v>
      </c>
      <c r="C364" t="s">
        <v>3752</v>
      </c>
      <c r="D364">
        <v>1</v>
      </c>
      <c r="E364" t="s">
        <v>3753</v>
      </c>
      <c r="F364" s="203" t="s">
        <v>923</v>
      </c>
      <c r="G364" s="138" t="s">
        <v>2916</v>
      </c>
      <c r="H364" s="3">
        <f t="shared" si="8"/>
        <v>200</v>
      </c>
      <c r="I364" s="3">
        <v>32</v>
      </c>
    </row>
    <row r="365" spans="1:11">
      <c r="A365" t="s">
        <v>3247</v>
      </c>
      <c r="B365" s="1">
        <v>41820</v>
      </c>
      <c r="C365" t="s">
        <v>3752</v>
      </c>
      <c r="D365">
        <v>1</v>
      </c>
      <c r="E365" t="s">
        <v>3753</v>
      </c>
      <c r="F365" s="232" t="s">
        <v>1553</v>
      </c>
      <c r="G365" s="27" t="s">
        <v>843</v>
      </c>
      <c r="H365" s="3">
        <f t="shared" si="8"/>
        <v>245.75</v>
      </c>
      <c r="I365" s="3">
        <v>39.32</v>
      </c>
      <c r="J365" s="13"/>
      <c r="K365" s="13"/>
    </row>
    <row r="366" spans="1:11">
      <c r="A366" t="s">
        <v>3247</v>
      </c>
      <c r="B366" s="1">
        <v>41820</v>
      </c>
      <c r="C366" t="s">
        <v>3752</v>
      </c>
      <c r="D366">
        <v>1</v>
      </c>
      <c r="E366" t="s">
        <v>3753</v>
      </c>
      <c r="F366" s="203" t="s">
        <v>4064</v>
      </c>
      <c r="G366" s="138" t="s">
        <v>4065</v>
      </c>
      <c r="H366" s="3">
        <f t="shared" ref="H366:H388" si="9">I366/0.16</f>
        <v>336.1875</v>
      </c>
      <c r="I366" s="3">
        <v>53.79</v>
      </c>
      <c r="J366" s="13">
        <f>845.75-H363-H364-H365-H366</f>
        <v>0</v>
      </c>
      <c r="K366" s="13">
        <f>135.32-I363-I364-I365-I366</f>
        <v>0</v>
      </c>
    </row>
    <row r="367" spans="1:11">
      <c r="A367" t="s">
        <v>3800</v>
      </c>
      <c r="B367" s="1">
        <v>41820</v>
      </c>
      <c r="C367" t="s">
        <v>3801</v>
      </c>
      <c r="D367">
        <v>1</v>
      </c>
      <c r="E367" t="s">
        <v>3802</v>
      </c>
      <c r="F367" t="s">
        <v>4066</v>
      </c>
      <c r="G367" s="219" t="s">
        <v>4067</v>
      </c>
      <c r="H367" s="3">
        <f t="shared" si="9"/>
        <v>418.87499999999994</v>
      </c>
      <c r="I367" s="3">
        <v>67.02</v>
      </c>
      <c r="J367" s="3"/>
      <c r="K367" s="3"/>
    </row>
    <row r="368" spans="1:11">
      <c r="A368" t="s">
        <v>3800</v>
      </c>
      <c r="B368" s="1">
        <v>41820</v>
      </c>
      <c r="C368" t="s">
        <v>3801</v>
      </c>
      <c r="D368">
        <v>1</v>
      </c>
      <c r="E368" t="s">
        <v>3802</v>
      </c>
      <c r="F368" s="25" t="s">
        <v>1553</v>
      </c>
      <c r="G368" s="27" t="s">
        <v>843</v>
      </c>
      <c r="H368" s="3">
        <f t="shared" si="9"/>
        <v>701.75</v>
      </c>
      <c r="I368" s="3">
        <v>112.28</v>
      </c>
    </row>
    <row r="369" spans="1:11">
      <c r="A369" t="s">
        <v>3800</v>
      </c>
      <c r="B369" s="1">
        <v>41820</v>
      </c>
      <c r="C369" t="s">
        <v>3801</v>
      </c>
      <c r="D369">
        <v>1</v>
      </c>
      <c r="E369" t="s">
        <v>3802</v>
      </c>
      <c r="F369" s="9" t="s">
        <v>954</v>
      </c>
      <c r="G369" s="138" t="s">
        <v>4063</v>
      </c>
      <c r="H369" s="3">
        <f t="shared" si="9"/>
        <v>90.5</v>
      </c>
      <c r="I369" s="3">
        <v>14.48</v>
      </c>
      <c r="J369" s="13">
        <f>1211.13-H367-H368-H369</f>
        <v>5.0000000001091394E-3</v>
      </c>
      <c r="K369" s="13">
        <f>193.78-I367-I368-I369</f>
        <v>0</v>
      </c>
    </row>
    <row r="370" spans="1:11">
      <c r="A370" t="s">
        <v>3803</v>
      </c>
      <c r="B370" s="1">
        <v>41820</v>
      </c>
      <c r="C370" t="s">
        <v>3804</v>
      </c>
      <c r="D370">
        <v>1</v>
      </c>
      <c r="E370" t="s">
        <v>3805</v>
      </c>
      <c r="F370" s="9" t="s">
        <v>923</v>
      </c>
      <c r="G370" s="138" t="s">
        <v>2916</v>
      </c>
      <c r="H370" s="3">
        <f t="shared" si="9"/>
        <v>200</v>
      </c>
      <c r="I370" s="3">
        <v>32</v>
      </c>
      <c r="J370" s="3"/>
      <c r="K370" s="3"/>
    </row>
    <row r="371" spans="1:11">
      <c r="A371" t="s">
        <v>3803</v>
      </c>
      <c r="B371" s="1">
        <v>41820</v>
      </c>
      <c r="C371" t="s">
        <v>3804</v>
      </c>
      <c r="D371">
        <v>1</v>
      </c>
      <c r="E371" t="s">
        <v>3805</v>
      </c>
      <c r="F371" t="s">
        <v>4068</v>
      </c>
      <c r="G371" s="219" t="s">
        <v>4069</v>
      </c>
      <c r="H371" s="3">
        <f t="shared" si="9"/>
        <v>129.3125</v>
      </c>
      <c r="I371" s="3">
        <v>20.69</v>
      </c>
      <c r="J371" s="13">
        <f>329.31-H370-H371</f>
        <v>-2.4999999999977263E-3</v>
      </c>
      <c r="K371" s="13">
        <f>52.69-I370-I371</f>
        <v>0</v>
      </c>
    </row>
    <row r="372" spans="1:11">
      <c r="A372" t="s">
        <v>3809</v>
      </c>
      <c r="B372" s="1">
        <v>41820</v>
      </c>
      <c r="C372" t="s">
        <v>3810</v>
      </c>
      <c r="D372">
        <v>1</v>
      </c>
      <c r="E372" t="s">
        <v>3811</v>
      </c>
      <c r="F372" s="9" t="s">
        <v>1629</v>
      </c>
      <c r="G372" s="138" t="s">
        <v>4042</v>
      </c>
      <c r="H372" s="3">
        <f t="shared" si="9"/>
        <v>331.0625</v>
      </c>
      <c r="I372" s="3">
        <v>52.97</v>
      </c>
      <c r="J372" s="3"/>
      <c r="K372" s="3"/>
    </row>
    <row r="373" spans="1:11">
      <c r="A373" t="s">
        <v>3809</v>
      </c>
      <c r="B373" s="1">
        <v>41820</v>
      </c>
      <c r="C373" t="s">
        <v>3810</v>
      </c>
      <c r="D373">
        <v>1</v>
      </c>
      <c r="E373" t="s">
        <v>3811</v>
      </c>
      <c r="F373" s="9" t="s">
        <v>1635</v>
      </c>
      <c r="G373" s="138" t="s">
        <v>4043</v>
      </c>
      <c r="H373" s="3">
        <f t="shared" si="9"/>
        <v>94.8125</v>
      </c>
      <c r="I373" s="3">
        <v>15.17</v>
      </c>
      <c r="J373" s="3"/>
      <c r="K373" s="3"/>
    </row>
    <row r="374" spans="1:11">
      <c r="A374" t="s">
        <v>3809</v>
      </c>
      <c r="B374" s="1">
        <v>41820</v>
      </c>
      <c r="C374" t="s">
        <v>3810</v>
      </c>
      <c r="D374">
        <v>1</v>
      </c>
      <c r="E374" t="s">
        <v>3811</v>
      </c>
      <c r="F374" s="9" t="s">
        <v>4070</v>
      </c>
      <c r="G374" s="138" t="s">
        <v>4071</v>
      </c>
      <c r="H374" s="3">
        <f t="shared" si="9"/>
        <v>335.125</v>
      </c>
      <c r="I374" s="3">
        <v>53.62</v>
      </c>
      <c r="J374" s="3"/>
      <c r="K374" s="3"/>
    </row>
    <row r="375" spans="1:11">
      <c r="A375" t="s">
        <v>3809</v>
      </c>
      <c r="B375" s="1">
        <v>41820</v>
      </c>
      <c r="C375" t="s">
        <v>3810</v>
      </c>
      <c r="D375">
        <v>1</v>
      </c>
      <c r="E375" t="s">
        <v>3811</v>
      </c>
      <c r="F375" s="25" t="s">
        <v>1553</v>
      </c>
      <c r="G375" s="27" t="s">
        <v>843</v>
      </c>
      <c r="H375" s="3">
        <f t="shared" si="9"/>
        <v>559.5625</v>
      </c>
      <c r="I375" s="3">
        <v>89.53</v>
      </c>
      <c r="J375" s="3">
        <f>1320.56-H372-H373-H374-H375</f>
        <v>-2.5000000000545697E-3</v>
      </c>
      <c r="K375" s="3">
        <f>211.29-I372-I373-I374-I375</f>
        <v>0</v>
      </c>
    </row>
    <row r="376" spans="1:11">
      <c r="A376" t="s">
        <v>354</v>
      </c>
      <c r="B376" s="1">
        <v>41820</v>
      </c>
      <c r="C376" t="s">
        <v>3730</v>
      </c>
      <c r="D376">
        <v>1</v>
      </c>
      <c r="E376" t="s">
        <v>3731</v>
      </c>
      <c r="F376" s="9" t="s">
        <v>901</v>
      </c>
      <c r="G376" s="138" t="s">
        <v>4026</v>
      </c>
      <c r="H376" s="3">
        <f t="shared" si="9"/>
        <v>110.31249999999999</v>
      </c>
      <c r="I376" s="3">
        <v>17.649999999999999</v>
      </c>
      <c r="J376" s="3"/>
      <c r="K376" s="3"/>
    </row>
    <row r="377" spans="1:11">
      <c r="A377" t="s">
        <v>354</v>
      </c>
      <c r="B377" s="1">
        <v>41820</v>
      </c>
      <c r="C377" t="s">
        <v>3730</v>
      </c>
      <c r="D377">
        <v>1</v>
      </c>
      <c r="E377" t="s">
        <v>3731</v>
      </c>
      <c r="F377" s="25" t="s">
        <v>1553</v>
      </c>
      <c r="G377" s="27" t="s">
        <v>4072</v>
      </c>
      <c r="H377" s="3">
        <f t="shared" si="9"/>
        <v>656.9375</v>
      </c>
      <c r="I377" s="3">
        <v>105.11</v>
      </c>
      <c r="J377" s="3"/>
      <c r="K377" s="3"/>
    </row>
    <row r="378" spans="1:11">
      <c r="A378" t="s">
        <v>354</v>
      </c>
      <c r="B378" s="1">
        <v>41820</v>
      </c>
      <c r="C378" t="s">
        <v>3730</v>
      </c>
      <c r="D378">
        <v>1</v>
      </c>
      <c r="E378" t="s">
        <v>3731</v>
      </c>
      <c r="F378" s="9" t="s">
        <v>2349</v>
      </c>
      <c r="G378" s="138" t="s">
        <v>4040</v>
      </c>
      <c r="H378" s="3">
        <f t="shared" si="9"/>
        <v>418.87499999999994</v>
      </c>
      <c r="I378" s="3">
        <v>67.02</v>
      </c>
      <c r="J378" s="3"/>
      <c r="K378" s="3"/>
    </row>
    <row r="379" spans="1:11">
      <c r="A379" t="s">
        <v>354</v>
      </c>
      <c r="B379" s="1">
        <v>41820</v>
      </c>
      <c r="C379" t="s">
        <v>3730</v>
      </c>
      <c r="D379">
        <v>1</v>
      </c>
      <c r="E379" t="s">
        <v>3731</v>
      </c>
      <c r="F379" s="9" t="s">
        <v>1605</v>
      </c>
      <c r="G379" s="138" t="s">
        <v>4041</v>
      </c>
      <c r="H379" s="3">
        <f t="shared" si="9"/>
        <v>659.5</v>
      </c>
      <c r="I379" s="3">
        <v>105.52</v>
      </c>
      <c r="J379" s="3"/>
      <c r="K379" s="3"/>
    </row>
    <row r="380" spans="1:11">
      <c r="A380" t="s">
        <v>354</v>
      </c>
      <c r="B380" s="1">
        <v>41820</v>
      </c>
      <c r="C380" t="s">
        <v>3730</v>
      </c>
      <c r="D380">
        <v>1</v>
      </c>
      <c r="E380" t="s">
        <v>3731</v>
      </c>
      <c r="F380" t="s">
        <v>2907</v>
      </c>
      <c r="G380" s="219" t="s">
        <v>4073</v>
      </c>
      <c r="H380" s="3">
        <f t="shared" si="9"/>
        <v>706.0625</v>
      </c>
      <c r="I380" s="3">
        <v>112.97</v>
      </c>
      <c r="J380" s="3"/>
      <c r="K380" s="3"/>
    </row>
    <row r="381" spans="1:11">
      <c r="A381" t="s">
        <v>354</v>
      </c>
      <c r="B381" s="1">
        <v>41820</v>
      </c>
      <c r="C381" t="s">
        <v>3730</v>
      </c>
      <c r="D381">
        <v>1</v>
      </c>
      <c r="E381" t="s">
        <v>3731</v>
      </c>
      <c r="F381" t="s">
        <v>2909</v>
      </c>
      <c r="G381" s="219" t="s">
        <v>4074</v>
      </c>
      <c r="H381" s="3">
        <f t="shared" si="9"/>
        <v>727.5</v>
      </c>
      <c r="I381" s="3">
        <v>116.4</v>
      </c>
      <c r="J381" s="3">
        <f>3279.19-H376-H377-H378-H379-H380-H381</f>
        <v>2.5000000000545697E-3</v>
      </c>
      <c r="K381" s="3">
        <f>524.67-I376-I377-I378-I379-I380-I381</f>
        <v>0</v>
      </c>
    </row>
    <row r="382" spans="1:11">
      <c r="A382" t="s">
        <v>3794</v>
      </c>
      <c r="B382" s="1">
        <v>41820</v>
      </c>
      <c r="C382" t="s">
        <v>3795</v>
      </c>
      <c r="D382">
        <v>1</v>
      </c>
      <c r="E382" t="s">
        <v>3796</v>
      </c>
      <c r="F382" s="9" t="s">
        <v>923</v>
      </c>
      <c r="G382" s="138" t="s">
        <v>2916</v>
      </c>
      <c r="H382" s="3">
        <f t="shared" si="9"/>
        <v>225.625</v>
      </c>
      <c r="I382" s="3">
        <v>36.1</v>
      </c>
      <c r="J382" s="3"/>
      <c r="K382" s="3"/>
    </row>
    <row r="383" spans="1:11">
      <c r="A383" t="s">
        <v>3794</v>
      </c>
      <c r="B383" s="1">
        <v>41820</v>
      </c>
      <c r="C383" t="s">
        <v>3795</v>
      </c>
      <c r="D383">
        <v>1</v>
      </c>
      <c r="E383" t="s">
        <v>3796</v>
      </c>
      <c r="F383" s="25" t="s">
        <v>763</v>
      </c>
      <c r="G383" s="27" t="s">
        <v>843</v>
      </c>
      <c r="H383" s="3">
        <f t="shared" si="9"/>
        <v>176.8125</v>
      </c>
      <c r="I383" s="3">
        <v>28.29</v>
      </c>
    </row>
    <row r="384" spans="1:11">
      <c r="A384" t="s">
        <v>3794</v>
      </c>
      <c r="B384" s="1">
        <v>41820</v>
      </c>
      <c r="C384" t="s">
        <v>3795</v>
      </c>
      <c r="D384">
        <v>1</v>
      </c>
      <c r="E384" t="s">
        <v>3796</v>
      </c>
      <c r="F384" t="s">
        <v>4075</v>
      </c>
      <c r="G384" s="219" t="s">
        <v>4076</v>
      </c>
      <c r="H384" s="3">
        <f t="shared" si="9"/>
        <v>215.49999999999997</v>
      </c>
      <c r="I384" s="3">
        <v>34.479999999999997</v>
      </c>
      <c r="J384" s="13">
        <f>617.94-H382-H383-H384</f>
        <v>2.5000000000829914E-3</v>
      </c>
      <c r="K384" s="13">
        <f>98.87-I382-I383-I384</f>
        <v>0</v>
      </c>
    </row>
    <row r="385" spans="1:11">
      <c r="A385" t="s">
        <v>2059</v>
      </c>
      <c r="B385" s="1">
        <v>41820</v>
      </c>
      <c r="C385" t="s">
        <v>3746</v>
      </c>
      <c r="D385">
        <v>1</v>
      </c>
      <c r="E385" t="s">
        <v>3747</v>
      </c>
      <c r="F385" s="203" t="s">
        <v>901</v>
      </c>
      <c r="G385" s="220" t="s">
        <v>4026</v>
      </c>
      <c r="H385" s="3">
        <f t="shared" si="9"/>
        <v>79.3125</v>
      </c>
      <c r="I385" s="3">
        <v>12.69</v>
      </c>
      <c r="J385" s="3"/>
      <c r="K385" s="3"/>
    </row>
    <row r="386" spans="1:11">
      <c r="A386" t="s">
        <v>2059</v>
      </c>
      <c r="B386" s="1">
        <v>41820</v>
      </c>
      <c r="C386" t="s">
        <v>3746</v>
      </c>
      <c r="D386">
        <v>1</v>
      </c>
      <c r="E386" t="s">
        <v>3747</v>
      </c>
      <c r="F386" s="203" t="s">
        <v>923</v>
      </c>
      <c r="G386" s="220" t="s">
        <v>2916</v>
      </c>
      <c r="H386" s="3">
        <f t="shared" si="9"/>
        <v>237.0625</v>
      </c>
      <c r="I386" s="3">
        <v>37.93</v>
      </c>
    </row>
    <row r="387" spans="1:11">
      <c r="A387" t="s">
        <v>2059</v>
      </c>
      <c r="B387" s="1">
        <v>41820</v>
      </c>
      <c r="C387" t="s">
        <v>3746</v>
      </c>
      <c r="D387">
        <v>1</v>
      </c>
      <c r="E387" t="s">
        <v>3747</v>
      </c>
      <c r="F387" s="232" t="s">
        <v>1553</v>
      </c>
      <c r="G387" s="224" t="s">
        <v>4077</v>
      </c>
      <c r="H387" s="3">
        <f t="shared" si="9"/>
        <v>176.8125</v>
      </c>
      <c r="I387" s="3">
        <v>28.29</v>
      </c>
    </row>
    <row r="388" spans="1:11">
      <c r="A388" t="s">
        <v>2059</v>
      </c>
      <c r="B388" s="1">
        <v>41820</v>
      </c>
      <c r="C388" t="s">
        <v>3746</v>
      </c>
      <c r="D388">
        <v>1</v>
      </c>
      <c r="E388" t="s">
        <v>3747</v>
      </c>
      <c r="F388" s="203" t="s">
        <v>905</v>
      </c>
      <c r="G388" s="220" t="s">
        <v>906</v>
      </c>
      <c r="H388" s="3">
        <f t="shared" si="9"/>
        <v>335.0625</v>
      </c>
      <c r="I388" s="3">
        <v>53.61</v>
      </c>
      <c r="J388" s="13">
        <f>828.25-H385-H386-H387-H388</f>
        <v>0</v>
      </c>
      <c r="K388" s="13">
        <f>132.52-I385-I386-I387-I388</f>
        <v>0</v>
      </c>
    </row>
    <row r="389" spans="1:11">
      <c r="A389" t="s">
        <v>1436</v>
      </c>
      <c r="B389" s="1">
        <v>41815</v>
      </c>
      <c r="C389" t="s">
        <v>3911</v>
      </c>
      <c r="D389">
        <v>2</v>
      </c>
      <c r="E389" t="s">
        <v>1493</v>
      </c>
      <c r="F389" t="s">
        <v>1663</v>
      </c>
      <c r="G389" s="219" t="s">
        <v>4078</v>
      </c>
      <c r="H389" s="3">
        <f t="shared" ref="H389:H392" si="10">+I389/0.16</f>
        <v>2669.25</v>
      </c>
      <c r="I389" s="3">
        <v>427.08</v>
      </c>
    </row>
    <row r="390" spans="1:11">
      <c r="A390" t="s">
        <v>1438</v>
      </c>
      <c r="B390" s="1">
        <v>41815</v>
      </c>
      <c r="C390" t="s">
        <v>3912</v>
      </c>
      <c r="D390">
        <v>1</v>
      </c>
      <c r="E390" t="s">
        <v>1493</v>
      </c>
      <c r="F390" t="s">
        <v>1663</v>
      </c>
      <c r="G390" s="219" t="s">
        <v>4078</v>
      </c>
      <c r="H390" s="3">
        <f t="shared" si="10"/>
        <v>2246.9375</v>
      </c>
      <c r="I390" s="3">
        <v>359.51</v>
      </c>
    </row>
    <row r="391" spans="1:11">
      <c r="A391" t="s">
        <v>604</v>
      </c>
      <c r="B391" s="1">
        <v>41815</v>
      </c>
      <c r="C391" t="s">
        <v>3916</v>
      </c>
      <c r="D391">
        <v>1</v>
      </c>
      <c r="E391" t="s">
        <v>1493</v>
      </c>
      <c r="F391" t="s">
        <v>1663</v>
      </c>
      <c r="G391" s="219" t="s">
        <v>4078</v>
      </c>
      <c r="H391" s="3">
        <f t="shared" si="10"/>
        <v>1452.1875</v>
      </c>
      <c r="I391" s="3">
        <v>232.35</v>
      </c>
    </row>
    <row r="392" spans="1:11">
      <c r="A392" t="s">
        <v>3606</v>
      </c>
      <c r="B392" s="1">
        <v>41810</v>
      </c>
      <c r="C392" t="s">
        <v>3607</v>
      </c>
      <c r="D392">
        <v>1</v>
      </c>
      <c r="G392" s="219" t="s">
        <v>2179</v>
      </c>
      <c r="H392" s="3">
        <f t="shared" si="10"/>
        <v>900</v>
      </c>
      <c r="I392" s="3">
        <v>144</v>
      </c>
    </row>
    <row r="394" spans="1:11">
      <c r="H394" s="3">
        <f>SUM(H7:H393)</f>
        <v>17373060.8125</v>
      </c>
      <c r="I394" s="3">
        <f>SUM(I7:I393)</f>
        <v>2779689.73</v>
      </c>
    </row>
    <row r="396" spans="1:11">
      <c r="H396" s="3">
        <f>3471748.71-692058.98</f>
        <v>2779689.73</v>
      </c>
      <c r="I396" s="3">
        <f>+H396-I394</f>
        <v>0</v>
      </c>
    </row>
  </sheetData>
  <sortState ref="A1:K411">
    <sortCondition ref="E1:E4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3"/>
  <sheetViews>
    <sheetView tabSelected="1" workbookViewId="0">
      <pane ySplit="6" topLeftCell="A32" activePane="bottomLeft" state="frozen"/>
      <selection pane="bottomLeft" activeCell="E54" sqref="E54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140625" bestFit="1" customWidth="1"/>
    <col min="4" max="4" width="2" bestFit="1" customWidth="1"/>
    <col min="5" max="5" width="40" bestFit="1" customWidth="1"/>
    <col min="6" max="6" width="28" customWidth="1"/>
    <col min="7" max="7" width="17.85546875" customWidth="1"/>
    <col min="8" max="8" width="21.28515625" style="3" customWidth="1"/>
    <col min="9" max="9" width="11.5703125" style="3" bestFit="1" customWidth="1"/>
    <col min="10" max="10" width="9.140625" bestFit="1" customWidth="1"/>
  </cols>
  <sheetData>
    <row r="1" spans="1:9">
      <c r="A1" t="s">
        <v>707</v>
      </c>
    </row>
    <row r="2" spans="1:9">
      <c r="A2" t="s">
        <v>4537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2258</v>
      </c>
      <c r="B7" s="1">
        <v>41851</v>
      </c>
      <c r="C7" t="s">
        <v>4511</v>
      </c>
      <c r="D7">
        <v>1</v>
      </c>
      <c r="E7" t="s">
        <v>1401</v>
      </c>
      <c r="F7" s="235" t="s">
        <v>1532</v>
      </c>
      <c r="G7" s="235" t="s">
        <v>1401</v>
      </c>
      <c r="H7" s="3">
        <f>+I7/0.16</f>
        <v>7000</v>
      </c>
      <c r="I7" s="3">
        <v>1120</v>
      </c>
    </row>
    <row r="8" spans="1:9">
      <c r="A8" t="s">
        <v>519</v>
      </c>
      <c r="B8" s="1">
        <v>41835</v>
      </c>
      <c r="C8" t="s">
        <v>4445</v>
      </c>
      <c r="D8">
        <v>1</v>
      </c>
      <c r="E8" t="s">
        <v>3370</v>
      </c>
      <c r="F8" s="235" t="s">
        <v>3455</v>
      </c>
      <c r="G8" s="235" t="s">
        <v>3370</v>
      </c>
      <c r="H8" s="3">
        <f t="shared" ref="H8:H71" si="0">+I8/0.16</f>
        <v>42500</v>
      </c>
      <c r="I8" s="3">
        <v>6800</v>
      </c>
    </row>
    <row r="9" spans="1:9">
      <c r="A9" t="s">
        <v>4120</v>
      </c>
      <c r="B9" s="1">
        <v>41829</v>
      </c>
      <c r="C9" t="s">
        <v>4121</v>
      </c>
      <c r="D9">
        <v>1</v>
      </c>
      <c r="E9" t="s">
        <v>4122</v>
      </c>
      <c r="F9" s="236" t="s">
        <v>783</v>
      </c>
      <c r="G9" s="235" t="s">
        <v>4122</v>
      </c>
      <c r="H9" s="3">
        <f t="shared" si="0"/>
        <v>202725.8125</v>
      </c>
      <c r="I9" s="3">
        <v>32436.13</v>
      </c>
    </row>
    <row r="10" spans="1:9">
      <c r="A10" t="s">
        <v>3852</v>
      </c>
      <c r="B10" s="1">
        <v>41827</v>
      </c>
      <c r="C10" t="s">
        <v>4405</v>
      </c>
      <c r="D10">
        <v>2</v>
      </c>
      <c r="E10" t="s">
        <v>3302</v>
      </c>
      <c r="F10" s="235" t="s">
        <v>3456</v>
      </c>
      <c r="G10" s="235" t="s">
        <v>3302</v>
      </c>
      <c r="H10" s="3">
        <f t="shared" si="0"/>
        <v>850</v>
      </c>
      <c r="I10" s="3">
        <v>136</v>
      </c>
    </row>
    <row r="11" spans="1:9">
      <c r="A11" t="s">
        <v>1350</v>
      </c>
      <c r="B11" s="1">
        <v>41832</v>
      </c>
      <c r="C11" t="s">
        <v>4434</v>
      </c>
      <c r="D11">
        <v>2</v>
      </c>
      <c r="E11" t="s">
        <v>3302</v>
      </c>
      <c r="F11" s="235" t="s">
        <v>3456</v>
      </c>
      <c r="G11" s="235" t="s">
        <v>3302</v>
      </c>
      <c r="H11" s="3">
        <f t="shared" si="0"/>
        <v>850</v>
      </c>
      <c r="I11" s="3">
        <v>136</v>
      </c>
    </row>
    <row r="12" spans="1:9">
      <c r="A12" t="s">
        <v>1739</v>
      </c>
      <c r="B12" s="1">
        <v>41831</v>
      </c>
      <c r="C12" t="s">
        <v>4140</v>
      </c>
      <c r="D12">
        <v>1</v>
      </c>
      <c r="E12" t="s">
        <v>123</v>
      </c>
      <c r="F12" s="236" t="s">
        <v>721</v>
      </c>
      <c r="G12" s="235" t="s">
        <v>123</v>
      </c>
      <c r="H12" s="3">
        <f t="shared" si="0"/>
        <v>215.49999999999997</v>
      </c>
      <c r="I12" s="3">
        <v>34.479999999999997</v>
      </c>
    </row>
    <row r="13" spans="1:9">
      <c r="A13" t="s">
        <v>1977</v>
      </c>
      <c r="B13" s="1">
        <v>41848</v>
      </c>
      <c r="C13">
        <v>10465</v>
      </c>
      <c r="D13">
        <v>1</v>
      </c>
      <c r="E13" t="s">
        <v>123</v>
      </c>
      <c r="F13" s="236" t="s">
        <v>721</v>
      </c>
      <c r="G13" s="235" t="s">
        <v>123</v>
      </c>
      <c r="H13" s="3">
        <f t="shared" si="0"/>
        <v>400</v>
      </c>
      <c r="I13" s="3">
        <v>64</v>
      </c>
    </row>
    <row r="14" spans="1:9">
      <c r="A14" t="s">
        <v>4294</v>
      </c>
      <c r="B14" s="1">
        <v>41849</v>
      </c>
      <c r="C14" t="s">
        <v>4295</v>
      </c>
      <c r="D14">
        <v>1</v>
      </c>
      <c r="E14" t="s">
        <v>123</v>
      </c>
      <c r="F14" s="236" t="s">
        <v>721</v>
      </c>
      <c r="G14" s="235" t="s">
        <v>123</v>
      </c>
      <c r="H14" s="3">
        <f t="shared" si="0"/>
        <v>215.49999999999997</v>
      </c>
      <c r="I14" s="3">
        <v>34.479999999999997</v>
      </c>
    </row>
    <row r="15" spans="1:9">
      <c r="A15" t="s">
        <v>4296</v>
      </c>
      <c r="B15" s="1">
        <v>41849</v>
      </c>
      <c r="C15" t="s">
        <v>4297</v>
      </c>
      <c r="D15">
        <v>1</v>
      </c>
      <c r="E15" t="s">
        <v>123</v>
      </c>
      <c r="F15" s="236" t="s">
        <v>721</v>
      </c>
      <c r="G15" s="235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668</v>
      </c>
      <c r="B16" s="1">
        <v>41851</v>
      </c>
      <c r="C16" t="s">
        <v>4502</v>
      </c>
      <c r="D16">
        <v>1</v>
      </c>
      <c r="E16" t="s">
        <v>3877</v>
      </c>
      <c r="F16" s="235" t="s">
        <v>3963</v>
      </c>
      <c r="G16" s="235" t="s">
        <v>3877</v>
      </c>
      <c r="H16" s="3">
        <f t="shared" si="0"/>
        <v>102083.25</v>
      </c>
      <c r="I16" s="3">
        <v>16333.32</v>
      </c>
    </row>
    <row r="17" spans="1:9">
      <c r="A17" t="s">
        <v>4289</v>
      </c>
      <c r="B17" s="1">
        <v>41848</v>
      </c>
      <c r="C17">
        <v>10470</v>
      </c>
      <c r="D17">
        <v>1</v>
      </c>
      <c r="E17" t="s">
        <v>282</v>
      </c>
      <c r="F17" s="235" t="s">
        <v>722</v>
      </c>
      <c r="G17" s="235" t="s">
        <v>282</v>
      </c>
      <c r="H17" s="3">
        <f t="shared" si="0"/>
        <v>60.75</v>
      </c>
      <c r="I17" s="3">
        <v>9.7200000000000006</v>
      </c>
    </row>
    <row r="18" spans="1:9">
      <c r="A18" t="s">
        <v>513</v>
      </c>
      <c r="B18" s="1">
        <v>41835</v>
      </c>
      <c r="C18" t="s">
        <v>4443</v>
      </c>
      <c r="D18">
        <v>1</v>
      </c>
      <c r="E18" t="s">
        <v>447</v>
      </c>
      <c r="F18" s="235" t="s">
        <v>723</v>
      </c>
      <c r="G18" s="235" t="s">
        <v>447</v>
      </c>
      <c r="H18" s="3">
        <f t="shared" si="0"/>
        <v>2327.5625</v>
      </c>
      <c r="I18" s="3">
        <v>372.41</v>
      </c>
    </row>
    <row r="19" spans="1:9">
      <c r="A19" t="s">
        <v>1975</v>
      </c>
      <c r="B19" s="1">
        <v>41848</v>
      </c>
      <c r="C19">
        <v>10464</v>
      </c>
      <c r="D19">
        <v>1</v>
      </c>
      <c r="E19" t="s">
        <v>3249</v>
      </c>
      <c r="F19" s="235" t="s">
        <v>3457</v>
      </c>
      <c r="G19" s="235" t="s">
        <v>3249</v>
      </c>
      <c r="H19" s="3">
        <f t="shared" si="0"/>
        <v>935</v>
      </c>
      <c r="I19" s="3">
        <v>149.6</v>
      </c>
    </row>
    <row r="20" spans="1:9">
      <c r="A20" t="s">
        <v>2140</v>
      </c>
      <c r="B20" s="1">
        <v>41827</v>
      </c>
      <c r="C20" t="s">
        <v>4418</v>
      </c>
      <c r="D20">
        <v>1</v>
      </c>
      <c r="E20" t="s">
        <v>4419</v>
      </c>
      <c r="F20" s="235" t="s">
        <v>4538</v>
      </c>
      <c r="G20" s="235" t="s">
        <v>4419</v>
      </c>
      <c r="H20" s="3">
        <f t="shared" si="0"/>
        <v>7027.2499999999991</v>
      </c>
      <c r="I20" s="3">
        <v>1124.3599999999999</v>
      </c>
    </row>
    <row r="21" spans="1:9">
      <c r="A21" t="s">
        <v>4233</v>
      </c>
      <c r="B21" s="1">
        <v>41844</v>
      </c>
      <c r="C21" t="s">
        <v>4234</v>
      </c>
      <c r="D21">
        <v>1</v>
      </c>
      <c r="E21" t="s">
        <v>4235</v>
      </c>
      <c r="F21" s="235" t="s">
        <v>4539</v>
      </c>
      <c r="G21" s="235" t="s">
        <v>4235</v>
      </c>
      <c r="H21" s="3">
        <f t="shared" si="0"/>
        <v>356752.875</v>
      </c>
      <c r="I21" s="3">
        <v>57080.46</v>
      </c>
    </row>
    <row r="22" spans="1:9">
      <c r="A22" t="s">
        <v>4260</v>
      </c>
      <c r="B22" s="1">
        <v>41845</v>
      </c>
      <c r="C22" t="s">
        <v>4261</v>
      </c>
      <c r="D22">
        <v>1</v>
      </c>
      <c r="E22" t="s">
        <v>4262</v>
      </c>
      <c r="F22" s="237" t="s">
        <v>2864</v>
      </c>
      <c r="G22" s="235" t="s">
        <v>4262</v>
      </c>
      <c r="H22" s="3">
        <f t="shared" si="0"/>
        <v>183526.4375</v>
      </c>
      <c r="I22" s="3">
        <v>29364.23</v>
      </c>
    </row>
    <row r="23" spans="1:9">
      <c r="A23" t="s">
        <v>3282</v>
      </c>
      <c r="B23" s="1">
        <v>41851</v>
      </c>
      <c r="C23" t="s">
        <v>4345</v>
      </c>
      <c r="D23">
        <v>1</v>
      </c>
      <c r="E23" t="s">
        <v>4346</v>
      </c>
      <c r="F23" s="237" t="s">
        <v>2864</v>
      </c>
      <c r="G23" s="235" t="s">
        <v>4346</v>
      </c>
      <c r="H23" s="3">
        <f t="shared" si="0"/>
        <v>382307.875</v>
      </c>
      <c r="I23" s="3">
        <v>61169.26</v>
      </c>
    </row>
    <row r="24" spans="1:9">
      <c r="A24" t="s">
        <v>3106</v>
      </c>
      <c r="B24" s="1">
        <v>41843</v>
      </c>
      <c r="C24">
        <v>10452</v>
      </c>
      <c r="D24">
        <v>1</v>
      </c>
      <c r="E24" t="s">
        <v>264</v>
      </c>
      <c r="F24" s="238" t="s">
        <v>724</v>
      </c>
      <c r="G24" s="235" t="s">
        <v>264</v>
      </c>
      <c r="H24" s="3">
        <f t="shared" si="0"/>
        <v>43.0625</v>
      </c>
      <c r="I24" s="3">
        <v>6.89</v>
      </c>
    </row>
    <row r="25" spans="1:9">
      <c r="A25" t="s">
        <v>4210</v>
      </c>
      <c r="B25" s="1">
        <v>41843</v>
      </c>
      <c r="C25">
        <v>10451</v>
      </c>
      <c r="D25">
        <v>1</v>
      </c>
      <c r="E25" t="s">
        <v>1767</v>
      </c>
      <c r="F25" s="238" t="s">
        <v>724</v>
      </c>
      <c r="G25" s="235" t="s">
        <v>1767</v>
      </c>
      <c r="H25" s="3">
        <f t="shared" si="0"/>
        <v>86.125</v>
      </c>
      <c r="I25" s="3">
        <v>13.78</v>
      </c>
    </row>
    <row r="26" spans="1:9">
      <c r="A26" t="s">
        <v>4223</v>
      </c>
      <c r="B26" s="1">
        <v>41843</v>
      </c>
      <c r="C26" t="s">
        <v>4224</v>
      </c>
      <c r="D26">
        <v>1</v>
      </c>
      <c r="E26" t="s">
        <v>1271</v>
      </c>
      <c r="F26" s="235" t="s">
        <v>1537</v>
      </c>
      <c r="G26" s="235" t="s">
        <v>1271</v>
      </c>
      <c r="H26" s="3">
        <f t="shared" si="0"/>
        <v>103.4375</v>
      </c>
      <c r="I26" s="3">
        <v>16.55</v>
      </c>
    </row>
    <row r="27" spans="1:9">
      <c r="A27" t="s">
        <v>617</v>
      </c>
      <c r="B27" s="1">
        <v>41848</v>
      </c>
      <c r="C27" t="s">
        <v>4453</v>
      </c>
      <c r="D27">
        <v>1</v>
      </c>
      <c r="E27" t="s">
        <v>4484</v>
      </c>
      <c r="F27" s="235" t="s">
        <v>1576</v>
      </c>
      <c r="G27" s="235" t="s">
        <v>4484</v>
      </c>
      <c r="H27" s="3">
        <f t="shared" si="0"/>
        <v>-1157.5625</v>
      </c>
      <c r="I27" s="3">
        <v>-185.21</v>
      </c>
    </row>
    <row r="28" spans="1:9">
      <c r="A28" t="s">
        <v>451</v>
      </c>
      <c r="B28" s="1">
        <v>41827</v>
      </c>
      <c r="C28" t="s">
        <v>4413</v>
      </c>
      <c r="D28">
        <v>1</v>
      </c>
      <c r="E28" t="s">
        <v>4414</v>
      </c>
      <c r="F28" s="235" t="s">
        <v>2884</v>
      </c>
      <c r="G28" s="235" t="s">
        <v>4414</v>
      </c>
      <c r="H28" s="3">
        <f t="shared" si="0"/>
        <v>-1418</v>
      </c>
      <c r="I28" s="3">
        <v>-226.88</v>
      </c>
    </row>
    <row r="29" spans="1:9">
      <c r="A29" t="s">
        <v>4291</v>
      </c>
      <c r="B29" s="1">
        <v>41849</v>
      </c>
      <c r="C29">
        <v>10474</v>
      </c>
      <c r="D29">
        <v>1</v>
      </c>
      <c r="E29" t="s">
        <v>1142</v>
      </c>
      <c r="F29" s="235" t="s">
        <v>820</v>
      </c>
      <c r="G29" s="235" t="s">
        <v>1142</v>
      </c>
      <c r="H29" s="3">
        <f t="shared" si="0"/>
        <v>100</v>
      </c>
      <c r="I29" s="3">
        <v>16</v>
      </c>
    </row>
    <row r="30" spans="1:9">
      <c r="A30" t="s">
        <v>3110</v>
      </c>
      <c r="B30" s="1">
        <v>41843</v>
      </c>
      <c r="C30" t="s">
        <v>4225</v>
      </c>
      <c r="D30">
        <v>1</v>
      </c>
      <c r="E30" t="s">
        <v>3240</v>
      </c>
      <c r="F30" s="235" t="s">
        <v>3460</v>
      </c>
      <c r="G30" s="235" t="s">
        <v>3240</v>
      </c>
      <c r="H30" s="3">
        <f t="shared" si="0"/>
        <v>51.749999999999993</v>
      </c>
      <c r="I30" s="3">
        <v>8.2799999999999994</v>
      </c>
    </row>
    <row r="31" spans="1:9">
      <c r="A31" t="s">
        <v>2645</v>
      </c>
      <c r="B31" s="1">
        <v>41850</v>
      </c>
      <c r="C31" t="s">
        <v>26</v>
      </c>
      <c r="D31">
        <v>1</v>
      </c>
      <c r="E31" t="s">
        <v>4316</v>
      </c>
      <c r="F31" s="235"/>
      <c r="G31" s="236" t="s">
        <v>4316</v>
      </c>
      <c r="H31" s="3">
        <f t="shared" si="0"/>
        <v>3685.1875</v>
      </c>
      <c r="I31" s="3">
        <v>589.63</v>
      </c>
    </row>
    <row r="32" spans="1:9">
      <c r="A32" t="s">
        <v>306</v>
      </c>
      <c r="B32" s="1">
        <v>41850</v>
      </c>
      <c r="C32" t="s">
        <v>4321</v>
      </c>
      <c r="D32">
        <v>1</v>
      </c>
      <c r="E32" t="s">
        <v>4322</v>
      </c>
      <c r="H32" s="3">
        <f t="shared" si="0"/>
        <v>183525.5625</v>
      </c>
      <c r="I32" s="3">
        <v>29364.09</v>
      </c>
    </row>
    <row r="33" spans="1:9">
      <c r="A33" t="s">
        <v>445</v>
      </c>
      <c r="B33" s="1">
        <v>41827</v>
      </c>
      <c r="C33" t="s">
        <v>4410</v>
      </c>
      <c r="D33">
        <v>1</v>
      </c>
      <c r="E33" t="s">
        <v>459</v>
      </c>
      <c r="H33" s="3">
        <f t="shared" si="0"/>
        <v>8500</v>
      </c>
      <c r="I33" s="3">
        <v>1360</v>
      </c>
    </row>
    <row r="34" spans="1:9">
      <c r="A34" t="s">
        <v>4383</v>
      </c>
      <c r="B34" s="1">
        <v>41851</v>
      </c>
      <c r="C34">
        <v>10507</v>
      </c>
      <c r="D34">
        <v>1</v>
      </c>
      <c r="E34" t="s">
        <v>254</v>
      </c>
      <c r="H34" s="3">
        <f t="shared" si="0"/>
        <v>449.375</v>
      </c>
      <c r="I34" s="3">
        <v>71.900000000000006</v>
      </c>
    </row>
    <row r="35" spans="1:9">
      <c r="A35" t="s">
        <v>4185</v>
      </c>
      <c r="B35" s="1">
        <v>41843</v>
      </c>
      <c r="C35" t="s">
        <v>4186</v>
      </c>
      <c r="D35">
        <v>1</v>
      </c>
      <c r="E35" t="s">
        <v>4187</v>
      </c>
      <c r="H35" s="3">
        <f t="shared" si="0"/>
        <v>297961.625</v>
      </c>
      <c r="I35" s="3">
        <v>47673.86</v>
      </c>
    </row>
    <row r="36" spans="1:9">
      <c r="A36" t="s">
        <v>1794</v>
      </c>
      <c r="B36" s="1">
        <v>41834</v>
      </c>
      <c r="C36" t="s">
        <v>4161</v>
      </c>
      <c r="D36">
        <v>1</v>
      </c>
      <c r="E36" t="s">
        <v>773</v>
      </c>
      <c r="H36" s="3">
        <f t="shared" si="0"/>
        <v>261241.3125</v>
      </c>
      <c r="I36" s="3">
        <v>41798.61</v>
      </c>
    </row>
    <row r="37" spans="1:9">
      <c r="A37" t="s">
        <v>339</v>
      </c>
      <c r="B37" s="1">
        <v>41850</v>
      </c>
      <c r="C37" t="s">
        <v>4323</v>
      </c>
      <c r="D37">
        <v>1</v>
      </c>
      <c r="E37" t="s">
        <v>4324</v>
      </c>
      <c r="H37" s="3">
        <f t="shared" si="0"/>
        <v>156573.6875</v>
      </c>
      <c r="I37" s="3">
        <v>25051.79</v>
      </c>
    </row>
    <row r="38" spans="1:9">
      <c r="A38" t="s">
        <v>2684</v>
      </c>
      <c r="B38" s="1">
        <v>41827</v>
      </c>
      <c r="C38" t="s">
        <v>4400</v>
      </c>
      <c r="D38">
        <v>1</v>
      </c>
      <c r="E38" t="s">
        <v>1360</v>
      </c>
      <c r="H38" s="3">
        <f t="shared" si="0"/>
        <v>2925.3125</v>
      </c>
      <c r="I38" s="3">
        <v>468.05</v>
      </c>
    </row>
    <row r="39" spans="1:9">
      <c r="A39" t="s">
        <v>663</v>
      </c>
      <c r="B39" s="1">
        <v>41851</v>
      </c>
      <c r="C39" t="s">
        <v>4495</v>
      </c>
      <c r="D39">
        <v>1</v>
      </c>
      <c r="E39" t="s">
        <v>1360</v>
      </c>
      <c r="H39" s="3">
        <f t="shared" si="0"/>
        <v>559.25</v>
      </c>
      <c r="I39" s="3">
        <v>89.48</v>
      </c>
    </row>
    <row r="40" spans="1:9">
      <c r="A40" t="s">
        <v>1427</v>
      </c>
      <c r="B40" s="1">
        <v>41838</v>
      </c>
      <c r="C40" t="s">
        <v>4468</v>
      </c>
      <c r="D40">
        <v>2</v>
      </c>
      <c r="E40" t="s">
        <v>619</v>
      </c>
      <c r="H40" s="3">
        <f t="shared" si="0"/>
        <v>2732.75</v>
      </c>
      <c r="I40" s="3">
        <v>437.24</v>
      </c>
    </row>
    <row r="41" spans="1:9">
      <c r="A41" t="s">
        <v>1479</v>
      </c>
      <c r="B41" s="1">
        <v>41851</v>
      </c>
      <c r="C41" t="s">
        <v>4501</v>
      </c>
      <c r="D41">
        <v>2</v>
      </c>
      <c r="E41" t="s">
        <v>619</v>
      </c>
      <c r="H41" s="3">
        <f t="shared" si="0"/>
        <v>9769</v>
      </c>
      <c r="I41" s="3">
        <v>1563.04</v>
      </c>
    </row>
    <row r="42" spans="1:9">
      <c r="A42" t="s">
        <v>1482</v>
      </c>
      <c r="B42" s="1">
        <v>41851</v>
      </c>
      <c r="C42" t="s">
        <v>4503</v>
      </c>
      <c r="D42">
        <v>2</v>
      </c>
      <c r="E42" t="s">
        <v>619</v>
      </c>
      <c r="H42" s="3">
        <f t="shared" si="0"/>
        <v>1724.125</v>
      </c>
      <c r="I42" s="3">
        <v>275.86</v>
      </c>
    </row>
    <row r="43" spans="1:9">
      <c r="A43" t="s">
        <v>646</v>
      </c>
      <c r="B43" s="1">
        <v>41850</v>
      </c>
      <c r="C43" t="s">
        <v>2193</v>
      </c>
      <c r="D43">
        <v>1</v>
      </c>
      <c r="E43" t="s">
        <v>4488</v>
      </c>
      <c r="H43" s="3">
        <f t="shared" si="0"/>
        <v>180</v>
      </c>
      <c r="I43" s="3">
        <v>28.8</v>
      </c>
    </row>
    <row r="44" spans="1:9">
      <c r="A44" t="s">
        <v>1444</v>
      </c>
      <c r="B44" s="1">
        <v>41845</v>
      </c>
      <c r="C44" t="s">
        <v>2218</v>
      </c>
      <c r="D44">
        <v>1</v>
      </c>
      <c r="E44" t="s">
        <v>4482</v>
      </c>
      <c r="H44" s="3">
        <f t="shared" si="0"/>
        <v>2164.1875</v>
      </c>
      <c r="I44" s="3">
        <v>346.27</v>
      </c>
    </row>
    <row r="45" spans="1:9">
      <c r="A45" t="s">
        <v>1512</v>
      </c>
      <c r="B45" s="1">
        <v>41851</v>
      </c>
      <c r="C45" t="s">
        <v>1528</v>
      </c>
      <c r="D45">
        <v>1</v>
      </c>
      <c r="E45" t="s">
        <v>4523</v>
      </c>
      <c r="H45" s="3">
        <f t="shared" si="0"/>
        <v>2202.25</v>
      </c>
      <c r="I45" s="3">
        <v>352.36</v>
      </c>
    </row>
    <row r="46" spans="1:9">
      <c r="A46" t="s">
        <v>3048</v>
      </c>
      <c r="B46" s="1">
        <v>41831</v>
      </c>
      <c r="C46">
        <v>10397</v>
      </c>
      <c r="D46">
        <v>1</v>
      </c>
      <c r="E46" t="s">
        <v>4141</v>
      </c>
      <c r="H46" s="3">
        <f t="shared" si="0"/>
        <v>206.875</v>
      </c>
      <c r="I46" s="3">
        <v>33.1</v>
      </c>
    </row>
    <row r="47" spans="1:9">
      <c r="A47" t="s">
        <v>471</v>
      </c>
      <c r="B47" s="1">
        <v>41829</v>
      </c>
      <c r="C47" t="s">
        <v>4422</v>
      </c>
      <c r="D47">
        <v>1</v>
      </c>
      <c r="E47" t="s">
        <v>563</v>
      </c>
      <c r="H47" s="3">
        <f t="shared" si="0"/>
        <v>22631.0625</v>
      </c>
      <c r="I47" s="3">
        <v>3620.97</v>
      </c>
    </row>
    <row r="48" spans="1:9">
      <c r="A48" t="s">
        <v>692</v>
      </c>
      <c r="B48" s="1">
        <v>41851</v>
      </c>
      <c r="C48" t="s">
        <v>2827</v>
      </c>
      <c r="D48">
        <v>1</v>
      </c>
      <c r="E48" t="s">
        <v>4530</v>
      </c>
      <c r="H48" s="3">
        <f t="shared" si="0"/>
        <v>300</v>
      </c>
      <c r="I48" s="3">
        <v>48</v>
      </c>
    </row>
    <row r="49" spans="1:9">
      <c r="A49" t="s">
        <v>1516</v>
      </c>
      <c r="B49" s="1">
        <v>41851</v>
      </c>
      <c r="C49" t="s">
        <v>4525</v>
      </c>
      <c r="D49">
        <v>1</v>
      </c>
      <c r="E49" t="s">
        <v>4526</v>
      </c>
      <c r="H49" s="3">
        <f t="shared" si="0"/>
        <v>968.99999999999989</v>
      </c>
      <c r="I49" s="3">
        <v>155.04</v>
      </c>
    </row>
    <row r="50" spans="1:9">
      <c r="A50" t="s">
        <v>2635</v>
      </c>
      <c r="B50" s="1">
        <v>41850</v>
      </c>
      <c r="C50" t="s">
        <v>1520</v>
      </c>
      <c r="D50">
        <v>1</v>
      </c>
      <c r="E50" t="s">
        <v>4315</v>
      </c>
      <c r="H50" s="3">
        <f t="shared" si="0"/>
        <v>100</v>
      </c>
      <c r="I50" s="3">
        <v>16</v>
      </c>
    </row>
    <row r="51" spans="1:9">
      <c r="A51" t="s">
        <v>690</v>
      </c>
      <c r="B51" s="1">
        <v>41851</v>
      </c>
      <c r="C51" t="s">
        <v>1520</v>
      </c>
      <c r="D51">
        <v>1</v>
      </c>
      <c r="E51" t="s">
        <v>4529</v>
      </c>
      <c r="H51" s="3">
        <f t="shared" si="0"/>
        <v>39</v>
      </c>
      <c r="I51" s="3">
        <v>6.24</v>
      </c>
    </row>
    <row r="52" spans="1:9">
      <c r="A52" t="s">
        <v>3429</v>
      </c>
      <c r="B52" s="1">
        <v>41851</v>
      </c>
      <c r="C52" t="s">
        <v>693</v>
      </c>
      <c r="D52">
        <v>1</v>
      </c>
      <c r="E52" t="s">
        <v>4527</v>
      </c>
      <c r="H52" s="3">
        <f t="shared" si="0"/>
        <v>2038.25</v>
      </c>
      <c r="I52" s="3">
        <v>326.12</v>
      </c>
    </row>
    <row r="53" spans="1:9">
      <c r="A53" t="s">
        <v>1372</v>
      </c>
      <c r="B53" s="1">
        <v>41834</v>
      </c>
      <c r="C53" t="s">
        <v>2218</v>
      </c>
      <c r="D53">
        <v>1</v>
      </c>
      <c r="E53" t="s">
        <v>4439</v>
      </c>
      <c r="H53" s="3">
        <f t="shared" si="0"/>
        <v>7470.25</v>
      </c>
      <c r="I53" s="3">
        <v>1195.24</v>
      </c>
    </row>
    <row r="54" spans="1:9">
      <c r="A54" t="s">
        <v>629</v>
      </c>
      <c r="B54" s="1">
        <v>41849</v>
      </c>
      <c r="C54" t="s">
        <v>2218</v>
      </c>
      <c r="D54">
        <v>1</v>
      </c>
      <c r="E54" t="s">
        <v>4485</v>
      </c>
      <c r="H54" s="3">
        <f t="shared" si="0"/>
        <v>1821.4375</v>
      </c>
      <c r="I54" s="3">
        <v>291.43</v>
      </c>
    </row>
    <row r="55" spans="1:9">
      <c r="A55" t="s">
        <v>2248</v>
      </c>
      <c r="B55" s="1">
        <v>41851</v>
      </c>
      <c r="C55" t="s">
        <v>2218</v>
      </c>
      <c r="D55">
        <v>1</v>
      </c>
      <c r="E55" t="s">
        <v>4493</v>
      </c>
      <c r="H55" s="3">
        <f t="shared" si="0"/>
        <v>933.50000000000011</v>
      </c>
      <c r="I55" s="3">
        <v>149.36000000000001</v>
      </c>
    </row>
    <row r="56" spans="1:9">
      <c r="A56" t="s">
        <v>4238</v>
      </c>
      <c r="B56" s="1">
        <v>41845</v>
      </c>
      <c r="C56" t="s">
        <v>1528</v>
      </c>
      <c r="D56">
        <v>1</v>
      </c>
      <c r="E56" t="s">
        <v>4239</v>
      </c>
      <c r="H56" s="3">
        <f t="shared" si="0"/>
        <v>6449.625</v>
      </c>
      <c r="I56" s="3">
        <v>1031.94</v>
      </c>
    </row>
    <row r="57" spans="1:9">
      <c r="A57" t="s">
        <v>686</v>
      </c>
      <c r="B57" s="1">
        <v>41851</v>
      </c>
      <c r="C57" t="s">
        <v>1525</v>
      </c>
      <c r="D57">
        <v>1</v>
      </c>
      <c r="E57" t="s">
        <v>4528</v>
      </c>
      <c r="H57" s="3">
        <f t="shared" si="0"/>
        <v>36</v>
      </c>
      <c r="I57" s="3">
        <v>5.76</v>
      </c>
    </row>
    <row r="58" spans="1:9">
      <c r="A58" t="s">
        <v>427</v>
      </c>
      <c r="B58" s="1">
        <v>41821</v>
      </c>
      <c r="C58" t="s">
        <v>4395</v>
      </c>
      <c r="D58">
        <v>1</v>
      </c>
      <c r="E58" t="s">
        <v>429</v>
      </c>
      <c r="H58" s="3">
        <f t="shared" si="0"/>
        <v>29147.5</v>
      </c>
      <c r="I58" s="3">
        <v>4663.6000000000004</v>
      </c>
    </row>
    <row r="59" spans="1:9">
      <c r="A59" t="s">
        <v>1310</v>
      </c>
      <c r="B59" s="1">
        <v>41823</v>
      </c>
      <c r="C59" t="s">
        <v>4398</v>
      </c>
      <c r="D59">
        <v>1</v>
      </c>
      <c r="E59" t="s">
        <v>429</v>
      </c>
      <c r="H59" s="3">
        <f t="shared" si="0"/>
        <v>2234.4375</v>
      </c>
      <c r="I59" s="3">
        <v>357.51</v>
      </c>
    </row>
    <row r="60" spans="1:9">
      <c r="A60" t="s">
        <v>2119</v>
      </c>
      <c r="B60" s="1">
        <v>41824</v>
      </c>
      <c r="C60" t="s">
        <v>4399</v>
      </c>
      <c r="D60">
        <v>1</v>
      </c>
      <c r="E60" t="s">
        <v>429</v>
      </c>
      <c r="H60" s="3">
        <f t="shared" si="0"/>
        <v>103049.125</v>
      </c>
      <c r="I60" s="3">
        <v>16487.86</v>
      </c>
    </row>
    <row r="61" spans="1:9">
      <c r="A61" t="s">
        <v>2123</v>
      </c>
      <c r="B61" s="1">
        <v>41827</v>
      </c>
      <c r="C61" t="s">
        <v>4401</v>
      </c>
      <c r="D61">
        <v>1</v>
      </c>
      <c r="E61" t="s">
        <v>429</v>
      </c>
      <c r="H61" s="3">
        <f t="shared" si="0"/>
        <v>5714.25</v>
      </c>
      <c r="I61" s="3">
        <v>914.28</v>
      </c>
    </row>
    <row r="62" spans="1:9">
      <c r="A62" t="s">
        <v>1342</v>
      </c>
      <c r="B62" s="1">
        <v>41831</v>
      </c>
      <c r="C62" t="s">
        <v>4429</v>
      </c>
      <c r="D62">
        <v>1</v>
      </c>
      <c r="E62" t="s">
        <v>429</v>
      </c>
      <c r="H62" s="3">
        <f t="shared" si="0"/>
        <v>48960.625</v>
      </c>
      <c r="I62" s="3">
        <v>7833.7</v>
      </c>
    </row>
    <row r="63" spans="1:9">
      <c r="A63" t="s">
        <v>2174</v>
      </c>
      <c r="B63" s="1">
        <v>41834</v>
      </c>
      <c r="C63" t="s">
        <v>4440</v>
      </c>
      <c r="D63">
        <v>1</v>
      </c>
      <c r="E63" t="s">
        <v>429</v>
      </c>
      <c r="H63" s="3">
        <f t="shared" si="0"/>
        <v>1100</v>
      </c>
      <c r="I63" s="3">
        <v>176</v>
      </c>
    </row>
    <row r="64" spans="1:9">
      <c r="A64" t="s">
        <v>1374</v>
      </c>
      <c r="B64" s="1">
        <v>41834</v>
      </c>
      <c r="C64" t="s">
        <v>4441</v>
      </c>
      <c r="D64">
        <v>1</v>
      </c>
      <c r="E64" t="s">
        <v>429</v>
      </c>
      <c r="H64" s="3">
        <f t="shared" si="0"/>
        <v>349317.8125</v>
      </c>
      <c r="I64" s="3">
        <v>55890.85</v>
      </c>
    </row>
    <row r="65" spans="1:9">
      <c r="A65" t="s">
        <v>561</v>
      </c>
      <c r="B65" s="1">
        <v>41837</v>
      </c>
      <c r="C65" t="s">
        <v>4448</v>
      </c>
      <c r="D65">
        <v>1</v>
      </c>
      <c r="E65" t="s">
        <v>429</v>
      </c>
      <c r="H65" s="3">
        <f t="shared" si="0"/>
        <v>30235.6875</v>
      </c>
      <c r="I65" s="3">
        <v>4837.71</v>
      </c>
    </row>
    <row r="66" spans="1:9">
      <c r="A66" t="s">
        <v>2756</v>
      </c>
      <c r="B66" s="1">
        <v>41837</v>
      </c>
      <c r="C66" t="s">
        <v>4449</v>
      </c>
      <c r="D66">
        <v>1</v>
      </c>
      <c r="E66" t="s">
        <v>429</v>
      </c>
      <c r="H66" s="3">
        <f t="shared" si="0"/>
        <v>26313.437499999996</v>
      </c>
      <c r="I66" s="3">
        <v>4210.1499999999996</v>
      </c>
    </row>
    <row r="67" spans="1:9">
      <c r="A67" t="s">
        <v>2758</v>
      </c>
      <c r="B67" s="1">
        <v>41837</v>
      </c>
      <c r="C67" t="s">
        <v>4450</v>
      </c>
      <c r="D67">
        <v>1</v>
      </c>
      <c r="E67" t="s">
        <v>429</v>
      </c>
      <c r="H67" s="3">
        <f t="shared" si="0"/>
        <v>660.1875</v>
      </c>
      <c r="I67" s="3">
        <v>105.63</v>
      </c>
    </row>
    <row r="68" spans="1:9">
      <c r="A68" t="s">
        <v>1405</v>
      </c>
      <c r="B68" s="1">
        <v>41837</v>
      </c>
      <c r="C68" t="s">
        <v>4451</v>
      </c>
      <c r="D68">
        <v>1</v>
      </c>
      <c r="E68" t="s">
        <v>429</v>
      </c>
      <c r="H68" s="3">
        <f t="shared" si="0"/>
        <v>971.0625</v>
      </c>
      <c r="I68" s="3">
        <v>155.37</v>
      </c>
    </row>
    <row r="69" spans="1:9">
      <c r="A69" t="s">
        <v>1407</v>
      </c>
      <c r="B69" s="1">
        <v>41838</v>
      </c>
      <c r="C69" t="s">
        <v>4452</v>
      </c>
      <c r="D69">
        <v>1</v>
      </c>
      <c r="E69" t="s">
        <v>429</v>
      </c>
      <c r="H69" s="3">
        <f t="shared" si="0"/>
        <v>1284.3125</v>
      </c>
      <c r="I69" s="3">
        <v>205.49</v>
      </c>
    </row>
    <row r="70" spans="1:9">
      <c r="A70" t="s">
        <v>566</v>
      </c>
      <c r="B70" s="1">
        <v>41838</v>
      </c>
      <c r="C70" t="s">
        <v>4454</v>
      </c>
      <c r="D70">
        <v>1</v>
      </c>
      <c r="E70" t="s">
        <v>429</v>
      </c>
      <c r="H70" s="3">
        <f t="shared" si="0"/>
        <v>52537.750000000007</v>
      </c>
      <c r="I70" s="3">
        <v>8406.0400000000009</v>
      </c>
    </row>
    <row r="71" spans="1:9">
      <c r="A71" t="s">
        <v>2212</v>
      </c>
      <c r="B71" s="1">
        <v>41843</v>
      </c>
      <c r="C71" t="s">
        <v>4475</v>
      </c>
      <c r="D71">
        <v>1</v>
      </c>
      <c r="E71" t="s">
        <v>429</v>
      </c>
      <c r="H71" s="3">
        <f t="shared" si="0"/>
        <v>3298.6874999999995</v>
      </c>
      <c r="I71" s="3">
        <v>527.79</v>
      </c>
    </row>
    <row r="72" spans="1:9">
      <c r="A72" t="s">
        <v>588</v>
      </c>
      <c r="B72" s="1">
        <v>41843</v>
      </c>
      <c r="C72" t="s">
        <v>4476</v>
      </c>
      <c r="D72">
        <v>1</v>
      </c>
      <c r="E72" t="s">
        <v>429</v>
      </c>
      <c r="H72" s="3">
        <f t="shared" ref="H72:H135" si="1">+I72/0.16</f>
        <v>17080.3125</v>
      </c>
      <c r="I72" s="3">
        <v>2732.85</v>
      </c>
    </row>
    <row r="73" spans="1:9">
      <c r="A73" t="s">
        <v>3909</v>
      </c>
      <c r="B73" s="1">
        <v>41844</v>
      </c>
      <c r="C73" t="s">
        <v>4481</v>
      </c>
      <c r="D73">
        <v>1</v>
      </c>
      <c r="E73" t="s">
        <v>429</v>
      </c>
      <c r="H73" s="3">
        <f t="shared" si="1"/>
        <v>2917.625</v>
      </c>
      <c r="I73" s="3">
        <v>466.82</v>
      </c>
    </row>
    <row r="74" spans="1:9">
      <c r="A74" t="s">
        <v>2805</v>
      </c>
      <c r="B74" s="1">
        <v>41845</v>
      </c>
      <c r="C74" t="s">
        <v>4483</v>
      </c>
      <c r="D74">
        <v>1</v>
      </c>
      <c r="E74" t="s">
        <v>429</v>
      </c>
      <c r="H74" s="3">
        <f t="shared" si="1"/>
        <v>61270.75</v>
      </c>
      <c r="I74" s="3">
        <v>9803.32</v>
      </c>
    </row>
    <row r="75" spans="1:9">
      <c r="A75" t="s">
        <v>2244</v>
      </c>
      <c r="B75" s="1">
        <v>41850</v>
      </c>
      <c r="C75" t="s">
        <v>4489</v>
      </c>
      <c r="D75">
        <v>1</v>
      </c>
      <c r="E75" t="s">
        <v>429</v>
      </c>
      <c r="H75" s="3">
        <f t="shared" si="1"/>
        <v>1500.8125</v>
      </c>
      <c r="I75" s="3">
        <v>240.13</v>
      </c>
    </row>
    <row r="76" spans="1:9">
      <c r="A76" t="s">
        <v>649</v>
      </c>
      <c r="B76" s="1">
        <v>41850</v>
      </c>
      <c r="C76" t="s">
        <v>4490</v>
      </c>
      <c r="D76">
        <v>1</v>
      </c>
      <c r="E76" t="s">
        <v>429</v>
      </c>
      <c r="H76" s="3">
        <f t="shared" si="1"/>
        <v>163776.9375</v>
      </c>
      <c r="I76" s="3">
        <v>26204.31</v>
      </c>
    </row>
    <row r="77" spans="1:9">
      <c r="A77" t="s">
        <v>2837</v>
      </c>
      <c r="B77" s="1">
        <v>41850</v>
      </c>
      <c r="C77" t="s">
        <v>4492</v>
      </c>
      <c r="D77">
        <v>1</v>
      </c>
      <c r="E77" t="s">
        <v>429</v>
      </c>
      <c r="H77" s="3">
        <f t="shared" si="1"/>
        <v>327.0625</v>
      </c>
      <c r="I77" s="3">
        <v>52.33</v>
      </c>
    </row>
    <row r="78" spans="1:9">
      <c r="A78" t="s">
        <v>1514</v>
      </c>
      <c r="B78" s="1">
        <v>41851</v>
      </c>
      <c r="C78" t="s">
        <v>4524</v>
      </c>
      <c r="D78">
        <v>1</v>
      </c>
      <c r="E78" t="s">
        <v>429</v>
      </c>
      <c r="H78" s="3">
        <f t="shared" si="1"/>
        <v>159364.8125</v>
      </c>
      <c r="I78" s="3">
        <v>25498.37</v>
      </c>
    </row>
    <row r="79" spans="1:9">
      <c r="A79" t="s">
        <v>1522</v>
      </c>
      <c r="B79" s="1">
        <v>41851</v>
      </c>
      <c r="C79" t="s">
        <v>4531</v>
      </c>
      <c r="D79">
        <v>1</v>
      </c>
      <c r="E79" t="s">
        <v>429</v>
      </c>
      <c r="H79" s="3">
        <f t="shared" si="1"/>
        <v>1100</v>
      </c>
      <c r="I79" s="3">
        <v>176</v>
      </c>
    </row>
    <row r="80" spans="1:9">
      <c r="A80" t="s">
        <v>3050</v>
      </c>
      <c r="B80" s="1">
        <v>41831</v>
      </c>
      <c r="C80">
        <v>10398</v>
      </c>
      <c r="D80">
        <v>1</v>
      </c>
      <c r="E80" t="s">
        <v>268</v>
      </c>
      <c r="H80" s="3">
        <f t="shared" si="1"/>
        <v>642.0625</v>
      </c>
      <c r="I80" s="3">
        <v>102.73</v>
      </c>
    </row>
    <row r="81" spans="1:10">
      <c r="A81" t="s">
        <v>4292</v>
      </c>
      <c r="B81" s="1">
        <v>41849</v>
      </c>
      <c r="C81">
        <v>10475</v>
      </c>
      <c r="D81">
        <v>1</v>
      </c>
      <c r="E81" t="s">
        <v>268</v>
      </c>
      <c r="H81" s="3">
        <f t="shared" si="1"/>
        <v>77.5</v>
      </c>
      <c r="I81" s="3">
        <v>12.4</v>
      </c>
    </row>
    <row r="82" spans="1:10">
      <c r="A82" t="s">
        <v>421</v>
      </c>
      <c r="B82" s="1">
        <v>41851</v>
      </c>
      <c r="C82" t="s">
        <v>4339</v>
      </c>
      <c r="D82">
        <v>1</v>
      </c>
      <c r="E82" t="s">
        <v>4340</v>
      </c>
      <c r="H82" s="3">
        <f t="shared" si="1"/>
        <v>187966.5</v>
      </c>
      <c r="I82" s="3">
        <v>30074.639999999999</v>
      </c>
    </row>
    <row r="83" spans="1:10">
      <c r="A83" t="s">
        <v>3269</v>
      </c>
      <c r="B83" s="1">
        <v>41851</v>
      </c>
      <c r="C83" t="s">
        <v>4341</v>
      </c>
      <c r="D83">
        <v>1</v>
      </c>
      <c r="E83" t="s">
        <v>4342</v>
      </c>
      <c r="H83" s="3">
        <f t="shared" si="1"/>
        <v>156573.6875</v>
      </c>
      <c r="I83" s="3">
        <v>25051.79</v>
      </c>
    </row>
    <row r="84" spans="1:10">
      <c r="A84" t="s">
        <v>178</v>
      </c>
      <c r="B84" s="1">
        <v>41842</v>
      </c>
      <c r="C84" t="s">
        <v>3648</v>
      </c>
      <c r="D84">
        <v>1</v>
      </c>
      <c r="E84" t="s">
        <v>3649</v>
      </c>
      <c r="H84" s="3">
        <f t="shared" si="1"/>
        <v>-315421.1875</v>
      </c>
      <c r="I84" s="3">
        <v>-50467.39</v>
      </c>
      <c r="J84" s="2"/>
    </row>
    <row r="85" spans="1:10">
      <c r="A85" t="s">
        <v>3800</v>
      </c>
      <c r="B85" s="1">
        <v>41851</v>
      </c>
      <c r="C85" t="s">
        <v>4347</v>
      </c>
      <c r="D85">
        <v>1</v>
      </c>
      <c r="E85" t="s">
        <v>4348</v>
      </c>
      <c r="H85" s="3">
        <f t="shared" si="1"/>
        <v>356752.875</v>
      </c>
      <c r="I85" s="3">
        <v>57080.46</v>
      </c>
    </row>
    <row r="86" spans="1:10">
      <c r="A86" t="s">
        <v>4114</v>
      </c>
      <c r="B86" s="1">
        <v>41828</v>
      </c>
      <c r="C86" t="s">
        <v>4115</v>
      </c>
      <c r="D86">
        <v>1</v>
      </c>
      <c r="E86" t="s">
        <v>4116</v>
      </c>
      <c r="H86" s="3">
        <f t="shared" si="1"/>
        <v>210177.81249999997</v>
      </c>
      <c r="I86" s="3">
        <v>33628.449999999997</v>
      </c>
    </row>
    <row r="87" spans="1:10">
      <c r="A87" t="s">
        <v>3860</v>
      </c>
      <c r="B87" s="1">
        <v>41827</v>
      </c>
      <c r="C87" t="s">
        <v>4412</v>
      </c>
      <c r="D87">
        <v>1</v>
      </c>
      <c r="E87" t="s">
        <v>533</v>
      </c>
      <c r="H87" s="3">
        <f t="shared" si="1"/>
        <v>7700</v>
      </c>
      <c r="I87" s="3">
        <v>1232</v>
      </c>
    </row>
    <row r="88" spans="1:10">
      <c r="A88" t="s">
        <v>494</v>
      </c>
      <c r="B88" s="1">
        <v>41832</v>
      </c>
      <c r="C88" t="s">
        <v>4430</v>
      </c>
      <c r="D88">
        <v>1</v>
      </c>
      <c r="E88" t="s">
        <v>533</v>
      </c>
      <c r="H88" s="3">
        <f t="shared" si="1"/>
        <v>31250</v>
      </c>
      <c r="I88" s="3">
        <v>5000</v>
      </c>
    </row>
    <row r="89" spans="1:10">
      <c r="A89" t="s">
        <v>570</v>
      </c>
      <c r="B89" s="1">
        <v>41838</v>
      </c>
      <c r="C89" t="s">
        <v>4457</v>
      </c>
      <c r="D89">
        <v>1</v>
      </c>
      <c r="E89" t="s">
        <v>533</v>
      </c>
      <c r="H89" s="3">
        <f t="shared" si="1"/>
        <v>54400</v>
      </c>
      <c r="I89" s="3">
        <v>8704</v>
      </c>
    </row>
    <row r="90" spans="1:10">
      <c r="A90" t="s">
        <v>572</v>
      </c>
      <c r="B90" s="1">
        <v>41838</v>
      </c>
      <c r="C90" t="s">
        <v>4458</v>
      </c>
      <c r="D90">
        <v>1</v>
      </c>
      <c r="E90" t="s">
        <v>533</v>
      </c>
      <c r="H90" s="3">
        <f t="shared" si="1"/>
        <v>23200</v>
      </c>
      <c r="I90" s="3">
        <v>3712</v>
      </c>
    </row>
    <row r="91" spans="1:10">
      <c r="A91" t="s">
        <v>1499</v>
      </c>
      <c r="B91" s="1">
        <v>41851</v>
      </c>
      <c r="C91" t="s">
        <v>4514</v>
      </c>
      <c r="D91">
        <v>1</v>
      </c>
      <c r="E91" t="s">
        <v>533</v>
      </c>
      <c r="H91" s="3">
        <f t="shared" si="1"/>
        <v>18000</v>
      </c>
      <c r="I91" s="3">
        <v>2880</v>
      </c>
    </row>
    <row r="92" spans="1:10">
      <c r="A92" t="s">
        <v>666</v>
      </c>
      <c r="B92" s="1">
        <v>41851</v>
      </c>
      <c r="C92" t="s">
        <v>4496</v>
      </c>
      <c r="D92">
        <v>1</v>
      </c>
      <c r="E92" t="s">
        <v>4497</v>
      </c>
      <c r="H92" s="3">
        <f t="shared" si="1"/>
        <v>7554.625</v>
      </c>
      <c r="I92" s="3">
        <v>1208.74</v>
      </c>
    </row>
    <row r="93" spans="1:10">
      <c r="A93" t="s">
        <v>531</v>
      </c>
      <c r="B93" s="1">
        <v>41836</v>
      </c>
      <c r="C93" t="s">
        <v>4446</v>
      </c>
      <c r="D93">
        <v>1</v>
      </c>
      <c r="E93" t="s">
        <v>462</v>
      </c>
      <c r="H93" s="3">
        <f t="shared" si="1"/>
        <v>9540.6875</v>
      </c>
      <c r="I93" s="3">
        <v>1526.51</v>
      </c>
    </row>
    <row r="94" spans="1:10">
      <c r="A94" t="s">
        <v>4083</v>
      </c>
      <c r="B94" s="1">
        <v>41821</v>
      </c>
      <c r="C94" t="s">
        <v>4084</v>
      </c>
      <c r="D94">
        <v>1</v>
      </c>
      <c r="E94" t="s">
        <v>4085</v>
      </c>
      <c r="H94" s="3">
        <f t="shared" si="1"/>
        <v>216185.75</v>
      </c>
      <c r="I94" s="3">
        <v>34589.72</v>
      </c>
    </row>
    <row r="95" spans="1:10">
      <c r="A95" t="s">
        <v>4126</v>
      </c>
      <c r="B95" s="1">
        <v>41830</v>
      </c>
      <c r="C95" t="s">
        <v>4127</v>
      </c>
      <c r="D95">
        <v>1</v>
      </c>
      <c r="E95" t="s">
        <v>4128</v>
      </c>
      <c r="H95" s="3">
        <f t="shared" si="1"/>
        <v>315421.25</v>
      </c>
      <c r="I95" s="3">
        <v>50467.4</v>
      </c>
    </row>
    <row r="96" spans="1:10">
      <c r="A96" t="s">
        <v>2209</v>
      </c>
      <c r="B96" s="1">
        <v>41842</v>
      </c>
      <c r="C96" t="s">
        <v>4469</v>
      </c>
      <c r="D96">
        <v>1</v>
      </c>
      <c r="E96" t="s">
        <v>4470</v>
      </c>
      <c r="H96" s="3">
        <f t="shared" si="1"/>
        <v>2931.0625</v>
      </c>
      <c r="I96" s="3">
        <v>468.97</v>
      </c>
    </row>
    <row r="97" spans="1:9">
      <c r="A97" t="s">
        <v>4202</v>
      </c>
      <c r="B97" s="1">
        <v>41843</v>
      </c>
      <c r="C97">
        <v>10436</v>
      </c>
      <c r="D97">
        <v>1</v>
      </c>
      <c r="E97" t="s">
        <v>1127</v>
      </c>
      <c r="H97" s="3">
        <f t="shared" si="1"/>
        <v>68.125</v>
      </c>
      <c r="I97" s="3">
        <v>10.9</v>
      </c>
    </row>
    <row r="98" spans="1:9">
      <c r="A98" t="s">
        <v>4534</v>
      </c>
      <c r="B98" s="1">
        <v>41851</v>
      </c>
      <c r="C98" t="s">
        <v>4535</v>
      </c>
      <c r="D98">
        <v>1</v>
      </c>
      <c r="E98" t="s">
        <v>4536</v>
      </c>
      <c r="H98" s="3">
        <f t="shared" si="1"/>
        <v>189.375</v>
      </c>
      <c r="I98" s="3">
        <v>30.3</v>
      </c>
    </row>
    <row r="99" spans="1:9">
      <c r="A99" t="s">
        <v>4534</v>
      </c>
      <c r="B99" s="1">
        <v>41851</v>
      </c>
      <c r="C99" t="s">
        <v>4535</v>
      </c>
      <c r="D99">
        <v>1</v>
      </c>
      <c r="E99" t="s">
        <v>4536</v>
      </c>
      <c r="H99" s="3">
        <f t="shared" si="1"/>
        <v>307.25</v>
      </c>
      <c r="I99" s="3">
        <v>49.16</v>
      </c>
    </row>
    <row r="100" spans="1:9">
      <c r="A100" t="s">
        <v>4534</v>
      </c>
      <c r="B100" s="1">
        <v>41851</v>
      </c>
      <c r="C100" t="s">
        <v>4535</v>
      </c>
      <c r="D100">
        <v>1</v>
      </c>
      <c r="E100" t="s">
        <v>4536</v>
      </c>
      <c r="H100" s="3">
        <f t="shared" si="1"/>
        <v>652.75</v>
      </c>
      <c r="I100" s="3">
        <v>104.44</v>
      </c>
    </row>
    <row r="101" spans="1:9">
      <c r="A101" t="s">
        <v>4213</v>
      </c>
      <c r="B101" s="1">
        <v>41843</v>
      </c>
      <c r="C101" t="s">
        <v>4214</v>
      </c>
      <c r="D101">
        <v>1</v>
      </c>
      <c r="E101" t="s">
        <v>3595</v>
      </c>
      <c r="H101" s="3">
        <f t="shared" si="1"/>
        <v>139.8125</v>
      </c>
      <c r="I101" s="3">
        <v>22.37</v>
      </c>
    </row>
    <row r="102" spans="1:9">
      <c r="A102" t="s">
        <v>222</v>
      </c>
      <c r="B102" s="1">
        <v>41845</v>
      </c>
      <c r="C102" t="s">
        <v>4236</v>
      </c>
      <c r="D102">
        <v>1</v>
      </c>
      <c r="E102" t="s">
        <v>4237</v>
      </c>
      <c r="H102" s="3">
        <f t="shared" si="1"/>
        <v>139737.5</v>
      </c>
      <c r="I102" s="3">
        <v>22358</v>
      </c>
    </row>
    <row r="103" spans="1:9">
      <c r="A103" t="s">
        <v>4123</v>
      </c>
      <c r="B103" s="1">
        <v>41829</v>
      </c>
      <c r="C103" t="s">
        <v>4124</v>
      </c>
      <c r="D103">
        <v>1</v>
      </c>
      <c r="E103" t="s">
        <v>4125</v>
      </c>
      <c r="H103" s="3">
        <f t="shared" si="1"/>
        <v>148194.375</v>
      </c>
      <c r="I103" s="3">
        <v>23711.1</v>
      </c>
    </row>
    <row r="104" spans="1:9">
      <c r="A104" t="s">
        <v>4203</v>
      </c>
      <c r="B104" s="1">
        <v>41843</v>
      </c>
      <c r="C104">
        <v>10437</v>
      </c>
      <c r="D104">
        <v>1</v>
      </c>
      <c r="E104" t="s">
        <v>4204</v>
      </c>
      <c r="H104" s="3">
        <f t="shared" si="1"/>
        <v>24.0625</v>
      </c>
      <c r="I104" s="3">
        <v>3.85</v>
      </c>
    </row>
    <row r="105" spans="1:9">
      <c r="A105" t="s">
        <v>4206</v>
      </c>
      <c r="B105" s="1">
        <v>41843</v>
      </c>
      <c r="C105">
        <v>10443</v>
      </c>
      <c r="D105">
        <v>1</v>
      </c>
      <c r="E105" t="s">
        <v>2020</v>
      </c>
      <c r="H105" s="3">
        <f t="shared" si="1"/>
        <v>310.375</v>
      </c>
      <c r="I105" s="3">
        <v>49.66</v>
      </c>
    </row>
    <row r="106" spans="1:9">
      <c r="A106" t="s">
        <v>1198</v>
      </c>
      <c r="B106" s="1">
        <v>41848</v>
      </c>
      <c r="C106">
        <v>10472</v>
      </c>
      <c r="D106">
        <v>1</v>
      </c>
      <c r="E106" t="s">
        <v>343</v>
      </c>
      <c r="H106" s="3">
        <f t="shared" si="1"/>
        <v>34.5625</v>
      </c>
      <c r="I106" s="3">
        <v>5.53</v>
      </c>
    </row>
    <row r="107" spans="1:9">
      <c r="A107" t="s">
        <v>4207</v>
      </c>
      <c r="B107" s="1">
        <v>41843</v>
      </c>
      <c r="C107">
        <v>10445</v>
      </c>
      <c r="D107">
        <v>1</v>
      </c>
      <c r="E107" t="s">
        <v>270</v>
      </c>
      <c r="H107" s="3">
        <f t="shared" si="1"/>
        <v>57.625</v>
      </c>
      <c r="I107" s="3">
        <v>9.2200000000000006</v>
      </c>
    </row>
    <row r="108" spans="1:9">
      <c r="A108" t="s">
        <v>4374</v>
      </c>
      <c r="B108" s="1">
        <v>41851</v>
      </c>
      <c r="C108">
        <v>10500</v>
      </c>
      <c r="D108">
        <v>1</v>
      </c>
      <c r="E108" t="s">
        <v>270</v>
      </c>
      <c r="H108" s="3">
        <f t="shared" si="1"/>
        <v>128.3125</v>
      </c>
      <c r="I108" s="3">
        <v>20.53</v>
      </c>
    </row>
    <row r="109" spans="1:9">
      <c r="A109" t="s">
        <v>3702</v>
      </c>
      <c r="B109" s="1">
        <v>41848</v>
      </c>
      <c r="C109">
        <v>10471</v>
      </c>
      <c r="D109">
        <v>1</v>
      </c>
      <c r="E109" t="s">
        <v>2588</v>
      </c>
      <c r="H109" s="3">
        <f t="shared" si="1"/>
        <v>1200</v>
      </c>
      <c r="I109" s="3">
        <v>192</v>
      </c>
    </row>
    <row r="110" spans="1:9">
      <c r="A110" t="s">
        <v>651</v>
      </c>
      <c r="B110" s="1">
        <v>41850</v>
      </c>
      <c r="C110" t="s">
        <v>4491</v>
      </c>
      <c r="D110">
        <v>1</v>
      </c>
      <c r="E110" t="s">
        <v>450</v>
      </c>
      <c r="H110" s="3">
        <f t="shared" si="1"/>
        <v>6233.625</v>
      </c>
      <c r="I110" s="3">
        <v>997.38</v>
      </c>
    </row>
    <row r="111" spans="1:9">
      <c r="A111" t="s">
        <v>2729</v>
      </c>
      <c r="B111" s="1">
        <v>41832</v>
      </c>
      <c r="C111" t="s">
        <v>4433</v>
      </c>
      <c r="D111">
        <v>1</v>
      </c>
      <c r="E111" t="s">
        <v>3885</v>
      </c>
      <c r="H111" s="3">
        <f t="shared" si="1"/>
        <v>575</v>
      </c>
      <c r="I111" s="3">
        <v>92</v>
      </c>
    </row>
    <row r="112" spans="1:9">
      <c r="A112" t="s">
        <v>678</v>
      </c>
      <c r="B112" s="1">
        <v>41851</v>
      </c>
      <c r="C112" t="s">
        <v>4516</v>
      </c>
      <c r="D112">
        <v>1</v>
      </c>
      <c r="E112" t="s">
        <v>3885</v>
      </c>
      <c r="H112" s="3">
        <f t="shared" si="1"/>
        <v>2759</v>
      </c>
      <c r="I112" s="3">
        <v>441.44</v>
      </c>
    </row>
    <row r="113" spans="1:9">
      <c r="A113" t="s">
        <v>1315</v>
      </c>
      <c r="B113" s="1">
        <v>41827</v>
      </c>
      <c r="C113" t="s">
        <v>4406</v>
      </c>
      <c r="D113">
        <v>1</v>
      </c>
      <c r="E113" t="s">
        <v>499</v>
      </c>
      <c r="H113" s="3">
        <f t="shared" si="1"/>
        <v>3983.0624999999995</v>
      </c>
      <c r="I113" s="3">
        <v>637.29</v>
      </c>
    </row>
    <row r="114" spans="1:9">
      <c r="A114" t="s">
        <v>508</v>
      </c>
      <c r="B114" s="1">
        <v>41832</v>
      </c>
      <c r="C114" t="s">
        <v>4437</v>
      </c>
      <c r="D114">
        <v>1</v>
      </c>
      <c r="E114" t="s">
        <v>499</v>
      </c>
      <c r="H114" s="3">
        <f t="shared" si="1"/>
        <v>30.1875</v>
      </c>
      <c r="I114" s="3">
        <v>4.83</v>
      </c>
    </row>
    <row r="115" spans="1:9">
      <c r="A115" t="s">
        <v>1486</v>
      </c>
      <c r="B115" s="1">
        <v>41851</v>
      </c>
      <c r="C115" t="s">
        <v>4506</v>
      </c>
      <c r="D115">
        <v>1</v>
      </c>
      <c r="E115" t="s">
        <v>499</v>
      </c>
      <c r="H115" s="3">
        <f t="shared" si="1"/>
        <v>1378</v>
      </c>
      <c r="I115" s="3">
        <v>220.48</v>
      </c>
    </row>
    <row r="116" spans="1:9">
      <c r="A116" t="s">
        <v>680</v>
      </c>
      <c r="B116" s="1">
        <v>41851</v>
      </c>
      <c r="C116" t="s">
        <v>4517</v>
      </c>
      <c r="D116">
        <v>1</v>
      </c>
      <c r="E116" t="s">
        <v>499</v>
      </c>
      <c r="H116" s="3">
        <f t="shared" si="1"/>
        <v>1158.3125</v>
      </c>
      <c r="I116" s="3">
        <v>185.33</v>
      </c>
    </row>
    <row r="117" spans="1:9">
      <c r="A117" t="s">
        <v>568</v>
      </c>
      <c r="B117" s="1">
        <v>41838</v>
      </c>
      <c r="C117" t="s">
        <v>4455</v>
      </c>
      <c r="D117">
        <v>1</v>
      </c>
      <c r="E117" t="s">
        <v>2820</v>
      </c>
      <c r="H117" s="3">
        <f t="shared" si="1"/>
        <v>1000</v>
      </c>
      <c r="I117" s="3">
        <v>160</v>
      </c>
    </row>
    <row r="118" spans="1:9">
      <c r="A118" t="s">
        <v>4368</v>
      </c>
      <c r="B118" s="1">
        <v>41851</v>
      </c>
      <c r="C118">
        <v>10494</v>
      </c>
      <c r="D118">
        <v>1</v>
      </c>
      <c r="E118" t="s">
        <v>373</v>
      </c>
      <c r="H118" s="3">
        <f t="shared" si="1"/>
        <v>49.9375</v>
      </c>
      <c r="I118" s="3">
        <v>7.99</v>
      </c>
    </row>
    <row r="119" spans="1:9">
      <c r="A119" t="s">
        <v>4205</v>
      </c>
      <c r="B119" s="1">
        <v>41843</v>
      </c>
      <c r="C119">
        <v>10441</v>
      </c>
      <c r="D119">
        <v>1</v>
      </c>
      <c r="E119" t="s">
        <v>349</v>
      </c>
      <c r="H119" s="3">
        <f t="shared" si="1"/>
        <v>344.8125</v>
      </c>
      <c r="I119" s="3">
        <v>55.17</v>
      </c>
    </row>
    <row r="120" spans="1:9">
      <c r="A120" t="s">
        <v>234</v>
      </c>
      <c r="B120" s="1">
        <v>41848</v>
      </c>
      <c r="C120">
        <v>10466</v>
      </c>
      <c r="D120">
        <v>1</v>
      </c>
      <c r="E120" t="s">
        <v>349</v>
      </c>
      <c r="H120" s="3">
        <f t="shared" si="1"/>
        <v>344.8125</v>
      </c>
      <c r="I120" s="3">
        <v>55.17</v>
      </c>
    </row>
    <row r="121" spans="1:9">
      <c r="A121" t="s">
        <v>4290</v>
      </c>
      <c r="B121" s="1">
        <v>41848</v>
      </c>
      <c r="C121">
        <v>10473</v>
      </c>
      <c r="D121">
        <v>1</v>
      </c>
      <c r="E121" t="s">
        <v>2596</v>
      </c>
      <c r="H121" s="3">
        <f t="shared" si="1"/>
        <v>344.8125</v>
      </c>
      <c r="I121" s="3">
        <v>55.17</v>
      </c>
    </row>
    <row r="122" spans="1:9">
      <c r="A122" t="s">
        <v>564</v>
      </c>
      <c r="B122" s="1">
        <v>41838</v>
      </c>
      <c r="C122" t="s">
        <v>4453</v>
      </c>
      <c r="D122">
        <v>1</v>
      </c>
      <c r="E122" t="s">
        <v>1389</v>
      </c>
      <c r="H122" s="3">
        <f t="shared" si="1"/>
        <v>1157.5625</v>
      </c>
      <c r="I122" s="3">
        <v>185.21</v>
      </c>
    </row>
    <row r="123" spans="1:9">
      <c r="A123" t="s">
        <v>682</v>
      </c>
      <c r="B123" s="1">
        <v>41851</v>
      </c>
      <c r="C123" t="s">
        <v>4520</v>
      </c>
      <c r="D123">
        <v>1</v>
      </c>
      <c r="E123" t="s">
        <v>1389</v>
      </c>
      <c r="H123" s="3">
        <f t="shared" si="1"/>
        <v>1157.5625</v>
      </c>
      <c r="I123" s="3">
        <v>185.21</v>
      </c>
    </row>
    <row r="124" spans="1:9">
      <c r="A124" t="s">
        <v>3849</v>
      </c>
      <c r="B124" s="1">
        <v>41827</v>
      </c>
      <c r="C124" t="s">
        <v>4403</v>
      </c>
      <c r="D124">
        <v>2</v>
      </c>
      <c r="E124" t="s">
        <v>512</v>
      </c>
      <c r="H124" s="3">
        <f t="shared" si="1"/>
        <v>4769.875</v>
      </c>
      <c r="I124" s="3">
        <v>763.18</v>
      </c>
    </row>
    <row r="125" spans="1:9">
      <c r="A125" t="s">
        <v>506</v>
      </c>
      <c r="B125" s="1">
        <v>41832</v>
      </c>
      <c r="C125" t="s">
        <v>4436</v>
      </c>
      <c r="D125">
        <v>2</v>
      </c>
      <c r="E125" t="s">
        <v>512</v>
      </c>
      <c r="H125" s="3">
        <f t="shared" si="1"/>
        <v>526.8125</v>
      </c>
      <c r="I125" s="3">
        <v>84.29</v>
      </c>
    </row>
    <row r="126" spans="1:9">
      <c r="A126" t="s">
        <v>578</v>
      </c>
      <c r="B126" s="1">
        <v>41838</v>
      </c>
      <c r="C126" t="s">
        <v>4462</v>
      </c>
      <c r="D126">
        <v>2</v>
      </c>
      <c r="E126" t="s">
        <v>512</v>
      </c>
      <c r="H126" s="3">
        <f t="shared" si="1"/>
        <v>2422.5</v>
      </c>
      <c r="I126" s="3">
        <v>387.6</v>
      </c>
    </row>
    <row r="127" spans="1:9">
      <c r="A127" t="s">
        <v>673</v>
      </c>
      <c r="B127" s="1">
        <v>41851</v>
      </c>
      <c r="C127" t="s">
        <v>4505</v>
      </c>
      <c r="D127">
        <v>2</v>
      </c>
      <c r="E127" t="s">
        <v>512</v>
      </c>
      <c r="H127" s="3">
        <f t="shared" si="1"/>
        <v>3471.25</v>
      </c>
      <c r="I127" s="3">
        <v>555.4</v>
      </c>
    </row>
    <row r="128" spans="1:9">
      <c r="A128" t="s">
        <v>1494</v>
      </c>
      <c r="B128" s="1">
        <v>41851</v>
      </c>
      <c r="C128" t="s">
        <v>4512</v>
      </c>
      <c r="D128">
        <v>2</v>
      </c>
      <c r="E128" t="s">
        <v>512</v>
      </c>
      <c r="H128" s="3">
        <f t="shared" si="1"/>
        <v>1394.75</v>
      </c>
      <c r="I128" s="3">
        <v>223.16</v>
      </c>
    </row>
    <row r="129" spans="1:9">
      <c r="A129" t="s">
        <v>4226</v>
      </c>
      <c r="B129" s="1">
        <v>41843</v>
      </c>
      <c r="C129" t="s">
        <v>4227</v>
      </c>
      <c r="D129">
        <v>1</v>
      </c>
      <c r="E129" t="s">
        <v>135</v>
      </c>
      <c r="H129" s="3">
        <f t="shared" si="1"/>
        <v>350</v>
      </c>
      <c r="I129" s="3">
        <v>56</v>
      </c>
    </row>
    <row r="130" spans="1:9">
      <c r="A130" t="s">
        <v>1477</v>
      </c>
      <c r="B130" s="1">
        <v>41851</v>
      </c>
      <c r="C130" t="s">
        <v>4500</v>
      </c>
      <c r="D130">
        <v>2</v>
      </c>
      <c r="E130" t="s">
        <v>608</v>
      </c>
      <c r="H130" s="3">
        <f t="shared" si="1"/>
        <v>770</v>
      </c>
      <c r="I130" s="3">
        <v>123.2</v>
      </c>
    </row>
    <row r="131" spans="1:9">
      <c r="A131" t="s">
        <v>4371</v>
      </c>
      <c r="B131" s="1">
        <v>41851</v>
      </c>
      <c r="C131">
        <v>10497</v>
      </c>
      <c r="D131">
        <v>1</v>
      </c>
      <c r="E131" t="s">
        <v>1245</v>
      </c>
      <c r="H131" s="3">
        <f t="shared" si="1"/>
        <v>484.99999999999994</v>
      </c>
      <c r="I131" s="3">
        <v>77.599999999999994</v>
      </c>
    </row>
    <row r="132" spans="1:9">
      <c r="A132" t="s">
        <v>40</v>
      </c>
      <c r="B132" s="1">
        <v>41831</v>
      </c>
      <c r="C132" t="s">
        <v>4144</v>
      </c>
      <c r="D132">
        <v>1</v>
      </c>
      <c r="E132" t="s">
        <v>3059</v>
      </c>
      <c r="H132" s="3">
        <f t="shared" si="1"/>
        <v>51.249999999999993</v>
      </c>
      <c r="I132" s="3">
        <v>8.1999999999999993</v>
      </c>
    </row>
    <row r="133" spans="1:9">
      <c r="A133" t="s">
        <v>3525</v>
      </c>
      <c r="B133" s="1">
        <v>41851</v>
      </c>
      <c r="C133" t="s">
        <v>4343</v>
      </c>
      <c r="D133">
        <v>1</v>
      </c>
      <c r="E133" t="s">
        <v>4344</v>
      </c>
      <c r="H133" s="3">
        <f t="shared" si="1"/>
        <v>176668.5</v>
      </c>
      <c r="I133" s="3">
        <v>28266.959999999999</v>
      </c>
    </row>
    <row r="134" spans="1:9">
      <c r="A134" t="s">
        <v>4134</v>
      </c>
      <c r="B134" s="1">
        <v>41830</v>
      </c>
      <c r="C134" t="s">
        <v>4135</v>
      </c>
      <c r="D134">
        <v>1</v>
      </c>
      <c r="E134" t="s">
        <v>782</v>
      </c>
      <c r="H134" s="3">
        <f t="shared" si="1"/>
        <v>216185.75</v>
      </c>
      <c r="I134" s="3">
        <v>34589.72</v>
      </c>
    </row>
    <row r="135" spans="1:9">
      <c r="A135" t="s">
        <v>269</v>
      </c>
      <c r="B135" s="1">
        <v>41850</v>
      </c>
      <c r="C135" t="s">
        <v>4319</v>
      </c>
      <c r="D135">
        <v>1</v>
      </c>
      <c r="E135" t="s">
        <v>4320</v>
      </c>
      <c r="H135" s="3">
        <f t="shared" si="1"/>
        <v>162935.75</v>
      </c>
      <c r="I135" s="3">
        <v>26069.72</v>
      </c>
    </row>
    <row r="136" spans="1:9">
      <c r="A136" t="s">
        <v>1745</v>
      </c>
      <c r="B136" s="1">
        <v>41831</v>
      </c>
      <c r="C136" t="s">
        <v>4142</v>
      </c>
      <c r="D136">
        <v>1</v>
      </c>
      <c r="E136" t="s">
        <v>4143</v>
      </c>
      <c r="H136" s="3">
        <f t="shared" ref="H136:H199" si="2">+I136/0.16</f>
        <v>431.0625</v>
      </c>
      <c r="I136" s="3">
        <v>68.97</v>
      </c>
    </row>
    <row r="137" spans="1:9">
      <c r="A137" t="s">
        <v>4136</v>
      </c>
      <c r="B137" s="1">
        <v>41831</v>
      </c>
      <c r="C137" t="s">
        <v>4137</v>
      </c>
      <c r="D137">
        <v>1</v>
      </c>
      <c r="E137" t="s">
        <v>4138</v>
      </c>
      <c r="H137" s="3">
        <f t="shared" si="2"/>
        <v>215.49999999999997</v>
      </c>
      <c r="I137" s="3">
        <v>34.479999999999997</v>
      </c>
    </row>
    <row r="138" spans="1:9">
      <c r="A138" t="s">
        <v>1736</v>
      </c>
      <c r="B138" s="1">
        <v>41831</v>
      </c>
      <c r="C138" t="s">
        <v>4139</v>
      </c>
      <c r="D138">
        <v>1</v>
      </c>
      <c r="E138" t="s">
        <v>4138</v>
      </c>
      <c r="H138" s="3">
        <f t="shared" si="2"/>
        <v>646.5625</v>
      </c>
      <c r="I138" s="3">
        <v>103.45</v>
      </c>
    </row>
    <row r="139" spans="1:9">
      <c r="A139" t="s">
        <v>4366</v>
      </c>
      <c r="B139" s="1">
        <v>41851</v>
      </c>
      <c r="C139" t="s">
        <v>26</v>
      </c>
      <c r="D139">
        <v>1</v>
      </c>
      <c r="E139" t="s">
        <v>4367</v>
      </c>
      <c r="H139" s="3">
        <f t="shared" si="2"/>
        <v>1712.75</v>
      </c>
      <c r="I139" s="3">
        <v>274.04000000000002</v>
      </c>
    </row>
    <row r="140" spans="1:9">
      <c r="A140" t="s">
        <v>516</v>
      </c>
      <c r="B140" s="1">
        <v>41835</v>
      </c>
      <c r="C140" t="s">
        <v>4444</v>
      </c>
      <c r="D140">
        <v>1</v>
      </c>
      <c r="E140" t="s">
        <v>1501</v>
      </c>
      <c r="H140" s="3">
        <f t="shared" si="2"/>
        <v>31802.125</v>
      </c>
      <c r="I140" s="3">
        <v>5088.34</v>
      </c>
    </row>
    <row r="141" spans="1:9">
      <c r="A141" t="s">
        <v>1749</v>
      </c>
      <c r="B141" s="1">
        <v>41831</v>
      </c>
      <c r="C141">
        <v>10402</v>
      </c>
      <c r="D141">
        <v>1</v>
      </c>
      <c r="E141" t="s">
        <v>4146</v>
      </c>
      <c r="H141" s="3">
        <f t="shared" si="2"/>
        <v>1079.25</v>
      </c>
      <c r="I141" s="3">
        <v>172.68</v>
      </c>
    </row>
    <row r="142" spans="1:9">
      <c r="A142" t="s">
        <v>4092</v>
      </c>
      <c r="B142" s="1">
        <v>41823</v>
      </c>
      <c r="C142" t="s">
        <v>4093</v>
      </c>
      <c r="D142">
        <v>1</v>
      </c>
      <c r="E142" t="s">
        <v>4094</v>
      </c>
      <c r="H142" s="3">
        <f t="shared" si="2"/>
        <v>2586.1875</v>
      </c>
      <c r="I142" s="3">
        <v>413.79</v>
      </c>
    </row>
    <row r="143" spans="1:9">
      <c r="A143" t="s">
        <v>2063</v>
      </c>
      <c r="B143" s="1">
        <v>41851</v>
      </c>
      <c r="C143" t="s">
        <v>4335</v>
      </c>
      <c r="D143">
        <v>1</v>
      </c>
      <c r="E143" t="s">
        <v>4336</v>
      </c>
      <c r="H143" s="3">
        <f t="shared" si="2"/>
        <v>1587.625</v>
      </c>
      <c r="I143" s="3">
        <v>254.02</v>
      </c>
    </row>
    <row r="144" spans="1:9">
      <c r="A144" t="s">
        <v>1322</v>
      </c>
      <c r="B144" s="1">
        <v>41827</v>
      </c>
      <c r="C144" t="s">
        <v>4416</v>
      </c>
      <c r="D144">
        <v>1</v>
      </c>
      <c r="E144" t="s">
        <v>4417</v>
      </c>
      <c r="H144" s="3">
        <f t="shared" si="2"/>
        <v>1056.5625</v>
      </c>
      <c r="I144" s="3">
        <v>169.05</v>
      </c>
    </row>
    <row r="145" spans="1:9">
      <c r="A145" t="s">
        <v>460</v>
      </c>
      <c r="B145" s="1">
        <v>41827</v>
      </c>
      <c r="C145" t="s">
        <v>4421</v>
      </c>
      <c r="D145">
        <v>1</v>
      </c>
      <c r="E145" t="s">
        <v>4417</v>
      </c>
      <c r="H145" s="3">
        <f t="shared" si="2"/>
        <v>3474.4374999999995</v>
      </c>
      <c r="I145" s="3">
        <v>555.91</v>
      </c>
    </row>
    <row r="146" spans="1:9">
      <c r="A146" t="s">
        <v>2798</v>
      </c>
      <c r="B146" s="1">
        <v>41844</v>
      </c>
      <c r="C146" t="s">
        <v>4478</v>
      </c>
      <c r="D146">
        <v>1</v>
      </c>
      <c r="E146" t="s">
        <v>4417</v>
      </c>
      <c r="H146" s="3">
        <f t="shared" si="2"/>
        <v>368.6875</v>
      </c>
      <c r="I146" s="3">
        <v>58.99</v>
      </c>
    </row>
    <row r="147" spans="1:9">
      <c r="A147" t="s">
        <v>2671</v>
      </c>
      <c r="B147" s="1">
        <v>41823</v>
      </c>
      <c r="C147" t="s">
        <v>4396</v>
      </c>
      <c r="D147">
        <v>1</v>
      </c>
      <c r="E147" t="s">
        <v>4397</v>
      </c>
      <c r="H147" s="3">
        <f t="shared" si="2"/>
        <v>275862.0625</v>
      </c>
      <c r="I147" s="3">
        <v>44137.93</v>
      </c>
    </row>
    <row r="148" spans="1:9">
      <c r="A148" t="s">
        <v>2059</v>
      </c>
      <c r="B148" s="1">
        <v>41841</v>
      </c>
      <c r="C148" t="s">
        <v>4333</v>
      </c>
      <c r="D148">
        <v>1</v>
      </c>
      <c r="E148" t="s">
        <v>4334</v>
      </c>
      <c r="H148" s="3">
        <f t="shared" si="2"/>
        <v>3571.125</v>
      </c>
      <c r="I148" s="3">
        <v>571.38</v>
      </c>
    </row>
    <row r="149" spans="1:9">
      <c r="A149" t="s">
        <v>1433</v>
      </c>
      <c r="B149" s="1">
        <v>41842</v>
      </c>
      <c r="C149" t="s">
        <v>4474</v>
      </c>
      <c r="D149">
        <v>1</v>
      </c>
      <c r="E149" t="s">
        <v>675</v>
      </c>
      <c r="H149" s="3">
        <f t="shared" si="2"/>
        <v>133928.5625</v>
      </c>
      <c r="I149" s="3">
        <v>21428.57</v>
      </c>
    </row>
    <row r="150" spans="1:9">
      <c r="A150" t="s">
        <v>1475</v>
      </c>
      <c r="B150" s="1">
        <v>41851</v>
      </c>
      <c r="C150" t="s">
        <v>4498</v>
      </c>
      <c r="D150">
        <v>2</v>
      </c>
      <c r="E150" t="s">
        <v>4499</v>
      </c>
      <c r="H150" s="3">
        <f t="shared" si="2"/>
        <v>4897.8125</v>
      </c>
      <c r="I150" s="3">
        <v>783.65</v>
      </c>
    </row>
    <row r="151" spans="1:9">
      <c r="A151" t="s">
        <v>2051</v>
      </c>
      <c r="B151" s="1">
        <v>41851</v>
      </c>
      <c r="C151" t="s">
        <v>4327</v>
      </c>
      <c r="D151">
        <v>1</v>
      </c>
      <c r="E151" t="s">
        <v>4328</v>
      </c>
      <c r="H151" s="3">
        <f t="shared" si="2"/>
        <v>1055.5625</v>
      </c>
      <c r="I151" s="3">
        <v>168.89</v>
      </c>
    </row>
    <row r="152" spans="1:9">
      <c r="A152" t="s">
        <v>2053</v>
      </c>
      <c r="B152" s="1">
        <v>41851</v>
      </c>
      <c r="C152" t="s">
        <v>4329</v>
      </c>
      <c r="D152">
        <v>1</v>
      </c>
      <c r="E152" t="s">
        <v>4330</v>
      </c>
      <c r="H152" s="3">
        <f t="shared" si="2"/>
        <v>2103.375</v>
      </c>
      <c r="I152" s="3">
        <v>336.54</v>
      </c>
    </row>
    <row r="153" spans="1:9">
      <c r="A153" t="s">
        <v>4129</v>
      </c>
      <c r="B153" s="1">
        <v>41830</v>
      </c>
      <c r="C153" t="s">
        <v>4130</v>
      </c>
      <c r="D153">
        <v>1</v>
      </c>
      <c r="E153" t="s">
        <v>4131</v>
      </c>
      <c r="H153" s="3">
        <f t="shared" si="2"/>
        <v>14963.749999999998</v>
      </c>
      <c r="I153" s="3">
        <v>2394.1999999999998</v>
      </c>
    </row>
    <row r="154" spans="1:9">
      <c r="A154" t="s">
        <v>2788</v>
      </c>
      <c r="B154" s="1">
        <v>41842</v>
      </c>
      <c r="C154" t="s">
        <v>4473</v>
      </c>
      <c r="D154">
        <v>1</v>
      </c>
      <c r="E154" t="s">
        <v>672</v>
      </c>
      <c r="H154" s="3">
        <f t="shared" si="2"/>
        <v>133928.5625</v>
      </c>
      <c r="I154" s="3">
        <v>21428.57</v>
      </c>
    </row>
    <row r="155" spans="1:9">
      <c r="A155" t="s">
        <v>2065</v>
      </c>
      <c r="B155" s="1">
        <v>41851</v>
      </c>
      <c r="C155" t="s">
        <v>4337</v>
      </c>
      <c r="D155">
        <v>1</v>
      </c>
      <c r="E155" t="s">
        <v>4338</v>
      </c>
      <c r="H155" s="3">
        <f t="shared" si="2"/>
        <v>15835.374999999998</v>
      </c>
      <c r="I155" s="3">
        <v>2533.66</v>
      </c>
    </row>
    <row r="156" spans="1:9">
      <c r="A156" t="s">
        <v>448</v>
      </c>
      <c r="B156" s="1">
        <v>41827</v>
      </c>
      <c r="C156" t="s">
        <v>4411</v>
      </c>
      <c r="D156">
        <v>1</v>
      </c>
      <c r="E156" t="s">
        <v>2736</v>
      </c>
      <c r="H156" s="3">
        <f t="shared" si="2"/>
        <v>150.75</v>
      </c>
      <c r="I156" s="3">
        <v>24.12</v>
      </c>
    </row>
    <row r="157" spans="1:9">
      <c r="A157" t="s">
        <v>3371</v>
      </c>
      <c r="B157" s="1">
        <v>41838</v>
      </c>
      <c r="C157" t="s">
        <v>4466</v>
      </c>
      <c r="D157">
        <v>1</v>
      </c>
      <c r="E157" t="s">
        <v>2736</v>
      </c>
      <c r="H157" s="3">
        <f t="shared" si="2"/>
        <v>583.75</v>
      </c>
      <c r="I157" s="3">
        <v>93.4</v>
      </c>
    </row>
    <row r="158" spans="1:9">
      <c r="A158" t="s">
        <v>670</v>
      </c>
      <c r="B158" s="1">
        <v>41851</v>
      </c>
      <c r="C158" t="s">
        <v>4504</v>
      </c>
      <c r="D158">
        <v>1</v>
      </c>
      <c r="E158" t="s">
        <v>2736</v>
      </c>
      <c r="H158" s="3">
        <f t="shared" si="2"/>
        <v>586.4375</v>
      </c>
      <c r="I158" s="3">
        <v>93.83</v>
      </c>
    </row>
    <row r="159" spans="1:9">
      <c r="A159" t="s">
        <v>2713</v>
      </c>
      <c r="B159" s="1">
        <v>41830</v>
      </c>
      <c r="C159" t="s">
        <v>4424</v>
      </c>
      <c r="D159">
        <v>1</v>
      </c>
      <c r="E159" t="s">
        <v>4425</v>
      </c>
      <c r="H159" s="3">
        <f t="shared" si="2"/>
        <v>56413.812499999993</v>
      </c>
      <c r="I159" s="3">
        <v>9026.2099999999991</v>
      </c>
    </row>
    <row r="160" spans="1:9">
      <c r="A160" t="s">
        <v>2156</v>
      </c>
      <c r="B160" s="1">
        <v>41830</v>
      </c>
      <c r="C160" t="s">
        <v>4426</v>
      </c>
      <c r="D160">
        <v>1</v>
      </c>
      <c r="E160" t="s">
        <v>4425</v>
      </c>
      <c r="H160" s="3">
        <f t="shared" si="2"/>
        <v>51724.125</v>
      </c>
      <c r="I160" s="3">
        <v>8275.86</v>
      </c>
    </row>
    <row r="161" spans="1:9">
      <c r="A161" t="s">
        <v>2716</v>
      </c>
      <c r="B161" s="1">
        <v>41830</v>
      </c>
      <c r="C161" t="s">
        <v>4427</v>
      </c>
      <c r="D161">
        <v>1</v>
      </c>
      <c r="E161" t="s">
        <v>4425</v>
      </c>
      <c r="H161" s="3">
        <f t="shared" si="2"/>
        <v>43103.4375</v>
      </c>
      <c r="I161" s="3">
        <v>6896.55</v>
      </c>
    </row>
    <row r="162" spans="1:9">
      <c r="A162" t="s">
        <v>489</v>
      </c>
      <c r="B162" s="1">
        <v>41830</v>
      </c>
      <c r="C162" t="s">
        <v>4428</v>
      </c>
      <c r="D162">
        <v>1</v>
      </c>
      <c r="E162" t="s">
        <v>4425</v>
      </c>
      <c r="H162" s="3">
        <f t="shared" si="2"/>
        <v>65034.5</v>
      </c>
      <c r="I162" s="3">
        <v>10405.52</v>
      </c>
    </row>
    <row r="163" spans="1:9">
      <c r="A163" t="s">
        <v>442</v>
      </c>
      <c r="B163" s="1">
        <v>41827</v>
      </c>
      <c r="C163" t="s">
        <v>4409</v>
      </c>
      <c r="D163">
        <v>1</v>
      </c>
      <c r="E163" t="s">
        <v>1367</v>
      </c>
      <c r="H163" s="3">
        <f t="shared" si="2"/>
        <v>30058.125</v>
      </c>
      <c r="I163" s="3">
        <v>4809.3</v>
      </c>
    </row>
    <row r="164" spans="1:9">
      <c r="A164" t="s">
        <v>500</v>
      </c>
      <c r="B164" s="1">
        <v>41832</v>
      </c>
      <c r="C164" t="s">
        <v>4431</v>
      </c>
      <c r="D164">
        <v>1</v>
      </c>
      <c r="E164" t="s">
        <v>1367</v>
      </c>
      <c r="H164" s="3">
        <f t="shared" si="2"/>
        <v>13824.937499999998</v>
      </c>
      <c r="I164" s="3">
        <v>2211.9899999999998</v>
      </c>
    </row>
    <row r="165" spans="1:9">
      <c r="A165" t="s">
        <v>1418</v>
      </c>
      <c r="B165" s="1">
        <v>41838</v>
      </c>
      <c r="C165" t="s">
        <v>4461</v>
      </c>
      <c r="D165">
        <v>1</v>
      </c>
      <c r="E165" t="s">
        <v>1367</v>
      </c>
      <c r="H165" s="3">
        <f t="shared" si="2"/>
        <v>9065.0625</v>
      </c>
      <c r="I165" s="3">
        <v>1450.41</v>
      </c>
    </row>
    <row r="166" spans="1:9">
      <c r="A166" t="s">
        <v>1490</v>
      </c>
      <c r="B166" s="1">
        <v>41851</v>
      </c>
      <c r="C166" t="s">
        <v>4508</v>
      </c>
      <c r="D166">
        <v>1</v>
      </c>
      <c r="E166" t="s">
        <v>1367</v>
      </c>
      <c r="H166" s="3">
        <f t="shared" si="2"/>
        <v>2131.625</v>
      </c>
      <c r="I166" s="3">
        <v>341.06</v>
      </c>
    </row>
    <row r="167" spans="1:9">
      <c r="A167" t="s">
        <v>1496</v>
      </c>
      <c r="B167" s="1">
        <v>41851</v>
      </c>
      <c r="C167" t="s">
        <v>4513</v>
      </c>
      <c r="D167">
        <v>1</v>
      </c>
      <c r="E167" t="s">
        <v>1367</v>
      </c>
      <c r="H167" s="3">
        <f t="shared" si="2"/>
        <v>17943.1875</v>
      </c>
      <c r="I167" s="3">
        <v>2870.91</v>
      </c>
    </row>
    <row r="168" spans="1:9">
      <c r="A168" t="s">
        <v>2057</v>
      </c>
      <c r="B168" s="1">
        <v>41851</v>
      </c>
      <c r="C168" t="s">
        <v>4331</v>
      </c>
      <c r="D168">
        <v>1</v>
      </c>
      <c r="E168" t="s">
        <v>4332</v>
      </c>
      <c r="H168" s="3">
        <f t="shared" si="2"/>
        <v>19918</v>
      </c>
      <c r="I168" s="3">
        <v>3186.88</v>
      </c>
    </row>
    <row r="169" spans="1:9">
      <c r="A169" t="s">
        <v>42</v>
      </c>
      <c r="B169" s="1">
        <v>41831</v>
      </c>
      <c r="C169">
        <v>10401</v>
      </c>
      <c r="D169">
        <v>1</v>
      </c>
      <c r="E169" t="s">
        <v>338</v>
      </c>
      <c r="H169" s="3">
        <f t="shared" si="2"/>
        <v>290.1875</v>
      </c>
      <c r="I169" s="3">
        <v>46.43</v>
      </c>
    </row>
    <row r="170" spans="1:9">
      <c r="A170" t="s">
        <v>4373</v>
      </c>
      <c r="B170" s="1">
        <v>41851</v>
      </c>
      <c r="C170">
        <v>10499</v>
      </c>
      <c r="D170">
        <v>1</v>
      </c>
      <c r="E170" t="s">
        <v>338</v>
      </c>
      <c r="H170" s="3">
        <f t="shared" si="2"/>
        <v>88.3125</v>
      </c>
      <c r="I170" s="3">
        <v>14.13</v>
      </c>
    </row>
    <row r="171" spans="1:9">
      <c r="A171" t="s">
        <v>1038</v>
      </c>
      <c r="B171" s="1">
        <v>41831</v>
      </c>
      <c r="C171" t="s">
        <v>4145</v>
      </c>
      <c r="D171">
        <v>1</v>
      </c>
      <c r="E171" t="s">
        <v>291</v>
      </c>
      <c r="H171" s="3">
        <f t="shared" si="2"/>
        <v>258.9375</v>
      </c>
      <c r="I171" s="3">
        <v>41.43</v>
      </c>
    </row>
    <row r="172" spans="1:9">
      <c r="A172" t="s">
        <v>4217</v>
      </c>
      <c r="B172" s="1">
        <v>41843</v>
      </c>
      <c r="C172" t="s">
        <v>4218</v>
      </c>
      <c r="D172">
        <v>1</v>
      </c>
      <c r="E172" t="s">
        <v>291</v>
      </c>
      <c r="H172" s="3">
        <f t="shared" si="2"/>
        <v>258.9375</v>
      </c>
      <c r="I172" s="3">
        <v>41.43</v>
      </c>
    </row>
    <row r="173" spans="1:9">
      <c r="A173" t="s">
        <v>3108</v>
      </c>
      <c r="B173" s="1">
        <v>41843</v>
      </c>
      <c r="C173" t="s">
        <v>4219</v>
      </c>
      <c r="D173">
        <v>1</v>
      </c>
      <c r="E173" t="s">
        <v>291</v>
      </c>
      <c r="H173" s="3">
        <f t="shared" si="2"/>
        <v>258.9375</v>
      </c>
      <c r="I173" s="3">
        <v>41.43</v>
      </c>
    </row>
    <row r="174" spans="1:9">
      <c r="A174" t="s">
        <v>4393</v>
      </c>
      <c r="B174" s="1">
        <v>41851</v>
      </c>
      <c r="C174" t="s">
        <v>4394</v>
      </c>
      <c r="D174">
        <v>1</v>
      </c>
      <c r="E174" t="s">
        <v>291</v>
      </c>
      <c r="H174" s="3">
        <f t="shared" si="2"/>
        <v>258.9375</v>
      </c>
      <c r="I174" s="3">
        <v>41.43</v>
      </c>
    </row>
    <row r="175" spans="1:9">
      <c r="A175" t="s">
        <v>4378</v>
      </c>
      <c r="B175" s="1">
        <v>41851</v>
      </c>
      <c r="C175" t="s">
        <v>4379</v>
      </c>
      <c r="D175">
        <v>1</v>
      </c>
      <c r="E175" t="s">
        <v>4380</v>
      </c>
      <c r="H175" s="3">
        <f t="shared" si="2"/>
        <v>1124.625</v>
      </c>
      <c r="I175" s="3">
        <v>179.94</v>
      </c>
    </row>
    <row r="176" spans="1:9">
      <c r="A176" t="s">
        <v>3499</v>
      </c>
      <c r="B176" s="1">
        <v>41831</v>
      </c>
      <c r="C176">
        <v>10394</v>
      </c>
      <c r="D176">
        <v>1</v>
      </c>
      <c r="E176" t="s">
        <v>347</v>
      </c>
      <c r="H176" s="3">
        <f t="shared" si="2"/>
        <v>82.5</v>
      </c>
      <c r="I176" s="3">
        <v>13.2</v>
      </c>
    </row>
    <row r="177" spans="1:9">
      <c r="A177" t="s">
        <v>3536</v>
      </c>
      <c r="B177" s="1">
        <v>41831</v>
      </c>
      <c r="C177">
        <v>10395</v>
      </c>
      <c r="D177">
        <v>1</v>
      </c>
      <c r="E177" t="s">
        <v>347</v>
      </c>
      <c r="H177" s="3">
        <f t="shared" si="2"/>
        <v>387.375</v>
      </c>
      <c r="I177" s="3">
        <v>61.98</v>
      </c>
    </row>
    <row r="178" spans="1:9">
      <c r="A178" t="s">
        <v>4293</v>
      </c>
      <c r="B178" s="1">
        <v>41849</v>
      </c>
      <c r="C178">
        <v>10476</v>
      </c>
      <c r="D178">
        <v>1</v>
      </c>
      <c r="E178" t="s">
        <v>347</v>
      </c>
      <c r="H178" s="3">
        <f t="shared" si="2"/>
        <v>358.5</v>
      </c>
      <c r="I178" s="3">
        <v>57.36</v>
      </c>
    </row>
    <row r="179" spans="1:9">
      <c r="A179" t="s">
        <v>576</v>
      </c>
      <c r="B179" s="1">
        <v>41838</v>
      </c>
      <c r="C179" t="s">
        <v>4460</v>
      </c>
      <c r="D179">
        <v>1</v>
      </c>
      <c r="E179" t="s">
        <v>640</v>
      </c>
      <c r="H179" s="3">
        <f t="shared" si="2"/>
        <v>3392.25</v>
      </c>
      <c r="I179" s="3">
        <v>542.76</v>
      </c>
    </row>
    <row r="180" spans="1:9">
      <c r="A180" t="s">
        <v>4287</v>
      </c>
      <c r="B180" s="1">
        <v>41848</v>
      </c>
      <c r="C180">
        <v>10469</v>
      </c>
      <c r="D180">
        <v>1</v>
      </c>
      <c r="E180" t="s">
        <v>4288</v>
      </c>
      <c r="H180" s="3">
        <f t="shared" si="2"/>
        <v>77.625</v>
      </c>
      <c r="I180" s="3">
        <v>12.42</v>
      </c>
    </row>
    <row r="181" spans="1:9">
      <c r="A181" t="s">
        <v>1431</v>
      </c>
      <c r="B181" s="1">
        <v>41842</v>
      </c>
      <c r="C181" t="s">
        <v>4471</v>
      </c>
      <c r="D181">
        <v>1</v>
      </c>
      <c r="E181" t="s">
        <v>4472</v>
      </c>
      <c r="H181" s="3">
        <f t="shared" si="2"/>
        <v>1335.3125</v>
      </c>
      <c r="I181" s="3">
        <v>213.65</v>
      </c>
    </row>
    <row r="182" spans="1:9">
      <c r="A182" t="s">
        <v>4369</v>
      </c>
      <c r="B182" s="1">
        <v>41851</v>
      </c>
      <c r="C182">
        <v>10496</v>
      </c>
      <c r="D182">
        <v>1</v>
      </c>
      <c r="E182" t="s">
        <v>4370</v>
      </c>
      <c r="H182" s="3">
        <f t="shared" si="2"/>
        <v>40.6875</v>
      </c>
      <c r="I182" s="3">
        <v>6.51</v>
      </c>
    </row>
    <row r="183" spans="1:9">
      <c r="A183" t="s">
        <v>574</v>
      </c>
      <c r="B183" s="1">
        <v>41838</v>
      </c>
      <c r="C183" t="s">
        <v>4459</v>
      </c>
      <c r="D183">
        <v>1</v>
      </c>
      <c r="E183" t="s">
        <v>535</v>
      </c>
      <c r="H183" s="3">
        <f t="shared" si="2"/>
        <v>860</v>
      </c>
      <c r="I183" s="3">
        <v>137.6</v>
      </c>
    </row>
    <row r="184" spans="1:9">
      <c r="A184" t="s">
        <v>1376</v>
      </c>
      <c r="B184" s="1">
        <v>41835</v>
      </c>
      <c r="C184" t="s">
        <v>4442</v>
      </c>
      <c r="D184">
        <v>1</v>
      </c>
      <c r="E184" t="s">
        <v>3306</v>
      </c>
      <c r="H184" s="3">
        <f t="shared" si="2"/>
        <v>3640</v>
      </c>
      <c r="I184" s="3">
        <v>582.4</v>
      </c>
    </row>
    <row r="185" spans="1:9">
      <c r="A185" t="s">
        <v>4364</v>
      </c>
      <c r="B185" s="1">
        <v>41851</v>
      </c>
      <c r="C185">
        <v>10493</v>
      </c>
      <c r="D185">
        <v>1</v>
      </c>
      <c r="E185" t="s">
        <v>4365</v>
      </c>
      <c r="H185" s="3">
        <f t="shared" si="2"/>
        <v>167.5625</v>
      </c>
      <c r="I185" s="3">
        <v>26.81</v>
      </c>
    </row>
    <row r="186" spans="1:9">
      <c r="A186" t="s">
        <v>36</v>
      </c>
      <c r="B186" s="1">
        <v>41831</v>
      </c>
      <c r="C186">
        <v>10400</v>
      </c>
      <c r="D186">
        <v>1</v>
      </c>
      <c r="E186" t="s">
        <v>1887</v>
      </c>
      <c r="H186" s="3">
        <f t="shared" si="2"/>
        <v>441.43749999999994</v>
      </c>
      <c r="I186" s="3">
        <v>70.63</v>
      </c>
    </row>
    <row r="187" spans="1:9">
      <c r="A187" t="s">
        <v>2129</v>
      </c>
      <c r="B187" s="1">
        <v>41827</v>
      </c>
      <c r="C187" t="s">
        <v>4408</v>
      </c>
      <c r="D187">
        <v>1</v>
      </c>
      <c r="E187" t="s">
        <v>527</v>
      </c>
      <c r="H187" s="3">
        <f t="shared" si="2"/>
        <v>600</v>
      </c>
      <c r="I187" s="3">
        <v>96</v>
      </c>
    </row>
    <row r="188" spans="1:9">
      <c r="A188" t="s">
        <v>1363</v>
      </c>
      <c r="B188" s="1">
        <v>41832</v>
      </c>
      <c r="C188" t="s">
        <v>4438</v>
      </c>
      <c r="D188">
        <v>1</v>
      </c>
      <c r="E188" t="s">
        <v>527</v>
      </c>
      <c r="H188" s="3">
        <f t="shared" si="2"/>
        <v>23918.125</v>
      </c>
      <c r="I188" s="3">
        <v>3826.9</v>
      </c>
    </row>
    <row r="189" spans="1:9">
      <c r="A189" t="s">
        <v>2207</v>
      </c>
      <c r="B189" s="1">
        <v>41838</v>
      </c>
      <c r="C189" t="s">
        <v>4464</v>
      </c>
      <c r="D189">
        <v>1</v>
      </c>
      <c r="E189" t="s">
        <v>527</v>
      </c>
      <c r="H189" s="3">
        <f t="shared" si="2"/>
        <v>7400</v>
      </c>
      <c r="I189" s="3">
        <v>1184</v>
      </c>
    </row>
    <row r="190" spans="1:9">
      <c r="A190" t="s">
        <v>3419</v>
      </c>
      <c r="B190" s="1">
        <v>41851</v>
      </c>
      <c r="C190" t="s">
        <v>4510</v>
      </c>
      <c r="D190">
        <v>1</v>
      </c>
      <c r="E190" t="s">
        <v>527</v>
      </c>
      <c r="H190" s="3">
        <f t="shared" si="2"/>
        <v>7600</v>
      </c>
      <c r="I190" s="3">
        <v>1216</v>
      </c>
    </row>
    <row r="191" spans="1:9">
      <c r="A191" t="s">
        <v>695</v>
      </c>
      <c r="B191" s="1">
        <v>41851</v>
      </c>
      <c r="C191" t="s">
        <v>4532</v>
      </c>
      <c r="D191">
        <v>1</v>
      </c>
      <c r="E191" t="s">
        <v>527</v>
      </c>
      <c r="H191" s="3">
        <f t="shared" si="2"/>
        <v>2500</v>
      </c>
      <c r="I191" s="3">
        <v>400</v>
      </c>
    </row>
    <row r="192" spans="1:9">
      <c r="A192" t="s">
        <v>2690</v>
      </c>
      <c r="B192" s="1">
        <v>41827</v>
      </c>
      <c r="C192" t="s">
        <v>4404</v>
      </c>
      <c r="D192">
        <v>1</v>
      </c>
      <c r="E192" t="s">
        <v>496</v>
      </c>
      <c r="H192" s="3">
        <f t="shared" si="2"/>
        <v>2689.375</v>
      </c>
      <c r="I192" s="3">
        <v>430.3</v>
      </c>
    </row>
    <row r="193" spans="1:9">
      <c r="A193" t="s">
        <v>1423</v>
      </c>
      <c r="B193" s="1">
        <v>41838</v>
      </c>
      <c r="C193" t="s">
        <v>4465</v>
      </c>
      <c r="D193">
        <v>1</v>
      </c>
      <c r="E193" t="s">
        <v>496</v>
      </c>
      <c r="H193" s="3">
        <f t="shared" si="2"/>
        <v>1264.6875</v>
      </c>
      <c r="I193" s="3">
        <v>202.35</v>
      </c>
    </row>
    <row r="194" spans="1:9">
      <c r="A194" t="s">
        <v>1488</v>
      </c>
      <c r="B194" s="1">
        <v>41851</v>
      </c>
      <c r="C194" t="s">
        <v>4507</v>
      </c>
      <c r="D194">
        <v>1</v>
      </c>
      <c r="E194" t="s">
        <v>496</v>
      </c>
      <c r="H194" s="3">
        <f t="shared" si="2"/>
        <v>1258.4375</v>
      </c>
      <c r="I194" s="3">
        <v>201.35</v>
      </c>
    </row>
    <row r="195" spans="1:9">
      <c r="A195" t="s">
        <v>1502</v>
      </c>
      <c r="B195" s="1">
        <v>41851</v>
      </c>
      <c r="C195" t="s">
        <v>4515</v>
      </c>
      <c r="D195">
        <v>1</v>
      </c>
      <c r="E195" t="s">
        <v>496</v>
      </c>
      <c r="H195" s="3">
        <f t="shared" si="2"/>
        <v>378.4375</v>
      </c>
      <c r="I195" s="3">
        <v>60.55</v>
      </c>
    </row>
    <row r="196" spans="1:9">
      <c r="A196" t="s">
        <v>4372</v>
      </c>
      <c r="B196" s="1">
        <v>41851</v>
      </c>
      <c r="C196">
        <v>10498</v>
      </c>
      <c r="D196">
        <v>1</v>
      </c>
      <c r="E196" t="s">
        <v>377</v>
      </c>
      <c r="H196" s="3">
        <f t="shared" si="2"/>
        <v>205.18749999999997</v>
      </c>
      <c r="I196" s="3">
        <v>32.83</v>
      </c>
    </row>
    <row r="197" spans="1:9">
      <c r="A197" t="s">
        <v>4117</v>
      </c>
      <c r="B197" s="1">
        <v>41829</v>
      </c>
      <c r="C197" t="s">
        <v>4118</v>
      </c>
      <c r="D197">
        <v>1</v>
      </c>
      <c r="E197" t="s">
        <v>4119</v>
      </c>
      <c r="H197" s="3">
        <f t="shared" si="2"/>
        <v>164099.5625</v>
      </c>
      <c r="I197" s="3">
        <v>26255.93</v>
      </c>
    </row>
    <row r="198" spans="1:9">
      <c r="A198" t="s">
        <v>376</v>
      </c>
      <c r="B198" s="1">
        <v>41849</v>
      </c>
      <c r="C198" t="s">
        <v>4325</v>
      </c>
      <c r="D198">
        <v>1</v>
      </c>
      <c r="E198" t="s">
        <v>4326</v>
      </c>
      <c r="H198" s="3">
        <f t="shared" si="2"/>
        <v>662799.8125</v>
      </c>
      <c r="I198" s="3">
        <v>106047.97</v>
      </c>
    </row>
    <row r="199" spans="1:9">
      <c r="A199" t="s">
        <v>1402</v>
      </c>
      <c r="B199" s="1">
        <v>41837</v>
      </c>
      <c r="C199" t="s">
        <v>4447</v>
      </c>
      <c r="D199">
        <v>2</v>
      </c>
      <c r="E199" t="s">
        <v>444</v>
      </c>
      <c r="H199" s="3">
        <f t="shared" si="2"/>
        <v>1400</v>
      </c>
      <c r="I199" s="3">
        <v>224</v>
      </c>
    </row>
    <row r="200" spans="1:9">
      <c r="A200" t="s">
        <v>636</v>
      </c>
      <c r="B200" s="1">
        <v>41849</v>
      </c>
      <c r="C200" t="s">
        <v>4487</v>
      </c>
      <c r="D200">
        <v>2</v>
      </c>
      <c r="E200" t="s">
        <v>444</v>
      </c>
      <c r="H200" s="3">
        <f t="shared" ref="H200:H263" si="3">+I200/0.16</f>
        <v>1050</v>
      </c>
      <c r="I200" s="3">
        <v>168</v>
      </c>
    </row>
    <row r="201" spans="1:9">
      <c r="A201" t="s">
        <v>631</v>
      </c>
      <c r="B201" s="1">
        <v>41849</v>
      </c>
      <c r="C201" t="s">
        <v>4486</v>
      </c>
      <c r="D201">
        <v>2</v>
      </c>
      <c r="E201" t="s">
        <v>4006</v>
      </c>
      <c r="H201" s="3">
        <f t="shared" si="3"/>
        <v>350</v>
      </c>
      <c r="I201" s="3">
        <v>56</v>
      </c>
    </row>
    <row r="202" spans="1:9">
      <c r="A202" t="s">
        <v>4201</v>
      </c>
      <c r="B202" s="1">
        <v>41843</v>
      </c>
      <c r="C202">
        <v>10435</v>
      </c>
      <c r="D202">
        <v>1</v>
      </c>
      <c r="E202" t="s">
        <v>3044</v>
      </c>
      <c r="H202" s="3">
        <f t="shared" si="3"/>
        <v>168</v>
      </c>
      <c r="I202" s="3">
        <v>26.88</v>
      </c>
    </row>
    <row r="203" spans="1:9">
      <c r="A203" t="s">
        <v>4298</v>
      </c>
      <c r="B203" s="1">
        <v>41849</v>
      </c>
      <c r="C203" t="s">
        <v>4299</v>
      </c>
      <c r="D203">
        <v>1</v>
      </c>
      <c r="E203" t="s">
        <v>4300</v>
      </c>
      <c r="H203" s="3">
        <f t="shared" si="3"/>
        <v>183525.5625</v>
      </c>
      <c r="I203" s="3">
        <v>29364.09</v>
      </c>
    </row>
    <row r="204" spans="1:9">
      <c r="A204" t="s">
        <v>2687</v>
      </c>
      <c r="B204" s="1">
        <v>41827</v>
      </c>
      <c r="C204" t="s">
        <v>4402</v>
      </c>
      <c r="D204">
        <v>2</v>
      </c>
      <c r="E204" t="s">
        <v>1420</v>
      </c>
      <c r="H204" s="3">
        <f t="shared" si="3"/>
        <v>1450</v>
      </c>
      <c r="I204" s="3">
        <v>232</v>
      </c>
    </row>
    <row r="205" spans="1:9">
      <c r="A205" t="s">
        <v>1324</v>
      </c>
      <c r="B205" s="1">
        <v>41827</v>
      </c>
      <c r="C205" t="s">
        <v>4420</v>
      </c>
      <c r="D205">
        <v>1</v>
      </c>
      <c r="E205" t="s">
        <v>505</v>
      </c>
      <c r="H205" s="3">
        <f t="shared" si="3"/>
        <v>4153.0625</v>
      </c>
      <c r="I205" s="3">
        <v>664.49</v>
      </c>
    </row>
    <row r="206" spans="1:9">
      <c r="A206" t="s">
        <v>657</v>
      </c>
      <c r="B206" s="1">
        <v>41851</v>
      </c>
      <c r="C206" t="s">
        <v>2857</v>
      </c>
      <c r="D206">
        <v>1</v>
      </c>
      <c r="E206" t="s">
        <v>4494</v>
      </c>
      <c r="H206" s="3">
        <f t="shared" si="3"/>
        <v>504992.8125</v>
      </c>
      <c r="I206" s="3">
        <v>80798.850000000006</v>
      </c>
    </row>
    <row r="207" spans="1:9">
      <c r="A207" t="s">
        <v>1973</v>
      </c>
      <c r="B207" s="1">
        <v>41848</v>
      </c>
      <c r="C207">
        <v>10463</v>
      </c>
      <c r="D207">
        <v>1</v>
      </c>
      <c r="E207" t="s">
        <v>4286</v>
      </c>
      <c r="H207" s="3">
        <f t="shared" si="3"/>
        <v>192</v>
      </c>
      <c r="I207" s="3">
        <v>30.72</v>
      </c>
    </row>
    <row r="208" spans="1:9">
      <c r="A208" t="s">
        <v>2132</v>
      </c>
      <c r="B208" s="1">
        <v>41827</v>
      </c>
      <c r="C208" t="s">
        <v>4413</v>
      </c>
      <c r="D208">
        <v>1</v>
      </c>
      <c r="E208" t="s">
        <v>2715</v>
      </c>
      <c r="H208" s="3">
        <f t="shared" si="3"/>
        <v>1418</v>
      </c>
      <c r="I208" s="3">
        <v>226.88</v>
      </c>
    </row>
    <row r="209" spans="1:9">
      <c r="A209" t="s">
        <v>2135</v>
      </c>
      <c r="B209" s="1">
        <v>41827</v>
      </c>
      <c r="C209" t="s">
        <v>4415</v>
      </c>
      <c r="D209">
        <v>1</v>
      </c>
      <c r="E209" t="s">
        <v>2715</v>
      </c>
      <c r="H209" s="3">
        <f t="shared" si="3"/>
        <v>3293</v>
      </c>
      <c r="I209" s="3">
        <v>526.88</v>
      </c>
    </row>
    <row r="210" spans="1:9">
      <c r="A210" t="s">
        <v>2126</v>
      </c>
      <c r="B210" s="1">
        <v>41827</v>
      </c>
      <c r="C210" t="s">
        <v>4407</v>
      </c>
      <c r="D210">
        <v>2</v>
      </c>
      <c r="E210" t="s">
        <v>550</v>
      </c>
      <c r="H210" s="3">
        <f t="shared" si="3"/>
        <v>4500</v>
      </c>
      <c r="I210" s="3">
        <v>720</v>
      </c>
    </row>
    <row r="211" spans="1:9">
      <c r="A211" t="s">
        <v>503</v>
      </c>
      <c r="B211" s="1">
        <v>41832</v>
      </c>
      <c r="C211" t="s">
        <v>4432</v>
      </c>
      <c r="D211">
        <v>2</v>
      </c>
      <c r="E211" t="s">
        <v>550</v>
      </c>
      <c r="H211" s="3">
        <f t="shared" si="3"/>
        <v>13000</v>
      </c>
      <c r="I211" s="3">
        <v>2080</v>
      </c>
    </row>
    <row r="212" spans="1:9">
      <c r="A212" t="s">
        <v>1413</v>
      </c>
      <c r="B212" s="1">
        <v>41838</v>
      </c>
      <c r="C212" t="s">
        <v>4456</v>
      </c>
      <c r="D212">
        <v>2</v>
      </c>
      <c r="E212" t="s">
        <v>550</v>
      </c>
      <c r="H212" s="3">
        <f t="shared" si="3"/>
        <v>15000</v>
      </c>
      <c r="I212" s="3">
        <v>2400</v>
      </c>
    </row>
    <row r="213" spans="1:9">
      <c r="A213" t="s">
        <v>676</v>
      </c>
      <c r="B213" s="1">
        <v>41851</v>
      </c>
      <c r="C213" t="s">
        <v>4509</v>
      </c>
      <c r="D213">
        <v>2</v>
      </c>
      <c r="E213" t="s">
        <v>550</v>
      </c>
      <c r="H213" s="3">
        <f t="shared" si="3"/>
        <v>6000</v>
      </c>
      <c r="I213" s="3">
        <v>960</v>
      </c>
    </row>
    <row r="214" spans="1:9">
      <c r="A214" t="s">
        <v>684</v>
      </c>
      <c r="B214" s="1">
        <v>41851</v>
      </c>
      <c r="C214" t="s">
        <v>4521</v>
      </c>
      <c r="D214">
        <v>1</v>
      </c>
      <c r="E214" t="s">
        <v>550</v>
      </c>
      <c r="H214" s="3">
        <f t="shared" si="3"/>
        <v>800</v>
      </c>
      <c r="I214" s="3">
        <v>128</v>
      </c>
    </row>
    <row r="215" spans="1:9">
      <c r="A215" t="s">
        <v>1507</v>
      </c>
      <c r="B215" s="1">
        <v>41851</v>
      </c>
      <c r="C215" t="s">
        <v>4522</v>
      </c>
      <c r="D215">
        <v>2</v>
      </c>
      <c r="E215" t="s">
        <v>550</v>
      </c>
      <c r="H215" s="3">
        <f t="shared" si="3"/>
        <v>9900</v>
      </c>
      <c r="I215" s="3">
        <v>1584</v>
      </c>
    </row>
    <row r="216" spans="1:9">
      <c r="A216" t="s">
        <v>4215</v>
      </c>
      <c r="B216" s="1">
        <v>41843</v>
      </c>
      <c r="C216">
        <v>10453</v>
      </c>
      <c r="D216">
        <v>1</v>
      </c>
      <c r="E216" t="s">
        <v>4216</v>
      </c>
      <c r="H216" s="3">
        <f t="shared" si="3"/>
        <v>84.5</v>
      </c>
      <c r="I216" s="3">
        <v>13.52</v>
      </c>
    </row>
    <row r="217" spans="1:9">
      <c r="A217" t="s">
        <v>4381</v>
      </c>
      <c r="B217" s="1">
        <v>41851</v>
      </c>
      <c r="C217" t="s">
        <v>4382</v>
      </c>
      <c r="D217">
        <v>1</v>
      </c>
      <c r="E217" t="s">
        <v>126</v>
      </c>
      <c r="H217" s="3">
        <f t="shared" si="3"/>
        <v>1198.25</v>
      </c>
      <c r="I217" s="3">
        <v>191.72</v>
      </c>
    </row>
    <row r="218" spans="1:9">
      <c r="A218" t="s">
        <v>4209</v>
      </c>
      <c r="B218" s="1">
        <v>41843</v>
      </c>
      <c r="C218">
        <v>10450</v>
      </c>
      <c r="D218">
        <v>1</v>
      </c>
      <c r="E218" t="s">
        <v>3056</v>
      </c>
      <c r="H218" s="3">
        <f t="shared" si="3"/>
        <v>93.125</v>
      </c>
      <c r="I218" s="3">
        <v>14.9</v>
      </c>
    </row>
    <row r="219" spans="1:9">
      <c r="A219" t="s">
        <v>4377</v>
      </c>
      <c r="B219" s="1">
        <v>41851</v>
      </c>
      <c r="C219">
        <v>10504</v>
      </c>
      <c r="D219">
        <v>1</v>
      </c>
      <c r="E219" t="s">
        <v>2604</v>
      </c>
      <c r="H219" s="3">
        <f t="shared" si="3"/>
        <v>451.49999999999994</v>
      </c>
      <c r="I219" s="3">
        <v>72.239999999999995</v>
      </c>
    </row>
    <row r="220" spans="1:9">
      <c r="A220" t="s">
        <v>2773</v>
      </c>
      <c r="B220" s="1">
        <v>41838</v>
      </c>
      <c r="C220" t="s">
        <v>4463</v>
      </c>
      <c r="D220">
        <v>2</v>
      </c>
      <c r="E220" t="s">
        <v>3908</v>
      </c>
      <c r="H220" s="3">
        <f t="shared" si="3"/>
        <v>1000</v>
      </c>
      <c r="I220" s="3">
        <v>160</v>
      </c>
    </row>
    <row r="221" spans="1:9">
      <c r="A221" t="s">
        <v>2796</v>
      </c>
      <c r="B221" s="1">
        <v>41844</v>
      </c>
      <c r="C221" t="s">
        <v>4477</v>
      </c>
      <c r="D221">
        <v>1</v>
      </c>
      <c r="E221" t="s">
        <v>665</v>
      </c>
      <c r="H221" s="3">
        <f t="shared" si="3"/>
        <v>11112.5625</v>
      </c>
      <c r="I221" s="3">
        <v>1778.01</v>
      </c>
    </row>
    <row r="222" spans="1:9">
      <c r="A222" t="s">
        <v>4479</v>
      </c>
      <c r="B222" s="1">
        <v>41844</v>
      </c>
      <c r="C222" t="s">
        <v>4480</v>
      </c>
      <c r="D222">
        <v>1</v>
      </c>
      <c r="E222" t="s">
        <v>665</v>
      </c>
      <c r="H222" s="3">
        <f t="shared" si="3"/>
        <v>6445</v>
      </c>
      <c r="I222" s="3">
        <v>1031.2</v>
      </c>
    </row>
    <row r="223" spans="1:9">
      <c r="A223" t="s">
        <v>1505</v>
      </c>
      <c r="B223" s="1">
        <v>41851</v>
      </c>
      <c r="C223" t="s">
        <v>4518</v>
      </c>
      <c r="D223">
        <v>1</v>
      </c>
      <c r="E223" t="s">
        <v>4519</v>
      </c>
      <c r="H223" s="3">
        <f t="shared" si="3"/>
        <v>2800</v>
      </c>
      <c r="I223" s="3">
        <v>448</v>
      </c>
    </row>
    <row r="224" spans="1:9">
      <c r="A224" t="s">
        <v>4089</v>
      </c>
      <c r="B224" s="1">
        <v>41822</v>
      </c>
      <c r="C224" t="s">
        <v>4090</v>
      </c>
      <c r="D224">
        <v>1</v>
      </c>
      <c r="E224" t="s">
        <v>4091</v>
      </c>
      <c r="H224" s="3">
        <f t="shared" si="3"/>
        <v>210177.81249999997</v>
      </c>
      <c r="I224" s="3">
        <v>33628.449999999997</v>
      </c>
    </row>
    <row r="225" spans="1:9">
      <c r="A225" t="s">
        <v>1878</v>
      </c>
      <c r="B225" s="1">
        <v>41838</v>
      </c>
      <c r="C225" t="s">
        <v>4166</v>
      </c>
      <c r="D225">
        <v>1</v>
      </c>
      <c r="E225" t="s">
        <v>4167</v>
      </c>
      <c r="H225" s="3">
        <f t="shared" si="3"/>
        <v>382307.875</v>
      </c>
      <c r="I225" s="3">
        <v>61169.26</v>
      </c>
    </row>
    <row r="226" spans="1:9">
      <c r="A226" t="s">
        <v>4095</v>
      </c>
      <c r="B226" s="1">
        <v>41824</v>
      </c>
      <c r="C226" t="s">
        <v>4096</v>
      </c>
      <c r="D226">
        <v>1</v>
      </c>
      <c r="E226" t="s">
        <v>467</v>
      </c>
      <c r="H226" s="3">
        <f t="shared" si="3"/>
        <v>315421.1875</v>
      </c>
      <c r="I226" s="3">
        <v>50467.39</v>
      </c>
    </row>
    <row r="227" spans="1:9">
      <c r="A227" t="s">
        <v>2411</v>
      </c>
      <c r="B227" s="1">
        <v>41827</v>
      </c>
      <c r="C227" t="s">
        <v>4097</v>
      </c>
      <c r="D227">
        <v>1</v>
      </c>
      <c r="E227" t="s">
        <v>467</v>
      </c>
      <c r="H227" s="3">
        <f t="shared" si="3"/>
        <v>148194.375</v>
      </c>
      <c r="I227" s="3">
        <v>23711.1</v>
      </c>
    </row>
    <row r="228" spans="1:9">
      <c r="A228" t="s">
        <v>2413</v>
      </c>
      <c r="B228" s="1">
        <v>41827</v>
      </c>
      <c r="C228" t="s">
        <v>4098</v>
      </c>
      <c r="D228">
        <v>1</v>
      </c>
      <c r="E228" t="s">
        <v>467</v>
      </c>
      <c r="H228" s="3">
        <f t="shared" si="3"/>
        <v>318825.6875</v>
      </c>
      <c r="I228" s="3">
        <v>51012.11</v>
      </c>
    </row>
    <row r="229" spans="1:9">
      <c r="A229" t="s">
        <v>4099</v>
      </c>
      <c r="B229" s="1">
        <v>41827</v>
      </c>
      <c r="C229" t="s">
        <v>4100</v>
      </c>
      <c r="D229">
        <v>1</v>
      </c>
      <c r="E229" t="s">
        <v>467</v>
      </c>
      <c r="H229" s="3">
        <f t="shared" si="3"/>
        <v>156573.6875</v>
      </c>
      <c r="I229" s="3">
        <v>25051.79</v>
      </c>
    </row>
    <row r="230" spans="1:9">
      <c r="A230" t="s">
        <v>4101</v>
      </c>
      <c r="B230" s="1">
        <v>41827</v>
      </c>
      <c r="C230" t="s">
        <v>4102</v>
      </c>
      <c r="D230">
        <v>1</v>
      </c>
      <c r="E230" t="s">
        <v>467</v>
      </c>
      <c r="H230" s="3">
        <f t="shared" si="3"/>
        <v>156573.6875</v>
      </c>
      <c r="I230" s="3">
        <v>25051.79</v>
      </c>
    </row>
    <row r="231" spans="1:9">
      <c r="A231" t="s">
        <v>4103</v>
      </c>
      <c r="B231" s="1">
        <v>41827</v>
      </c>
      <c r="C231" t="s">
        <v>4104</v>
      </c>
      <c r="D231">
        <v>1</v>
      </c>
      <c r="E231" t="s">
        <v>467</v>
      </c>
      <c r="H231" s="3">
        <f t="shared" si="3"/>
        <v>164099.5625</v>
      </c>
      <c r="I231" s="3">
        <v>26255.93</v>
      </c>
    </row>
    <row r="232" spans="1:9">
      <c r="A232" t="s">
        <v>4105</v>
      </c>
      <c r="B232" s="1">
        <v>41827</v>
      </c>
      <c r="C232" t="s">
        <v>4106</v>
      </c>
      <c r="D232">
        <v>1</v>
      </c>
      <c r="E232" t="s">
        <v>467</v>
      </c>
      <c r="H232" s="3">
        <f t="shared" si="3"/>
        <v>164099.5625</v>
      </c>
      <c r="I232" s="3">
        <v>26255.93</v>
      </c>
    </row>
    <row r="233" spans="1:9">
      <c r="A233" t="s">
        <v>4107</v>
      </c>
      <c r="B233" s="1">
        <v>41827</v>
      </c>
      <c r="C233" t="s">
        <v>4108</v>
      </c>
      <c r="D233">
        <v>1</v>
      </c>
      <c r="E233" t="s">
        <v>467</v>
      </c>
      <c r="H233" s="3">
        <f t="shared" si="3"/>
        <v>224993.125</v>
      </c>
      <c r="I233" s="3">
        <v>35998.9</v>
      </c>
    </row>
    <row r="234" spans="1:9">
      <c r="A234" t="s">
        <v>4109</v>
      </c>
      <c r="B234" s="1">
        <v>41827</v>
      </c>
      <c r="C234" t="s">
        <v>4110</v>
      </c>
      <c r="D234">
        <v>1</v>
      </c>
      <c r="E234" t="s">
        <v>467</v>
      </c>
      <c r="H234" s="3">
        <f t="shared" si="3"/>
        <v>224993.125</v>
      </c>
      <c r="I234" s="3">
        <v>35998.9</v>
      </c>
    </row>
    <row r="235" spans="1:9">
      <c r="A235" t="s">
        <v>4112</v>
      </c>
      <c r="B235" s="1">
        <v>41828</v>
      </c>
      <c r="C235" t="s">
        <v>4113</v>
      </c>
      <c r="D235">
        <v>1</v>
      </c>
      <c r="E235" t="s">
        <v>467</v>
      </c>
      <c r="H235" s="3">
        <f t="shared" si="3"/>
        <v>156573.6875</v>
      </c>
      <c r="I235" s="3">
        <v>25051.79</v>
      </c>
    </row>
    <row r="236" spans="1:9">
      <c r="A236" t="s">
        <v>4132</v>
      </c>
      <c r="B236" s="1">
        <v>41830</v>
      </c>
      <c r="C236" t="s">
        <v>4133</v>
      </c>
      <c r="D236">
        <v>1</v>
      </c>
      <c r="E236" t="s">
        <v>467</v>
      </c>
      <c r="H236" s="3">
        <f t="shared" si="3"/>
        <v>224993.125</v>
      </c>
      <c r="I236" s="3">
        <v>35998.9</v>
      </c>
    </row>
    <row r="237" spans="1:9">
      <c r="A237" t="s">
        <v>1770</v>
      </c>
      <c r="B237" s="1">
        <v>41831</v>
      </c>
      <c r="C237" t="s">
        <v>4159</v>
      </c>
      <c r="D237">
        <v>1</v>
      </c>
      <c r="E237" t="s">
        <v>467</v>
      </c>
      <c r="H237" s="3">
        <f t="shared" si="3"/>
        <v>271235.4375</v>
      </c>
      <c r="I237" s="3">
        <v>43397.67</v>
      </c>
    </row>
    <row r="238" spans="1:9">
      <c r="A238" t="s">
        <v>50</v>
      </c>
      <c r="B238" s="1">
        <v>41831</v>
      </c>
      <c r="C238" t="s">
        <v>4160</v>
      </c>
      <c r="D238">
        <v>1</v>
      </c>
      <c r="E238" t="s">
        <v>467</v>
      </c>
      <c r="H238" s="3">
        <f t="shared" si="3"/>
        <v>425101.875</v>
      </c>
      <c r="I238" s="3">
        <v>68016.3</v>
      </c>
    </row>
    <row r="239" spans="1:9">
      <c r="A239" t="s">
        <v>4164</v>
      </c>
      <c r="B239" s="1">
        <v>41836</v>
      </c>
      <c r="C239" t="s">
        <v>4165</v>
      </c>
      <c r="D239">
        <v>1</v>
      </c>
      <c r="E239" t="s">
        <v>467</v>
      </c>
      <c r="H239" s="3">
        <f t="shared" si="3"/>
        <v>139737.5</v>
      </c>
      <c r="I239" s="3">
        <v>22358</v>
      </c>
    </row>
    <row r="240" spans="1:9">
      <c r="A240" t="s">
        <v>1884</v>
      </c>
      <c r="B240" s="1">
        <v>41839</v>
      </c>
      <c r="C240" t="s">
        <v>4168</v>
      </c>
      <c r="D240">
        <v>1</v>
      </c>
      <c r="E240" t="s">
        <v>467</v>
      </c>
      <c r="H240" s="3">
        <f t="shared" si="3"/>
        <v>233864.375</v>
      </c>
      <c r="I240" s="3">
        <v>37418.300000000003</v>
      </c>
    </row>
    <row r="241" spans="1:9">
      <c r="A241" t="s">
        <v>4169</v>
      </c>
      <c r="B241" s="1">
        <v>41839</v>
      </c>
      <c r="C241" t="s">
        <v>4170</v>
      </c>
      <c r="D241">
        <v>1</v>
      </c>
      <c r="E241" t="s">
        <v>467</v>
      </c>
      <c r="H241" s="3">
        <f t="shared" si="3"/>
        <v>174075.25</v>
      </c>
      <c r="I241" s="3">
        <v>27852.04</v>
      </c>
    </row>
    <row r="242" spans="1:9">
      <c r="A242" t="s">
        <v>4171</v>
      </c>
      <c r="B242" s="1">
        <v>41839</v>
      </c>
      <c r="C242" t="s">
        <v>4172</v>
      </c>
      <c r="D242">
        <v>1</v>
      </c>
      <c r="E242" t="s">
        <v>467</v>
      </c>
      <c r="H242" s="3">
        <f t="shared" si="3"/>
        <v>187966.5</v>
      </c>
      <c r="I242" s="3">
        <v>30074.639999999999</v>
      </c>
    </row>
    <row r="243" spans="1:9">
      <c r="A243" t="s">
        <v>4173</v>
      </c>
      <c r="B243" s="1">
        <v>41839</v>
      </c>
      <c r="C243" t="s">
        <v>4174</v>
      </c>
      <c r="D243">
        <v>1</v>
      </c>
      <c r="E243" t="s">
        <v>467</v>
      </c>
      <c r="H243" s="3">
        <f t="shared" si="3"/>
        <v>187966.5</v>
      </c>
      <c r="I243" s="3">
        <v>30074.639999999999</v>
      </c>
    </row>
    <row r="244" spans="1:9">
      <c r="A244" t="s">
        <v>4175</v>
      </c>
      <c r="B244" s="1">
        <v>41839</v>
      </c>
      <c r="C244" t="s">
        <v>4176</v>
      </c>
      <c r="D244">
        <v>1</v>
      </c>
      <c r="E244" t="s">
        <v>467</v>
      </c>
      <c r="H244" s="3">
        <f t="shared" si="3"/>
        <v>295915.4375</v>
      </c>
      <c r="I244" s="3">
        <v>47346.47</v>
      </c>
    </row>
    <row r="245" spans="1:9">
      <c r="A245" t="s">
        <v>4177</v>
      </c>
      <c r="B245" s="1">
        <v>41839</v>
      </c>
      <c r="C245" t="s">
        <v>4178</v>
      </c>
      <c r="D245">
        <v>1</v>
      </c>
      <c r="E245" t="s">
        <v>467</v>
      </c>
      <c r="H245" s="3">
        <f t="shared" si="3"/>
        <v>437745.5</v>
      </c>
      <c r="I245" s="3">
        <v>70039.28</v>
      </c>
    </row>
    <row r="246" spans="1:9">
      <c r="A246" t="s">
        <v>4179</v>
      </c>
      <c r="B246" s="1">
        <v>41839</v>
      </c>
      <c r="C246" t="s">
        <v>4180</v>
      </c>
      <c r="D246">
        <v>1</v>
      </c>
      <c r="E246" t="s">
        <v>467</v>
      </c>
      <c r="H246" s="3">
        <f t="shared" si="3"/>
        <v>224993.125</v>
      </c>
      <c r="I246" s="3">
        <v>35998.9</v>
      </c>
    </row>
    <row r="247" spans="1:9">
      <c r="A247" t="s">
        <v>1886</v>
      </c>
      <c r="B247" s="1">
        <v>41839</v>
      </c>
      <c r="C247" t="s">
        <v>4181</v>
      </c>
      <c r="D247">
        <v>1</v>
      </c>
      <c r="E247" t="s">
        <v>467</v>
      </c>
      <c r="H247" s="3">
        <f t="shared" si="3"/>
        <v>224993.125</v>
      </c>
      <c r="I247" s="3">
        <v>35998.9</v>
      </c>
    </row>
    <row r="248" spans="1:9">
      <c r="A248" t="s">
        <v>2900</v>
      </c>
      <c r="B248" s="1">
        <v>41843</v>
      </c>
      <c r="C248" t="s">
        <v>4184</v>
      </c>
      <c r="D248">
        <v>1</v>
      </c>
      <c r="E248" t="s">
        <v>467</v>
      </c>
      <c r="H248" s="3">
        <f t="shared" si="3"/>
        <v>271235.4375</v>
      </c>
      <c r="I248" s="3">
        <v>43397.67</v>
      </c>
    </row>
    <row r="249" spans="1:9">
      <c r="A249" t="s">
        <v>1173</v>
      </c>
      <c r="B249" s="1">
        <v>41843</v>
      </c>
      <c r="C249" t="s">
        <v>4188</v>
      </c>
      <c r="D249">
        <v>1</v>
      </c>
      <c r="E249" t="s">
        <v>467</v>
      </c>
      <c r="H249" s="3">
        <f t="shared" si="3"/>
        <v>271235.4375</v>
      </c>
      <c r="I249" s="3">
        <v>43397.67</v>
      </c>
    </row>
    <row r="250" spans="1:9">
      <c r="A250" t="s">
        <v>4211</v>
      </c>
      <c r="B250" s="1">
        <v>41843</v>
      </c>
      <c r="C250" t="s">
        <v>4212</v>
      </c>
      <c r="D250">
        <v>1</v>
      </c>
      <c r="E250" t="s">
        <v>467</v>
      </c>
      <c r="H250" s="3">
        <f t="shared" si="3"/>
        <v>153703</v>
      </c>
      <c r="I250" s="3">
        <v>24592.48</v>
      </c>
    </row>
    <row r="251" spans="1:9">
      <c r="A251" t="s">
        <v>1927</v>
      </c>
      <c r="B251" s="1">
        <v>41844</v>
      </c>
      <c r="C251" t="s">
        <v>4111</v>
      </c>
      <c r="D251">
        <v>1</v>
      </c>
      <c r="E251" t="s">
        <v>467</v>
      </c>
      <c r="H251" s="3">
        <f t="shared" si="3"/>
        <v>156573.6875</v>
      </c>
      <c r="I251" s="3">
        <v>25051.79</v>
      </c>
    </row>
    <row r="252" spans="1:9">
      <c r="A252" t="s">
        <v>4228</v>
      </c>
      <c r="B252" s="1">
        <v>41844</v>
      </c>
      <c r="C252" t="s">
        <v>4229</v>
      </c>
      <c r="D252">
        <v>1</v>
      </c>
      <c r="E252" t="s">
        <v>467</v>
      </c>
      <c r="H252" s="3">
        <f t="shared" si="3"/>
        <v>176668.5</v>
      </c>
      <c r="I252" s="3">
        <v>28266.959999999999</v>
      </c>
    </row>
    <row r="253" spans="1:9">
      <c r="A253" t="s">
        <v>3642</v>
      </c>
      <c r="B253" s="1">
        <v>41844</v>
      </c>
      <c r="C253" t="s">
        <v>4230</v>
      </c>
      <c r="D253">
        <v>1</v>
      </c>
      <c r="E253" t="s">
        <v>467</v>
      </c>
      <c r="H253" s="3">
        <f t="shared" si="3"/>
        <v>318825.6875</v>
      </c>
      <c r="I253" s="3">
        <v>51012.11</v>
      </c>
    </row>
    <row r="254" spans="1:9">
      <c r="A254" t="s">
        <v>4231</v>
      </c>
      <c r="B254" s="1">
        <v>41844</v>
      </c>
      <c r="C254" t="s">
        <v>4232</v>
      </c>
      <c r="D254">
        <v>1</v>
      </c>
      <c r="E254" t="s">
        <v>467</v>
      </c>
      <c r="H254" s="3">
        <f t="shared" si="3"/>
        <v>233864.375</v>
      </c>
      <c r="I254" s="3">
        <v>37418.300000000003</v>
      </c>
    </row>
    <row r="255" spans="1:9">
      <c r="A255" t="s">
        <v>4240</v>
      </c>
      <c r="B255" s="1">
        <v>41845</v>
      </c>
      <c r="C255" t="s">
        <v>4241</v>
      </c>
      <c r="D255">
        <v>1</v>
      </c>
      <c r="E255" t="s">
        <v>467</v>
      </c>
      <c r="H255" s="3">
        <f t="shared" si="3"/>
        <v>139737.5</v>
      </c>
      <c r="I255" s="3">
        <v>22358</v>
      </c>
    </row>
    <row r="256" spans="1:9">
      <c r="A256" t="s">
        <v>4242</v>
      </c>
      <c r="B256" s="1">
        <v>41845</v>
      </c>
      <c r="C256" t="s">
        <v>4243</v>
      </c>
      <c r="D256">
        <v>1</v>
      </c>
      <c r="E256" t="s">
        <v>467</v>
      </c>
      <c r="H256" s="3">
        <f t="shared" si="3"/>
        <v>174075.25</v>
      </c>
      <c r="I256" s="3">
        <v>27852.04</v>
      </c>
    </row>
    <row r="257" spans="1:9">
      <c r="A257" t="s">
        <v>4244</v>
      </c>
      <c r="B257" s="1">
        <v>41845</v>
      </c>
      <c r="C257" t="s">
        <v>4245</v>
      </c>
      <c r="D257">
        <v>1</v>
      </c>
      <c r="E257" t="s">
        <v>467</v>
      </c>
      <c r="H257" s="3">
        <f t="shared" si="3"/>
        <v>271235.4375</v>
      </c>
      <c r="I257" s="3">
        <v>43397.67</v>
      </c>
    </row>
    <row r="258" spans="1:9">
      <c r="A258" t="s">
        <v>4246</v>
      </c>
      <c r="B258" s="1">
        <v>41845</v>
      </c>
      <c r="C258" t="s">
        <v>4247</v>
      </c>
      <c r="D258">
        <v>1</v>
      </c>
      <c r="E258" t="s">
        <v>467</v>
      </c>
      <c r="H258" s="3">
        <f t="shared" si="3"/>
        <v>271235.4375</v>
      </c>
      <c r="I258" s="3">
        <v>43397.67</v>
      </c>
    </row>
    <row r="259" spans="1:9">
      <c r="A259" t="s">
        <v>4248</v>
      </c>
      <c r="B259" s="1">
        <v>41845</v>
      </c>
      <c r="C259" t="s">
        <v>4249</v>
      </c>
      <c r="D259">
        <v>1</v>
      </c>
      <c r="E259" t="s">
        <v>467</v>
      </c>
      <c r="H259" s="3">
        <f t="shared" si="3"/>
        <v>320437.1875</v>
      </c>
      <c r="I259" s="3">
        <v>51269.95</v>
      </c>
    </row>
    <row r="260" spans="1:9">
      <c r="A260" t="s">
        <v>4250</v>
      </c>
      <c r="B260" s="1">
        <v>41845</v>
      </c>
      <c r="C260" t="s">
        <v>4251</v>
      </c>
      <c r="D260">
        <v>1</v>
      </c>
      <c r="E260" t="s">
        <v>467</v>
      </c>
      <c r="H260" s="3">
        <f t="shared" si="3"/>
        <v>295915.4375</v>
      </c>
      <c r="I260" s="3">
        <v>47346.47</v>
      </c>
    </row>
    <row r="261" spans="1:9">
      <c r="A261" t="s">
        <v>4252</v>
      </c>
      <c r="B261" s="1">
        <v>41845</v>
      </c>
      <c r="C261" t="s">
        <v>4253</v>
      </c>
      <c r="D261">
        <v>1</v>
      </c>
      <c r="E261" t="s">
        <v>467</v>
      </c>
      <c r="H261" s="3">
        <f t="shared" si="3"/>
        <v>295915.4375</v>
      </c>
      <c r="I261" s="3">
        <v>47346.47</v>
      </c>
    </row>
    <row r="262" spans="1:9">
      <c r="A262" t="s">
        <v>4254</v>
      </c>
      <c r="B262" s="1">
        <v>41845</v>
      </c>
      <c r="C262" t="s">
        <v>4255</v>
      </c>
      <c r="D262">
        <v>1</v>
      </c>
      <c r="E262" t="s">
        <v>467</v>
      </c>
      <c r="H262" s="3">
        <f t="shared" si="3"/>
        <v>437745.5</v>
      </c>
      <c r="I262" s="3">
        <v>70039.28</v>
      </c>
    </row>
    <row r="263" spans="1:9">
      <c r="A263" t="s">
        <v>4256</v>
      </c>
      <c r="B263" s="1">
        <v>41845</v>
      </c>
      <c r="C263" t="s">
        <v>4257</v>
      </c>
      <c r="D263">
        <v>1</v>
      </c>
      <c r="E263" t="s">
        <v>467</v>
      </c>
      <c r="H263" s="3">
        <f t="shared" si="3"/>
        <v>325705.4375</v>
      </c>
      <c r="I263" s="3">
        <v>52112.87</v>
      </c>
    </row>
    <row r="264" spans="1:9">
      <c r="A264" t="s">
        <v>4258</v>
      </c>
      <c r="B264" s="1">
        <v>41845</v>
      </c>
      <c r="C264" t="s">
        <v>4259</v>
      </c>
      <c r="D264">
        <v>1</v>
      </c>
      <c r="E264" t="s">
        <v>467</v>
      </c>
      <c r="H264" s="3">
        <f t="shared" ref="H264:H313" si="4">+I264/0.16</f>
        <v>224993.125</v>
      </c>
      <c r="I264" s="3">
        <v>35998.9</v>
      </c>
    </row>
    <row r="265" spans="1:9">
      <c r="A265" t="s">
        <v>4263</v>
      </c>
      <c r="B265" s="1">
        <v>41848</v>
      </c>
      <c r="C265" t="s">
        <v>4264</v>
      </c>
      <c r="D265">
        <v>1</v>
      </c>
      <c r="E265" t="s">
        <v>467</v>
      </c>
      <c r="H265" s="3">
        <f t="shared" si="4"/>
        <v>233864.375</v>
      </c>
      <c r="I265" s="3">
        <v>37418.300000000003</v>
      </c>
    </row>
    <row r="266" spans="1:9">
      <c r="A266" t="s">
        <v>4265</v>
      </c>
      <c r="B266" s="1">
        <v>41848</v>
      </c>
      <c r="C266" t="s">
        <v>4266</v>
      </c>
      <c r="D266">
        <v>1</v>
      </c>
      <c r="E266" t="s">
        <v>467</v>
      </c>
      <c r="H266" s="3">
        <f t="shared" si="4"/>
        <v>174075.25</v>
      </c>
      <c r="I266" s="3">
        <v>27852.04</v>
      </c>
    </row>
    <row r="267" spans="1:9">
      <c r="A267" t="s">
        <v>4267</v>
      </c>
      <c r="B267" s="1">
        <v>41848</v>
      </c>
      <c r="C267" t="s">
        <v>4268</v>
      </c>
      <c r="D267">
        <v>1</v>
      </c>
      <c r="E267" t="s">
        <v>467</v>
      </c>
      <c r="H267" s="3">
        <f t="shared" si="4"/>
        <v>437745.5</v>
      </c>
      <c r="I267" s="3">
        <v>70039.28</v>
      </c>
    </row>
    <row r="268" spans="1:9">
      <c r="A268" t="s">
        <v>2577</v>
      </c>
      <c r="B268" s="1">
        <v>41848</v>
      </c>
      <c r="C268" t="s">
        <v>4269</v>
      </c>
      <c r="D268">
        <v>1</v>
      </c>
      <c r="E268" t="s">
        <v>467</v>
      </c>
      <c r="H268" s="3">
        <f t="shared" si="4"/>
        <v>156573.6875</v>
      </c>
      <c r="I268" s="3">
        <v>25051.79</v>
      </c>
    </row>
    <row r="269" spans="1:9">
      <c r="A269" t="s">
        <v>1969</v>
      </c>
      <c r="B269" s="1">
        <v>41848</v>
      </c>
      <c r="C269" t="s">
        <v>4285</v>
      </c>
      <c r="D269">
        <v>1</v>
      </c>
      <c r="E269" t="s">
        <v>467</v>
      </c>
      <c r="H269" s="3">
        <f t="shared" si="4"/>
        <v>156573.6875</v>
      </c>
      <c r="I269" s="3">
        <v>25051.79</v>
      </c>
    </row>
    <row r="270" spans="1:9">
      <c r="A270" t="s">
        <v>4301</v>
      </c>
      <c r="B270" s="1">
        <v>41849</v>
      </c>
      <c r="C270" t="s">
        <v>4302</v>
      </c>
      <c r="D270">
        <v>1</v>
      </c>
      <c r="E270" t="s">
        <v>467</v>
      </c>
      <c r="H270" s="3">
        <f t="shared" si="4"/>
        <v>260965.56249999997</v>
      </c>
      <c r="I270" s="3">
        <v>41754.49</v>
      </c>
    </row>
    <row r="271" spans="1:9">
      <c r="A271" t="s">
        <v>2582</v>
      </c>
      <c r="B271" s="1">
        <v>41849</v>
      </c>
      <c r="C271" t="s">
        <v>4303</v>
      </c>
      <c r="D271">
        <v>1</v>
      </c>
      <c r="E271" t="s">
        <v>467</v>
      </c>
      <c r="H271" s="3">
        <f t="shared" si="4"/>
        <v>320437.1875</v>
      </c>
      <c r="I271" s="3">
        <v>51269.95</v>
      </c>
    </row>
    <row r="272" spans="1:9">
      <c r="A272" t="s">
        <v>4304</v>
      </c>
      <c r="B272" s="1">
        <v>41849</v>
      </c>
      <c r="C272" t="s">
        <v>4305</v>
      </c>
      <c r="D272">
        <v>1</v>
      </c>
      <c r="E272" t="s">
        <v>467</v>
      </c>
      <c r="H272" s="3">
        <f t="shared" si="4"/>
        <v>295915.4375</v>
      </c>
      <c r="I272" s="3">
        <v>47346.47</v>
      </c>
    </row>
    <row r="273" spans="1:9">
      <c r="A273" t="s">
        <v>246</v>
      </c>
      <c r="B273" s="1">
        <v>41849</v>
      </c>
      <c r="C273" t="s">
        <v>4306</v>
      </c>
      <c r="D273">
        <v>1</v>
      </c>
      <c r="E273" t="s">
        <v>467</v>
      </c>
      <c r="H273" s="3">
        <f t="shared" si="4"/>
        <v>356752.875</v>
      </c>
      <c r="I273" s="3">
        <v>57080.46</v>
      </c>
    </row>
    <row r="274" spans="1:9">
      <c r="A274" t="s">
        <v>4307</v>
      </c>
      <c r="B274" s="1">
        <v>41849</v>
      </c>
      <c r="C274" t="s">
        <v>4308</v>
      </c>
      <c r="D274">
        <v>1</v>
      </c>
      <c r="E274" t="s">
        <v>467</v>
      </c>
      <c r="H274" s="3">
        <f t="shared" si="4"/>
        <v>325705.4375</v>
      </c>
      <c r="I274" s="3">
        <v>52112.87</v>
      </c>
    </row>
    <row r="275" spans="1:9">
      <c r="A275" t="s">
        <v>4309</v>
      </c>
      <c r="B275" s="1">
        <v>41849</v>
      </c>
      <c r="C275" t="s">
        <v>4310</v>
      </c>
      <c r="D275">
        <v>1</v>
      </c>
      <c r="E275" t="s">
        <v>467</v>
      </c>
      <c r="H275" s="3">
        <f t="shared" si="4"/>
        <v>156573.6875</v>
      </c>
      <c r="I275" s="3">
        <v>25051.79</v>
      </c>
    </row>
    <row r="276" spans="1:9">
      <c r="A276" t="s">
        <v>249</v>
      </c>
      <c r="B276" s="1">
        <v>41849</v>
      </c>
      <c r="C276" t="s">
        <v>4311</v>
      </c>
      <c r="D276">
        <v>1</v>
      </c>
      <c r="E276" t="s">
        <v>467</v>
      </c>
      <c r="H276" s="3">
        <f t="shared" si="4"/>
        <v>164099.5625</v>
      </c>
      <c r="I276" s="3">
        <v>26255.93</v>
      </c>
    </row>
    <row r="277" spans="1:9">
      <c r="A277" t="s">
        <v>4312</v>
      </c>
      <c r="B277" s="1">
        <v>41849</v>
      </c>
      <c r="C277" t="s">
        <v>4313</v>
      </c>
      <c r="D277">
        <v>1</v>
      </c>
      <c r="E277" t="s">
        <v>467</v>
      </c>
      <c r="H277" s="3">
        <f t="shared" si="4"/>
        <v>164099.5625</v>
      </c>
      <c r="I277" s="3">
        <v>26255.93</v>
      </c>
    </row>
    <row r="278" spans="1:9">
      <c r="A278" t="s">
        <v>1212</v>
      </c>
      <c r="B278" s="1">
        <v>41849</v>
      </c>
      <c r="C278" t="s">
        <v>4314</v>
      </c>
      <c r="D278">
        <v>1</v>
      </c>
      <c r="E278" t="s">
        <v>467</v>
      </c>
      <c r="H278" s="3">
        <f t="shared" si="4"/>
        <v>156573.6875</v>
      </c>
      <c r="I278" s="3">
        <v>25051.79</v>
      </c>
    </row>
    <row r="279" spans="1:9">
      <c r="A279" t="s">
        <v>265</v>
      </c>
      <c r="B279" s="1">
        <v>41850</v>
      </c>
      <c r="C279" t="s">
        <v>4317</v>
      </c>
      <c r="D279">
        <v>1</v>
      </c>
      <c r="E279" t="s">
        <v>467</v>
      </c>
      <c r="H279" s="3">
        <f t="shared" si="4"/>
        <v>315421.1875</v>
      </c>
      <c r="I279" s="3">
        <v>50467.39</v>
      </c>
    </row>
    <row r="280" spans="1:9">
      <c r="A280" t="s">
        <v>485</v>
      </c>
      <c r="B280" s="1">
        <v>41830</v>
      </c>
      <c r="C280" t="s">
        <v>4423</v>
      </c>
      <c r="D280">
        <v>1</v>
      </c>
      <c r="E280" t="s">
        <v>467</v>
      </c>
      <c r="H280" s="3">
        <f t="shared" si="4"/>
        <v>310504.875</v>
      </c>
      <c r="I280" s="3">
        <v>49680.78</v>
      </c>
    </row>
    <row r="281" spans="1:9">
      <c r="A281" t="s">
        <v>3435</v>
      </c>
      <c r="B281" s="1">
        <v>41821</v>
      </c>
      <c r="C281" t="s">
        <v>4533</v>
      </c>
      <c r="D281">
        <v>1</v>
      </c>
      <c r="E281" t="s">
        <v>467</v>
      </c>
      <c r="H281" s="3">
        <f t="shared" si="4"/>
        <v>311459.25</v>
      </c>
      <c r="I281" s="3">
        <v>49833.48</v>
      </c>
    </row>
    <row r="282" spans="1:9">
      <c r="A282" t="s">
        <v>4208</v>
      </c>
      <c r="B282" s="1">
        <v>41843</v>
      </c>
      <c r="C282">
        <v>10448</v>
      </c>
      <c r="D282">
        <v>1</v>
      </c>
      <c r="E282" t="s">
        <v>1769</v>
      </c>
      <c r="H282" s="3">
        <f t="shared" si="4"/>
        <v>350</v>
      </c>
      <c r="I282" s="3">
        <v>56</v>
      </c>
    </row>
    <row r="283" spans="1:9">
      <c r="A283" t="s">
        <v>232</v>
      </c>
      <c r="B283" s="1">
        <v>41848</v>
      </c>
      <c r="C283" t="s">
        <v>4283</v>
      </c>
      <c r="D283">
        <v>1</v>
      </c>
      <c r="E283" t="s">
        <v>4284</v>
      </c>
      <c r="H283" s="3">
        <f t="shared" si="4"/>
        <v>44.8125</v>
      </c>
      <c r="I283" s="3">
        <v>7.17</v>
      </c>
    </row>
    <row r="284" spans="1:9">
      <c r="A284" t="s">
        <v>4352</v>
      </c>
      <c r="B284" s="1">
        <v>41851</v>
      </c>
      <c r="C284" t="s">
        <v>4353</v>
      </c>
      <c r="D284">
        <v>1</v>
      </c>
      <c r="E284" t="s">
        <v>4354</v>
      </c>
      <c r="H284" s="3">
        <f t="shared" si="4"/>
        <v>1218.8125</v>
      </c>
      <c r="I284" s="3">
        <v>195.01</v>
      </c>
    </row>
    <row r="285" spans="1:9">
      <c r="A285" t="s">
        <v>1760</v>
      </c>
      <c r="B285" s="1">
        <v>41831</v>
      </c>
      <c r="C285" t="s">
        <v>4157</v>
      </c>
      <c r="D285">
        <v>1</v>
      </c>
      <c r="E285" t="s">
        <v>4158</v>
      </c>
      <c r="H285" s="3">
        <f t="shared" si="4"/>
        <v>1276.6875</v>
      </c>
      <c r="I285" s="3">
        <v>204.27</v>
      </c>
    </row>
    <row r="286" spans="1:9">
      <c r="A286" t="s">
        <v>1757</v>
      </c>
      <c r="B286" s="1">
        <v>41831</v>
      </c>
      <c r="C286" t="s">
        <v>4155</v>
      </c>
      <c r="D286">
        <v>1</v>
      </c>
      <c r="E286" t="s">
        <v>4156</v>
      </c>
      <c r="H286" s="3">
        <f t="shared" si="4"/>
        <v>996.5</v>
      </c>
      <c r="I286" s="3">
        <v>159.44</v>
      </c>
    </row>
    <row r="287" spans="1:9">
      <c r="A287" t="s">
        <v>4149</v>
      </c>
      <c r="B287" s="1">
        <v>41831</v>
      </c>
      <c r="C287" t="s">
        <v>4150</v>
      </c>
      <c r="D287">
        <v>1</v>
      </c>
      <c r="E287" t="s">
        <v>4151</v>
      </c>
      <c r="H287" s="3">
        <f t="shared" si="4"/>
        <v>843.75</v>
      </c>
      <c r="I287" s="3">
        <v>135</v>
      </c>
    </row>
    <row r="288" spans="1:9">
      <c r="A288" t="s">
        <v>4280</v>
      </c>
      <c r="B288" s="1">
        <v>41848</v>
      </c>
      <c r="C288" t="s">
        <v>4281</v>
      </c>
      <c r="D288">
        <v>1</v>
      </c>
      <c r="E288" t="s">
        <v>4282</v>
      </c>
      <c r="H288" s="3">
        <f t="shared" si="4"/>
        <v>598.25</v>
      </c>
      <c r="I288" s="3">
        <v>95.72</v>
      </c>
    </row>
    <row r="289" spans="1:9">
      <c r="A289" t="s">
        <v>4152</v>
      </c>
      <c r="B289" s="1">
        <v>41831</v>
      </c>
      <c r="C289" t="s">
        <v>4153</v>
      </c>
      <c r="D289">
        <v>1</v>
      </c>
      <c r="E289" t="s">
        <v>4154</v>
      </c>
      <c r="H289" s="3">
        <f t="shared" si="4"/>
        <v>2873.5</v>
      </c>
      <c r="I289" s="3">
        <v>459.76</v>
      </c>
    </row>
    <row r="290" spans="1:9">
      <c r="A290" t="s">
        <v>4275</v>
      </c>
      <c r="B290" s="1">
        <v>41848</v>
      </c>
      <c r="C290" t="s">
        <v>4276</v>
      </c>
      <c r="D290">
        <v>1</v>
      </c>
      <c r="E290" t="s">
        <v>4277</v>
      </c>
      <c r="H290" s="3">
        <f t="shared" si="4"/>
        <v>176.8125</v>
      </c>
      <c r="I290" s="3">
        <v>28.29</v>
      </c>
    </row>
    <row r="291" spans="1:9">
      <c r="A291" t="s">
        <v>4384</v>
      </c>
      <c r="B291" s="1">
        <v>41851</v>
      </c>
      <c r="C291" t="s">
        <v>4385</v>
      </c>
      <c r="D291">
        <v>1</v>
      </c>
      <c r="E291" t="s">
        <v>4386</v>
      </c>
      <c r="H291" s="3">
        <f t="shared" si="4"/>
        <v>367.375</v>
      </c>
      <c r="I291" s="3">
        <v>58.78</v>
      </c>
    </row>
    <row r="292" spans="1:9">
      <c r="A292" t="s">
        <v>1753</v>
      </c>
      <c r="B292" s="1">
        <v>41831</v>
      </c>
      <c r="C292" t="s">
        <v>4147</v>
      </c>
      <c r="D292">
        <v>1</v>
      </c>
      <c r="E292" t="s">
        <v>4148</v>
      </c>
      <c r="H292" s="3">
        <f t="shared" si="4"/>
        <v>3956.4999999999995</v>
      </c>
      <c r="I292" s="3">
        <v>633.04</v>
      </c>
    </row>
    <row r="293" spans="1:9">
      <c r="A293" t="s">
        <v>4270</v>
      </c>
      <c r="B293" s="1">
        <v>41848</v>
      </c>
      <c r="C293" t="s">
        <v>4271</v>
      </c>
      <c r="D293">
        <v>1</v>
      </c>
      <c r="E293" t="s">
        <v>4272</v>
      </c>
      <c r="H293" s="3">
        <f t="shared" si="4"/>
        <v>839.625</v>
      </c>
      <c r="I293" s="3">
        <v>134.34</v>
      </c>
    </row>
    <row r="294" spans="1:9">
      <c r="A294" t="s">
        <v>4387</v>
      </c>
      <c r="B294" s="1">
        <v>41851</v>
      </c>
      <c r="C294" t="s">
        <v>4388</v>
      </c>
      <c r="D294">
        <v>1</v>
      </c>
      <c r="E294" t="s">
        <v>4389</v>
      </c>
      <c r="H294" s="3">
        <f t="shared" si="4"/>
        <v>75</v>
      </c>
      <c r="I294" s="3">
        <v>12</v>
      </c>
    </row>
    <row r="295" spans="1:9">
      <c r="A295" t="s">
        <v>4195</v>
      </c>
      <c r="B295" s="1">
        <v>41843</v>
      </c>
      <c r="C295" t="s">
        <v>4196</v>
      </c>
      <c r="D295">
        <v>1</v>
      </c>
      <c r="E295" t="s">
        <v>4197</v>
      </c>
      <c r="H295" s="3">
        <f t="shared" si="4"/>
        <v>932.0625</v>
      </c>
      <c r="I295" s="3">
        <v>149.13</v>
      </c>
    </row>
    <row r="296" spans="1:9">
      <c r="A296" t="s">
        <v>4192</v>
      </c>
      <c r="B296" s="1">
        <v>41843</v>
      </c>
      <c r="C296" t="s">
        <v>4193</v>
      </c>
      <c r="D296">
        <v>1</v>
      </c>
      <c r="E296" t="s">
        <v>4194</v>
      </c>
      <c r="H296" s="3">
        <f t="shared" si="4"/>
        <v>1202.4375</v>
      </c>
      <c r="I296" s="3">
        <v>192.39</v>
      </c>
    </row>
    <row r="297" spans="1:9">
      <c r="A297" t="s">
        <v>4361</v>
      </c>
      <c r="B297" s="1">
        <v>41851</v>
      </c>
      <c r="C297" t="s">
        <v>4362</v>
      </c>
      <c r="D297">
        <v>1</v>
      </c>
      <c r="E297" t="s">
        <v>4363</v>
      </c>
      <c r="H297" s="3">
        <f t="shared" si="4"/>
        <v>214.62500000000003</v>
      </c>
      <c r="I297" s="3">
        <v>34.340000000000003</v>
      </c>
    </row>
    <row r="298" spans="1:9">
      <c r="A298" t="s">
        <v>4189</v>
      </c>
      <c r="B298" s="1">
        <v>41843</v>
      </c>
      <c r="C298" t="s">
        <v>4190</v>
      </c>
      <c r="D298">
        <v>1</v>
      </c>
      <c r="E298" t="s">
        <v>4191</v>
      </c>
      <c r="H298" s="3">
        <f t="shared" si="4"/>
        <v>1508.5</v>
      </c>
      <c r="I298" s="3">
        <v>241.36</v>
      </c>
    </row>
    <row r="299" spans="1:9">
      <c r="A299" t="s">
        <v>4355</v>
      </c>
      <c r="B299" s="1">
        <v>41851</v>
      </c>
      <c r="C299" t="s">
        <v>4356</v>
      </c>
      <c r="D299">
        <v>1</v>
      </c>
      <c r="E299" t="s">
        <v>4357</v>
      </c>
      <c r="H299" s="3">
        <f t="shared" si="4"/>
        <v>923.4375</v>
      </c>
      <c r="I299" s="3">
        <v>147.75</v>
      </c>
    </row>
    <row r="300" spans="1:9">
      <c r="A300" t="s">
        <v>3170</v>
      </c>
      <c r="B300" s="1">
        <v>41848</v>
      </c>
      <c r="C300" t="s">
        <v>4278</v>
      </c>
      <c r="D300">
        <v>1</v>
      </c>
      <c r="E300" t="s">
        <v>4279</v>
      </c>
      <c r="H300" s="3">
        <f t="shared" si="4"/>
        <v>2098.9375</v>
      </c>
      <c r="I300" s="3">
        <v>335.83</v>
      </c>
    </row>
    <row r="301" spans="1:9">
      <c r="A301" t="s">
        <v>4390</v>
      </c>
      <c r="B301" s="1">
        <v>41851</v>
      </c>
      <c r="C301" t="s">
        <v>4391</v>
      </c>
      <c r="D301">
        <v>1</v>
      </c>
      <c r="E301" t="s">
        <v>4392</v>
      </c>
      <c r="H301" s="3">
        <f t="shared" si="4"/>
        <v>1991.4999999999998</v>
      </c>
      <c r="I301" s="3">
        <v>318.64</v>
      </c>
    </row>
    <row r="302" spans="1:9">
      <c r="A302" t="s">
        <v>1962</v>
      </c>
      <c r="B302" s="1">
        <v>41848</v>
      </c>
      <c r="C302" t="s">
        <v>4273</v>
      </c>
      <c r="D302">
        <v>1</v>
      </c>
      <c r="E302" t="s">
        <v>4274</v>
      </c>
      <c r="H302" s="3">
        <f t="shared" si="4"/>
        <v>2576.5625</v>
      </c>
      <c r="I302" s="3">
        <v>412.25</v>
      </c>
    </row>
    <row r="303" spans="1:9">
      <c r="A303" t="s">
        <v>4358</v>
      </c>
      <c r="B303" s="1">
        <v>41851</v>
      </c>
      <c r="C303" t="s">
        <v>4359</v>
      </c>
      <c r="D303">
        <v>1</v>
      </c>
      <c r="E303" t="s">
        <v>4360</v>
      </c>
      <c r="H303" s="3">
        <f t="shared" si="4"/>
        <v>702.5</v>
      </c>
      <c r="I303" s="3">
        <v>112.4</v>
      </c>
    </row>
    <row r="304" spans="1:9">
      <c r="A304" t="s">
        <v>4349</v>
      </c>
      <c r="B304" s="1">
        <v>41851</v>
      </c>
      <c r="C304" t="s">
        <v>4350</v>
      </c>
      <c r="D304">
        <v>1</v>
      </c>
      <c r="E304" t="s">
        <v>4351</v>
      </c>
      <c r="H304" s="3">
        <f t="shared" si="4"/>
        <v>540.125</v>
      </c>
      <c r="I304" s="3">
        <v>86.42</v>
      </c>
    </row>
    <row r="305" spans="1:9">
      <c r="A305" t="s">
        <v>4198</v>
      </c>
      <c r="B305" s="1">
        <v>41843</v>
      </c>
      <c r="C305" t="s">
        <v>4199</v>
      </c>
      <c r="D305">
        <v>1</v>
      </c>
      <c r="E305" t="s">
        <v>4200</v>
      </c>
      <c r="H305" s="3">
        <f t="shared" si="4"/>
        <v>4799.125</v>
      </c>
      <c r="I305" s="3">
        <v>767.86</v>
      </c>
    </row>
    <row r="306" spans="1:9">
      <c r="A306" t="s">
        <v>1804</v>
      </c>
      <c r="B306" s="1">
        <v>41835</v>
      </c>
      <c r="C306" t="s">
        <v>4162</v>
      </c>
      <c r="D306">
        <v>1</v>
      </c>
      <c r="E306" t="s">
        <v>4163</v>
      </c>
      <c r="H306" s="3">
        <f t="shared" si="4"/>
        <v>356752.875</v>
      </c>
      <c r="I306" s="3">
        <v>57080.46</v>
      </c>
    </row>
    <row r="307" spans="1:9">
      <c r="A307" t="s">
        <v>2948</v>
      </c>
      <c r="B307" s="1">
        <v>41843</v>
      </c>
      <c r="C307" t="s">
        <v>4182</v>
      </c>
      <c r="D307">
        <v>1</v>
      </c>
      <c r="E307" t="s">
        <v>4183</v>
      </c>
      <c r="H307" s="3">
        <f t="shared" si="4"/>
        <v>315421.1875</v>
      </c>
      <c r="I307" s="3">
        <v>50467.39</v>
      </c>
    </row>
    <row r="308" spans="1:9">
      <c r="A308" t="s">
        <v>4086</v>
      </c>
      <c r="B308" s="1">
        <v>41821</v>
      </c>
      <c r="C308" t="s">
        <v>4087</v>
      </c>
      <c r="D308">
        <v>1</v>
      </c>
      <c r="E308" t="s">
        <v>4088</v>
      </c>
      <c r="H308" s="3">
        <f t="shared" si="4"/>
        <v>183525.5625</v>
      </c>
      <c r="I308" s="3">
        <v>29364.09</v>
      </c>
    </row>
    <row r="309" spans="1:9">
      <c r="A309" t="s">
        <v>2662</v>
      </c>
      <c r="B309" s="1">
        <v>41850</v>
      </c>
      <c r="C309" t="s">
        <v>4318</v>
      </c>
      <c r="D309">
        <v>1</v>
      </c>
      <c r="E309" t="s">
        <v>1661</v>
      </c>
      <c r="H309" s="3">
        <f t="shared" si="4"/>
        <v>182289.6875</v>
      </c>
      <c r="I309" s="3">
        <v>29166.35</v>
      </c>
    </row>
    <row r="310" spans="1:9">
      <c r="A310" t="s">
        <v>4220</v>
      </c>
      <c r="B310" s="1">
        <v>41843</v>
      </c>
      <c r="C310" t="s">
        <v>4221</v>
      </c>
      <c r="D310">
        <v>1</v>
      </c>
      <c r="E310" t="s">
        <v>4222</v>
      </c>
      <c r="H310" s="3">
        <f t="shared" si="4"/>
        <v>700</v>
      </c>
      <c r="I310" s="3">
        <v>112</v>
      </c>
    </row>
    <row r="311" spans="1:9">
      <c r="A311" t="s">
        <v>1352</v>
      </c>
      <c r="B311" s="1">
        <v>41832</v>
      </c>
      <c r="C311" t="s">
        <v>4435</v>
      </c>
      <c r="D311">
        <v>1</v>
      </c>
      <c r="E311" t="s">
        <v>2749</v>
      </c>
      <c r="H311" s="3">
        <f t="shared" si="4"/>
        <v>1800</v>
      </c>
      <c r="I311" s="3">
        <v>288</v>
      </c>
    </row>
    <row r="312" spans="1:9">
      <c r="A312" t="s">
        <v>4375</v>
      </c>
      <c r="B312" s="1">
        <v>41851</v>
      </c>
      <c r="C312">
        <v>10501</v>
      </c>
      <c r="D312">
        <v>1</v>
      </c>
      <c r="E312" t="s">
        <v>4376</v>
      </c>
      <c r="H312" s="3">
        <f t="shared" si="4"/>
        <v>2502.9375</v>
      </c>
      <c r="I312" s="3">
        <v>400.47</v>
      </c>
    </row>
    <row r="313" spans="1:9">
      <c r="A313" t="s">
        <v>1425</v>
      </c>
      <c r="B313" s="1">
        <v>41838</v>
      </c>
      <c r="C313" t="s">
        <v>4467</v>
      </c>
      <c r="D313">
        <v>1</v>
      </c>
      <c r="E313" t="s">
        <v>1493</v>
      </c>
      <c r="H313" s="3">
        <f t="shared" si="4"/>
        <v>4154.8125</v>
      </c>
      <c r="I313" s="3">
        <v>664.77</v>
      </c>
    </row>
  </sheetData>
  <sortState ref="A1:K425">
    <sortCondition ref="E1:E42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9" sqref="F29"/>
    </sheetView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cqqcompras</cp:lastModifiedBy>
  <dcterms:created xsi:type="dcterms:W3CDTF">2016-08-09T23:36:20Z</dcterms:created>
  <dcterms:modified xsi:type="dcterms:W3CDTF">2016-08-17T21:10:16Z</dcterms:modified>
</cp:coreProperties>
</file>