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445"/>
  </bookViews>
  <sheets>
    <sheet name="FACTURACIÓN" sheetId="1" r:id="rId1"/>
    <sheet name="C&amp;A" sheetId="4" r:id="rId2"/>
    <sheet name="SINDICATO" sheetId="2" r:id="rId3"/>
    <sheet name="Hoja3" sheetId="3" r:id="rId4"/>
    <sheet name="Hoja1" sheetId="5" r:id="rId5"/>
    <sheet name="INFONAVIT" sheetId="7" r:id="rId6"/>
  </sheets>
  <calcPr calcId="144525"/>
</workbook>
</file>

<file path=xl/calcChain.xml><?xml version="1.0" encoding="utf-8"?>
<calcChain xmlns="http://schemas.openxmlformats.org/spreadsheetml/2006/main">
  <c r="AP35" i="1" l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S11" i="1" l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10" i="1"/>
  <c r="H10" i="1"/>
  <c r="D37" i="1"/>
  <c r="E37" i="1"/>
  <c r="I37" i="1"/>
  <c r="C37" i="1"/>
  <c r="F12" i="2"/>
  <c r="F16" i="2"/>
  <c r="F20" i="2"/>
  <c r="F24" i="2"/>
  <c r="F28" i="2"/>
  <c r="F32" i="2"/>
  <c r="H11" i="2"/>
  <c r="H14" i="2"/>
  <c r="H15" i="2"/>
  <c r="H18" i="2"/>
  <c r="H19" i="2"/>
  <c r="H22" i="2"/>
  <c r="H23" i="2"/>
  <c r="H26" i="2"/>
  <c r="H27" i="2"/>
  <c r="H30" i="2"/>
  <c r="H31" i="2"/>
  <c r="H34" i="2"/>
  <c r="H35" i="2"/>
  <c r="G11" i="1"/>
  <c r="G12" i="1"/>
  <c r="H12" i="2" s="1"/>
  <c r="G13" i="1"/>
  <c r="H13" i="2" s="1"/>
  <c r="G14" i="1"/>
  <c r="G15" i="1"/>
  <c r="G16" i="1"/>
  <c r="H16" i="2" s="1"/>
  <c r="G17" i="1"/>
  <c r="H17" i="2" s="1"/>
  <c r="G18" i="1"/>
  <c r="G19" i="1"/>
  <c r="G20" i="1"/>
  <c r="H20" i="2" s="1"/>
  <c r="G21" i="1"/>
  <c r="H21" i="2" s="1"/>
  <c r="G22" i="1"/>
  <c r="G23" i="1"/>
  <c r="G24" i="1"/>
  <c r="H24" i="2" s="1"/>
  <c r="G25" i="1"/>
  <c r="H25" i="2" s="1"/>
  <c r="G26" i="1"/>
  <c r="G27" i="1"/>
  <c r="G28" i="1"/>
  <c r="H28" i="2" s="1"/>
  <c r="G29" i="1"/>
  <c r="H29" i="2" s="1"/>
  <c r="G30" i="1"/>
  <c r="G31" i="1"/>
  <c r="G32" i="1"/>
  <c r="H32" i="2" s="1"/>
  <c r="G33" i="1"/>
  <c r="H33" i="2" s="1"/>
  <c r="G34" i="1"/>
  <c r="G35" i="1"/>
  <c r="G10" i="1"/>
  <c r="H10" i="2" s="1"/>
  <c r="H34" i="1"/>
  <c r="H12" i="1"/>
  <c r="H16" i="1"/>
  <c r="H20" i="1"/>
  <c r="H24" i="1"/>
  <c r="H28" i="1"/>
  <c r="H32" i="1"/>
  <c r="H35" i="1"/>
  <c r="F35" i="1"/>
  <c r="F35" i="2" s="1"/>
  <c r="F34" i="1"/>
  <c r="F34" i="2" s="1"/>
  <c r="F33" i="1"/>
  <c r="F33" i="2" s="1"/>
  <c r="F32" i="1"/>
  <c r="F31" i="1"/>
  <c r="F31" i="2" s="1"/>
  <c r="F30" i="1"/>
  <c r="F30" i="2" s="1"/>
  <c r="F29" i="1"/>
  <c r="F29" i="2" s="1"/>
  <c r="F28" i="1"/>
  <c r="F27" i="1"/>
  <c r="F27" i="2" s="1"/>
  <c r="F26" i="1"/>
  <c r="F26" i="2" s="1"/>
  <c r="F25" i="1"/>
  <c r="H25" i="1" s="1"/>
  <c r="F24" i="1"/>
  <c r="F23" i="1"/>
  <c r="F23" i="2" s="1"/>
  <c r="F22" i="1"/>
  <c r="F22" i="2" s="1"/>
  <c r="F21" i="1"/>
  <c r="F21" i="2" s="1"/>
  <c r="F20" i="1"/>
  <c r="F19" i="1"/>
  <c r="F19" i="2" s="1"/>
  <c r="F18" i="1"/>
  <c r="F18" i="2" s="1"/>
  <c r="F17" i="1"/>
  <c r="F17" i="2" s="1"/>
  <c r="F16" i="1"/>
  <c r="F15" i="1"/>
  <c r="F15" i="2" s="1"/>
  <c r="F14" i="1"/>
  <c r="F14" i="2" s="1"/>
  <c r="F13" i="1"/>
  <c r="F13" i="2" s="1"/>
  <c r="F12" i="1"/>
  <c r="F11" i="1"/>
  <c r="F11" i="2" s="1"/>
  <c r="F10" i="1"/>
  <c r="F10" i="2" s="1"/>
  <c r="AI37" i="1"/>
  <c r="AG37" i="1"/>
  <c r="AF37" i="1"/>
  <c r="AE37" i="1"/>
  <c r="AH37" i="1"/>
  <c r="AL37" i="1"/>
  <c r="AJ37" i="1"/>
  <c r="H33" i="1" l="1"/>
  <c r="H21" i="1"/>
  <c r="F25" i="2"/>
  <c r="F37" i="1"/>
  <c r="H30" i="1"/>
  <c r="H26" i="1"/>
  <c r="H22" i="1"/>
  <c r="H18" i="1"/>
  <c r="H14" i="1"/>
  <c r="H29" i="1"/>
  <c r="H17" i="1"/>
  <c r="H13" i="1"/>
  <c r="G37" i="1"/>
  <c r="H31" i="1"/>
  <c r="H27" i="1"/>
  <c r="H23" i="1"/>
  <c r="H19" i="1"/>
  <c r="H15" i="1"/>
  <c r="H11" i="1"/>
  <c r="AK37" i="1"/>
  <c r="H37" i="1" l="1"/>
  <c r="AM37" i="1"/>
  <c r="AO37" i="1" l="1"/>
  <c r="AN37" i="1"/>
  <c r="D37" i="4" l="1"/>
  <c r="G37" i="4"/>
  <c r="C37" i="4"/>
  <c r="F27" i="4"/>
  <c r="F24" i="4"/>
  <c r="F16" i="4"/>
  <c r="F13" i="4"/>
  <c r="H13" i="4" s="1"/>
  <c r="Z16" i="2"/>
  <c r="Z13" i="2"/>
  <c r="D38" i="2"/>
  <c r="G38" i="2"/>
  <c r="J38" i="2"/>
  <c r="F37" i="4" l="1"/>
  <c r="Z10" i="2"/>
  <c r="Z15" i="2"/>
  <c r="Z24" i="2" l="1"/>
  <c r="Z27" i="2"/>
  <c r="Z34" i="2"/>
  <c r="Z35" i="2"/>
  <c r="H11" i="4"/>
  <c r="H12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10" i="4"/>
  <c r="E11" i="4"/>
  <c r="J11" i="1" s="1"/>
  <c r="K11" i="1" s="1"/>
  <c r="L11" i="1" s="1"/>
  <c r="M11" i="1" s="1"/>
  <c r="E12" i="4"/>
  <c r="J12" i="1" s="1"/>
  <c r="K12" i="1" s="1"/>
  <c r="L12" i="1" s="1"/>
  <c r="M12" i="1" s="1"/>
  <c r="E13" i="4"/>
  <c r="J13" i="1" s="1"/>
  <c r="K13" i="1" s="1"/>
  <c r="L13" i="1" s="1"/>
  <c r="M13" i="1" s="1"/>
  <c r="E14" i="4"/>
  <c r="J14" i="1" s="1"/>
  <c r="K14" i="1" s="1"/>
  <c r="L14" i="1" s="1"/>
  <c r="M14" i="1" s="1"/>
  <c r="E15" i="4"/>
  <c r="J15" i="1" s="1"/>
  <c r="K15" i="1" s="1"/>
  <c r="L15" i="1" s="1"/>
  <c r="M15" i="1" s="1"/>
  <c r="E16" i="4"/>
  <c r="J16" i="1" s="1"/>
  <c r="K16" i="1" s="1"/>
  <c r="L16" i="1" s="1"/>
  <c r="M16" i="1" s="1"/>
  <c r="E17" i="4"/>
  <c r="J17" i="1" s="1"/>
  <c r="K17" i="1" s="1"/>
  <c r="L17" i="1" s="1"/>
  <c r="M17" i="1" s="1"/>
  <c r="E18" i="4"/>
  <c r="J18" i="1" s="1"/>
  <c r="K18" i="1" s="1"/>
  <c r="L18" i="1" s="1"/>
  <c r="M18" i="1" s="1"/>
  <c r="E19" i="4"/>
  <c r="J19" i="1" s="1"/>
  <c r="K19" i="1" s="1"/>
  <c r="L19" i="1" s="1"/>
  <c r="M19" i="1" s="1"/>
  <c r="E20" i="4"/>
  <c r="J20" i="1" s="1"/>
  <c r="K20" i="1" s="1"/>
  <c r="L20" i="1" s="1"/>
  <c r="M20" i="1" s="1"/>
  <c r="E21" i="4"/>
  <c r="J21" i="1" s="1"/>
  <c r="K21" i="1" s="1"/>
  <c r="L21" i="1" s="1"/>
  <c r="M21" i="1" s="1"/>
  <c r="E22" i="4"/>
  <c r="J22" i="1" s="1"/>
  <c r="K22" i="1" s="1"/>
  <c r="L22" i="1" s="1"/>
  <c r="M22" i="1" s="1"/>
  <c r="E23" i="4"/>
  <c r="J23" i="1" s="1"/>
  <c r="K23" i="1" s="1"/>
  <c r="L23" i="1" s="1"/>
  <c r="M23" i="1" s="1"/>
  <c r="E24" i="4"/>
  <c r="J24" i="1" s="1"/>
  <c r="K24" i="1" s="1"/>
  <c r="L24" i="1" s="1"/>
  <c r="M24" i="1" s="1"/>
  <c r="E25" i="4"/>
  <c r="J25" i="1" s="1"/>
  <c r="K25" i="1" s="1"/>
  <c r="L25" i="1" s="1"/>
  <c r="M25" i="1" s="1"/>
  <c r="E26" i="4"/>
  <c r="J26" i="1" s="1"/>
  <c r="K26" i="1" s="1"/>
  <c r="L26" i="1" s="1"/>
  <c r="M26" i="1" s="1"/>
  <c r="E27" i="4"/>
  <c r="J27" i="1" s="1"/>
  <c r="K27" i="1" s="1"/>
  <c r="L27" i="1" s="1"/>
  <c r="M27" i="1" s="1"/>
  <c r="E28" i="4"/>
  <c r="J28" i="1" s="1"/>
  <c r="K28" i="1" s="1"/>
  <c r="L28" i="1" s="1"/>
  <c r="M28" i="1" s="1"/>
  <c r="E29" i="4"/>
  <c r="J29" i="1" s="1"/>
  <c r="K29" i="1" s="1"/>
  <c r="L29" i="1" s="1"/>
  <c r="M29" i="1" s="1"/>
  <c r="E30" i="4"/>
  <c r="J30" i="1" s="1"/>
  <c r="K30" i="1" s="1"/>
  <c r="L30" i="1" s="1"/>
  <c r="M30" i="1" s="1"/>
  <c r="E31" i="4"/>
  <c r="J31" i="1" s="1"/>
  <c r="K31" i="1" s="1"/>
  <c r="L31" i="1" s="1"/>
  <c r="M31" i="1" s="1"/>
  <c r="E32" i="4"/>
  <c r="J32" i="1" s="1"/>
  <c r="K32" i="1" s="1"/>
  <c r="L32" i="1" s="1"/>
  <c r="M32" i="1" s="1"/>
  <c r="E33" i="4"/>
  <c r="J33" i="1" s="1"/>
  <c r="K33" i="1" s="1"/>
  <c r="L33" i="1" s="1"/>
  <c r="M33" i="1" s="1"/>
  <c r="E34" i="4"/>
  <c r="J34" i="1" s="1"/>
  <c r="K34" i="1" s="1"/>
  <c r="L34" i="1" s="1"/>
  <c r="M34" i="1" s="1"/>
  <c r="E35" i="4"/>
  <c r="J35" i="1" s="1"/>
  <c r="K35" i="1" s="1"/>
  <c r="L35" i="1" s="1"/>
  <c r="M35" i="1" s="1"/>
  <c r="E10" i="4"/>
  <c r="J10" i="1" s="1"/>
  <c r="J37" i="1" l="1"/>
  <c r="K10" i="1"/>
  <c r="I10" i="4"/>
  <c r="C10" i="2" s="1"/>
  <c r="I32" i="4"/>
  <c r="C32" i="2" s="1"/>
  <c r="I30" i="4"/>
  <c r="C30" i="2" s="1"/>
  <c r="I28" i="4"/>
  <c r="C28" i="2" s="1"/>
  <c r="I25" i="4"/>
  <c r="C25" i="2" s="1"/>
  <c r="I22" i="4"/>
  <c r="C22" i="2" s="1"/>
  <c r="I20" i="4"/>
  <c r="C20" i="2" s="1"/>
  <c r="I18" i="4"/>
  <c r="C18" i="2" s="1"/>
  <c r="I15" i="4"/>
  <c r="C15" i="2" s="1"/>
  <c r="I12" i="4"/>
  <c r="C12" i="2" s="1"/>
  <c r="E37" i="4"/>
  <c r="H37" i="4"/>
  <c r="I33" i="4"/>
  <c r="C33" i="2" s="1"/>
  <c r="I31" i="4"/>
  <c r="C31" i="2" s="1"/>
  <c r="I29" i="4"/>
  <c r="C29" i="2" s="1"/>
  <c r="I26" i="4"/>
  <c r="C26" i="2" s="1"/>
  <c r="I23" i="4"/>
  <c r="C23" i="2" s="1"/>
  <c r="I21" i="4"/>
  <c r="C21" i="2" s="1"/>
  <c r="I19" i="4"/>
  <c r="C19" i="2" s="1"/>
  <c r="I17" i="4"/>
  <c r="C17" i="2" s="1"/>
  <c r="I14" i="4"/>
  <c r="C14" i="2" s="1"/>
  <c r="I11" i="4"/>
  <c r="C11" i="2" s="1"/>
  <c r="F38" i="2"/>
  <c r="Z33" i="2"/>
  <c r="Z31" i="2"/>
  <c r="Z29" i="2"/>
  <c r="Z25" i="2"/>
  <c r="Z23" i="2"/>
  <c r="Z21" i="2"/>
  <c r="Z19" i="2"/>
  <c r="Z17" i="2"/>
  <c r="Z12" i="2"/>
  <c r="K12" i="2"/>
  <c r="Z32" i="2"/>
  <c r="Z30" i="2"/>
  <c r="Z28" i="2"/>
  <c r="Z26" i="2"/>
  <c r="Z22" i="2"/>
  <c r="Z20" i="2"/>
  <c r="Z18" i="2"/>
  <c r="Z14" i="2"/>
  <c r="Z11" i="2"/>
  <c r="I34" i="4"/>
  <c r="C34" i="2" s="1"/>
  <c r="I35" i="4"/>
  <c r="C35" i="2" s="1"/>
  <c r="I27" i="4"/>
  <c r="C27" i="2" s="1"/>
  <c r="I24" i="4"/>
  <c r="C24" i="2" s="1"/>
  <c r="I16" i="4"/>
  <c r="C16" i="2" s="1"/>
  <c r="I13" i="4"/>
  <c r="C13" i="2" s="1"/>
  <c r="K34" i="2"/>
  <c r="H38" i="2"/>
  <c r="K32" i="2"/>
  <c r="K30" i="2"/>
  <c r="K28" i="2"/>
  <c r="K26" i="2"/>
  <c r="K24" i="2"/>
  <c r="K22" i="2"/>
  <c r="K18" i="2"/>
  <c r="K14" i="2"/>
  <c r="K35" i="2"/>
  <c r="K33" i="2"/>
  <c r="K31" i="2"/>
  <c r="K29" i="2"/>
  <c r="K27" i="2"/>
  <c r="K25" i="2"/>
  <c r="K23" i="2"/>
  <c r="K21" i="2"/>
  <c r="K19" i="2"/>
  <c r="K17" i="2"/>
  <c r="K13" i="2"/>
  <c r="K11" i="2"/>
  <c r="K16" i="2"/>
  <c r="L10" i="1" l="1"/>
  <c r="M10" i="1" s="1"/>
  <c r="I37" i="4"/>
  <c r="K15" i="2"/>
  <c r="E10" i="2" l="1"/>
  <c r="C38" i="2"/>
  <c r="K20" i="2"/>
  <c r="B4" i="2" l="1"/>
  <c r="K37" i="1" l="1"/>
  <c r="E17" i="2" l="1"/>
  <c r="L17" i="2" s="1"/>
  <c r="S17" i="1" l="1"/>
  <c r="T17" i="1"/>
  <c r="E21" i="2"/>
  <c r="L21" i="2" s="1"/>
  <c r="E12" i="2"/>
  <c r="L12" i="2" s="1"/>
  <c r="S12" i="1" s="1"/>
  <c r="E16" i="2"/>
  <c r="L16" i="2" s="1"/>
  <c r="E22" i="2"/>
  <c r="L22" i="2" s="1"/>
  <c r="E20" i="2"/>
  <c r="L20" i="2" s="1"/>
  <c r="E35" i="2"/>
  <c r="L35" i="2" s="1"/>
  <c r="E18" i="2"/>
  <c r="L18" i="2" s="1"/>
  <c r="E26" i="2"/>
  <c r="L26" i="2" s="1"/>
  <c r="E13" i="2"/>
  <c r="L13" i="2" s="1"/>
  <c r="E31" i="2"/>
  <c r="L31" i="2" s="1"/>
  <c r="E15" i="2"/>
  <c r="L15" i="2" s="1"/>
  <c r="E11" i="2"/>
  <c r="E25" i="2"/>
  <c r="L25" i="2" s="1"/>
  <c r="E30" i="2"/>
  <c r="L30" i="2" s="1"/>
  <c r="E34" i="2"/>
  <c r="L34" i="2" s="1"/>
  <c r="E14" i="2"/>
  <c r="L14" i="2" s="1"/>
  <c r="E27" i="2"/>
  <c r="L27" i="2" s="1"/>
  <c r="E29" i="2"/>
  <c r="L29" i="2" s="1"/>
  <c r="E24" i="2"/>
  <c r="L24" i="2" s="1"/>
  <c r="E19" i="2"/>
  <c r="L19" i="2" s="1"/>
  <c r="E32" i="2"/>
  <c r="L32" i="2" s="1"/>
  <c r="E28" i="2"/>
  <c r="L28" i="2" s="1"/>
  <c r="E23" i="2"/>
  <c r="L23" i="2" s="1"/>
  <c r="E33" i="2"/>
  <c r="L33" i="2" s="1"/>
  <c r="U17" i="1" l="1"/>
  <c r="V17" i="1"/>
  <c r="T23" i="1"/>
  <c r="S23" i="1"/>
  <c r="T32" i="1"/>
  <c r="S32" i="1"/>
  <c r="T24" i="1"/>
  <c r="S24" i="1"/>
  <c r="S27" i="1"/>
  <c r="T27" i="1"/>
  <c r="T34" i="1"/>
  <c r="S34" i="1"/>
  <c r="T25" i="1"/>
  <c r="S25" i="1"/>
  <c r="S31" i="1"/>
  <c r="T31" i="1"/>
  <c r="T26" i="1"/>
  <c r="S26" i="1"/>
  <c r="T35" i="1"/>
  <c r="S35" i="1"/>
  <c r="T22" i="1"/>
  <c r="S22" i="1"/>
  <c r="T12" i="1"/>
  <c r="T33" i="1"/>
  <c r="S33" i="1"/>
  <c r="T28" i="1"/>
  <c r="S28" i="1"/>
  <c r="T19" i="1"/>
  <c r="S19" i="1"/>
  <c r="T29" i="1"/>
  <c r="S29" i="1"/>
  <c r="T14" i="1"/>
  <c r="S14" i="1"/>
  <c r="T30" i="1"/>
  <c r="S30" i="1"/>
  <c r="S15" i="1"/>
  <c r="T15" i="1"/>
  <c r="S13" i="1"/>
  <c r="T13" i="1"/>
  <c r="T18" i="1"/>
  <c r="S18" i="1"/>
  <c r="T20" i="1"/>
  <c r="S20" i="1"/>
  <c r="T16" i="1"/>
  <c r="S16" i="1"/>
  <c r="S21" i="1"/>
  <c r="T21" i="1"/>
  <c r="L11" i="2"/>
  <c r="E38" i="2"/>
  <c r="L37" i="1"/>
  <c r="U21" i="1" l="1"/>
  <c r="V21" i="1"/>
  <c r="U13" i="1"/>
  <c r="V13" i="1"/>
  <c r="U15" i="1"/>
  <c r="V15" i="1"/>
  <c r="U12" i="1"/>
  <c r="V12" i="1"/>
  <c r="V22" i="1"/>
  <c r="U22" i="1"/>
  <c r="U35" i="1"/>
  <c r="V35" i="1"/>
  <c r="U26" i="1"/>
  <c r="V26" i="1"/>
  <c r="U25" i="1"/>
  <c r="V25" i="1"/>
  <c r="U34" i="1"/>
  <c r="V34" i="1"/>
  <c r="U24" i="1"/>
  <c r="V24" i="1"/>
  <c r="U32" i="1"/>
  <c r="V32" i="1"/>
  <c r="U23" i="1"/>
  <c r="V23" i="1"/>
  <c r="U16" i="1"/>
  <c r="V16" i="1"/>
  <c r="U20" i="1"/>
  <c r="V20" i="1"/>
  <c r="U18" i="1"/>
  <c r="V18" i="1"/>
  <c r="U30" i="1"/>
  <c r="V30" i="1"/>
  <c r="U14" i="1"/>
  <c r="V14" i="1"/>
  <c r="U29" i="1"/>
  <c r="V29" i="1"/>
  <c r="U19" i="1"/>
  <c r="V19" i="1"/>
  <c r="U28" i="1"/>
  <c r="V28" i="1"/>
  <c r="U33" i="1"/>
  <c r="V33" i="1"/>
  <c r="U31" i="1"/>
  <c r="V31" i="1"/>
  <c r="U27" i="1"/>
  <c r="V27" i="1"/>
  <c r="S11" i="1"/>
  <c r="T11" i="1"/>
  <c r="M37" i="1"/>
  <c r="I38" i="2"/>
  <c r="S39" i="1" s="1"/>
  <c r="K10" i="2"/>
  <c r="K38" i="2" s="1"/>
  <c r="U11" i="1" l="1"/>
  <c r="V11" i="1"/>
  <c r="L10" i="2"/>
  <c r="L38" i="2" l="1"/>
  <c r="T10" i="1"/>
  <c r="S10" i="1"/>
  <c r="S37" i="1" s="1"/>
  <c r="S40" i="1" s="1"/>
  <c r="V10" i="1" l="1"/>
  <c r="U10" i="1"/>
</calcChain>
</file>

<file path=xl/sharedStrings.xml><?xml version="1.0" encoding="utf-8"?>
<sst xmlns="http://schemas.openxmlformats.org/spreadsheetml/2006/main" count="685" uniqueCount="237">
  <si>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</si>
  <si>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</si>
  <si>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</si>
  <si>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</si>
  <si>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</si>
  <si>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</si>
  <si>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</si>
  <si>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</si>
  <si>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</si>
  <si>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</si>
  <si>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</si>
  <si>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Ajuste al neto</t>
  </si>
  <si>
    <t>*TOTAL* *DEDUCCIONES*</t>
  </si>
  <si>
    <t>*NETO*</t>
  </si>
  <si>
    <t xml:space="preserve">    Reg. Pat. IMSS:  B4251548102</t>
  </si>
  <si>
    <t>Loyola Acosta Carlos Alberto</t>
  </si>
  <si>
    <t>Patiño Muñoz Ana Laura</t>
  </si>
  <si>
    <t xml:space="preserve">  =============</t>
  </si>
  <si>
    <t>Total Gral.</t>
  </si>
  <si>
    <t xml:space="preserve"> </t>
  </si>
  <si>
    <t>MIGUEL ANGEL</t>
  </si>
  <si>
    <t>ALEJANDRO</t>
  </si>
  <si>
    <t>LAVADOR</t>
  </si>
  <si>
    <t>JAVIER</t>
  </si>
  <si>
    <t>Clave</t>
  </si>
  <si>
    <t>-----------</t>
  </si>
  <si>
    <t>LA02</t>
  </si>
  <si>
    <t>IVA</t>
  </si>
  <si>
    <t>INFONAVIT</t>
  </si>
  <si>
    <t>TOTAL PERCEPCIONES</t>
  </si>
  <si>
    <t>SUELDO BASE</t>
  </si>
  <si>
    <t>COMISIONES</t>
  </si>
  <si>
    <t>Comision 10%</t>
  </si>
  <si>
    <t>2% S/N</t>
  </si>
  <si>
    <t>SUBTOTAL</t>
  </si>
  <si>
    <t>TOTOAL</t>
  </si>
  <si>
    <t>SUBSIDO ENTREGADO</t>
  </si>
  <si>
    <t>Apoyo Sindicato Apoyo 23 c.c.</t>
  </si>
  <si>
    <t>Apoyo Extra</t>
  </si>
  <si>
    <t xml:space="preserve"> generales</t>
  </si>
  <si>
    <t xml:space="preserve"> especiales</t>
  </si>
  <si>
    <t xml:space="preserve"> Infonavit</t>
  </si>
  <si>
    <t>Comisión</t>
  </si>
  <si>
    <t>SGV</t>
  </si>
  <si>
    <t>ALARCON MICHEL</t>
  </si>
  <si>
    <t>SAMUEL</t>
  </si>
  <si>
    <t>CARDENAS MARTINEZ</t>
  </si>
  <si>
    <t>MOISES</t>
  </si>
  <si>
    <t>GONZALEZ DUARTE</t>
  </si>
  <si>
    <t>DAVID</t>
  </si>
  <si>
    <t>CAMARENA GAMEZ</t>
  </si>
  <si>
    <t>GUILLERMO</t>
  </si>
  <si>
    <t>TIERRAFRIA ESCARAMUZA</t>
  </si>
  <si>
    <t>ISRAEL</t>
  </si>
  <si>
    <t>ARELLANO ALVAREZ</t>
  </si>
  <si>
    <t>GUILLEN AYALA</t>
  </si>
  <si>
    <t>JUAN CARLOS</t>
  </si>
  <si>
    <t>CASTRO ROMERO</t>
  </si>
  <si>
    <t>LIZBETH</t>
  </si>
  <si>
    <t>LOPEZ LOPEZ</t>
  </si>
  <si>
    <t>JOSE MARIA</t>
  </si>
  <si>
    <t>LEON CABELLO</t>
  </si>
  <si>
    <t>LUIS ALBERTO</t>
  </si>
  <si>
    <t>HERRERA PARRA</t>
  </si>
  <si>
    <t>LUIS ENRIQUE</t>
  </si>
  <si>
    <t>GONZALEZ GARCIA</t>
  </si>
  <si>
    <t>LUIS ROBERTO</t>
  </si>
  <si>
    <t>VAZQUEZ VILLALOBOS</t>
  </si>
  <si>
    <t>MA FELISA</t>
  </si>
  <si>
    <t>CASAS VILLANUEVA</t>
  </si>
  <si>
    <t>MARIO</t>
  </si>
  <si>
    <t>MENDOZA HURTADO</t>
  </si>
  <si>
    <t>ARMANDO AMANTHOS</t>
  </si>
  <si>
    <t>ANDRADE RODRIGUEZ</t>
  </si>
  <si>
    <t>RICARDO HERIBERTO</t>
  </si>
  <si>
    <t>ZARATE MARTINEZ</t>
  </si>
  <si>
    <t xml:space="preserve">RICARDO </t>
  </si>
  <si>
    <t>GOMEZ TORRES</t>
  </si>
  <si>
    <t>ROSAURA</t>
  </si>
  <si>
    <t>SERGIO</t>
  </si>
  <si>
    <t>ALBERTO</t>
  </si>
  <si>
    <t>COUCH</t>
  </si>
  <si>
    <t>PABLO</t>
  </si>
  <si>
    <t>ALARCON MICHEL SAMUEL</t>
  </si>
  <si>
    <t>LOPEZ LOPEZ JOSE MARIA</t>
  </si>
  <si>
    <t>MENDOZA HURTADO ARMANDO AMANTHOS</t>
  </si>
  <si>
    <t>BECERRA JIMENEZ ALEJANDRO</t>
  </si>
  <si>
    <t>BJ00</t>
  </si>
  <si>
    <t>GUZMAN SPILLER SERGI</t>
  </si>
  <si>
    <t>CC08</t>
  </si>
  <si>
    <t>LC03</t>
  </si>
  <si>
    <t>TE10</t>
  </si>
  <si>
    <t>AA30</t>
  </si>
  <si>
    <t>AM11</t>
  </si>
  <si>
    <t>ALFARO QUEZADA PABLO</t>
  </si>
  <si>
    <t>AQ28</t>
  </si>
  <si>
    <t>AR02</t>
  </si>
  <si>
    <t>BECERRA JIMENEZ</t>
  </si>
  <si>
    <t>JARDINERO</t>
  </si>
  <si>
    <t>CAZARES CHAIRES ERIK</t>
  </si>
  <si>
    <t>CAZARES CHAIRES</t>
  </si>
  <si>
    <t>ERIK</t>
  </si>
  <si>
    <t>GUZMAN SPILLER</t>
  </si>
  <si>
    <t>ASESOR DE SERVICIO</t>
  </si>
  <si>
    <t>ASESOR DE VENTAS</t>
  </si>
  <si>
    <t>GALLEGOS RIOS</t>
  </si>
  <si>
    <t>VENTAS POR INTERNET</t>
  </si>
  <si>
    <t>ALFARO QUEZADA</t>
  </si>
  <si>
    <t>CG22</t>
  </si>
  <si>
    <t>CM04</t>
  </si>
  <si>
    <t>CR06</t>
  </si>
  <si>
    <t>GA03</t>
  </si>
  <si>
    <t>GD09</t>
  </si>
  <si>
    <t>GG14</t>
  </si>
  <si>
    <t>GT22</t>
  </si>
  <si>
    <t>HP01</t>
  </si>
  <si>
    <t>HQ10</t>
  </si>
  <si>
    <t>HERNANDEZ QUINTERO M</t>
  </si>
  <si>
    <t>HERNANDEZ QUINTERO</t>
  </si>
  <si>
    <t>M</t>
  </si>
  <si>
    <t>LL07</t>
  </si>
  <si>
    <t>MH04</t>
  </si>
  <si>
    <t>RL14</t>
  </si>
  <si>
    <t>RAMIREZ LATOUR</t>
  </si>
  <si>
    <t>RAMIREZ LATOUR VICTOR</t>
  </si>
  <si>
    <t>VICTOR</t>
  </si>
  <si>
    <t>RAMIREZ MONDRAGON</t>
  </si>
  <si>
    <t>RMR26</t>
  </si>
  <si>
    <t>VV28</t>
  </si>
  <si>
    <t>ZM30</t>
  </si>
  <si>
    <t>Periodo 6 al 6 Semanal del 03/02/2016 al 09/02/2016</t>
  </si>
  <si>
    <t>Séptimo día</t>
  </si>
  <si>
    <t>Alarcon Michel Samuel</t>
  </si>
  <si>
    <t>Alfaro Quezada Pablo Francisco</t>
  </si>
  <si>
    <t>Andrade Rodriguez Miguel Angel</t>
  </si>
  <si>
    <t>Arellano Alvarez Javier</t>
  </si>
  <si>
    <t>Becerra Jimenez Alejandro Bonifacio</t>
  </si>
  <si>
    <t>BT26</t>
  </si>
  <si>
    <t>Blumenkron Trujillo Alexander</t>
  </si>
  <si>
    <t>Camarena Gamez Guillermo</t>
  </si>
  <si>
    <t>Cardenas Martinez Moises</t>
  </si>
  <si>
    <t>0005</t>
  </si>
  <si>
    <t>Casas Villanueva Mario</t>
  </si>
  <si>
    <t>Castro Romero Lizbeth</t>
  </si>
  <si>
    <t>Cazares Chaires Erika</t>
  </si>
  <si>
    <t>0021</t>
  </si>
  <si>
    <t>Gallegos Rios Octavio Alberto</t>
  </si>
  <si>
    <t>Gomez Torres Rosaura</t>
  </si>
  <si>
    <t>Gonzalez  Duarte David</t>
  </si>
  <si>
    <t>Gonzalez Garcia Luis Roberto</t>
  </si>
  <si>
    <t>Guillen Ayala Juan Carlos</t>
  </si>
  <si>
    <t>0010</t>
  </si>
  <si>
    <t>Guzman Espiller Sergio Luis Alberto</t>
  </si>
  <si>
    <t>HQ20</t>
  </si>
  <si>
    <t>Hernandez Quintero Maria De La Luz</t>
  </si>
  <si>
    <t>Herrera Parra Luis Enrique</t>
  </si>
  <si>
    <t>LC00</t>
  </si>
  <si>
    <t>Leon Cabello Luis Alberto</t>
  </si>
  <si>
    <t>Lopez Lopez Jose Maria</t>
  </si>
  <si>
    <t>Mendoza Hurtado Armando Amanthos</t>
  </si>
  <si>
    <t>09</t>
  </si>
  <si>
    <t>Ramirez Latour Victor Manuel Martin</t>
  </si>
  <si>
    <t>RMR2</t>
  </si>
  <si>
    <t>Ramirez Mondragon Ricardo Heriberto</t>
  </si>
  <si>
    <t>RRJ3</t>
  </si>
  <si>
    <t>Ramirez Reynoso Juan  Carlos</t>
  </si>
  <si>
    <t>RS16</t>
  </si>
  <si>
    <t>Ramirez Solorzano Ernesto</t>
  </si>
  <si>
    <t>SA30</t>
  </si>
  <si>
    <t>Sandoval Arredondo Hugo Rafael</t>
  </si>
  <si>
    <t>Tierrafria Escaramusa Israel</t>
  </si>
  <si>
    <t>Vazquez  Villalobos Ma Felisa</t>
  </si>
  <si>
    <t>Zarate Martinez Ricardo</t>
  </si>
  <si>
    <t xml:space="preserve">GALLEGOS RIOS ALBERTO </t>
  </si>
  <si>
    <t xml:space="preserve">GONZALEZ DUARTE DAVID </t>
  </si>
  <si>
    <t xml:space="preserve">CAMARENA GAMEZ GUILLERMO </t>
  </si>
  <si>
    <t xml:space="preserve">TIERRAFRIA ESCARAMUZA ISRAEL </t>
  </si>
  <si>
    <t xml:space="preserve">ARELLANO ALVAREZ JAVIER </t>
  </si>
  <si>
    <t xml:space="preserve">GUILLEN AYALA JUAN CARLOS </t>
  </si>
  <si>
    <t xml:space="preserve">CASTRO ROMERO LIZBETH </t>
  </si>
  <si>
    <t xml:space="preserve">HERRERA PARRA LUIS ENRIQUE </t>
  </si>
  <si>
    <t xml:space="preserve">GONZALEZ GARCIA LUIS ROBERTO </t>
  </si>
  <si>
    <t xml:space="preserve">VAZQUEZ VILLALOBOS MA FELISA </t>
  </si>
  <si>
    <t xml:space="preserve">ANDRADE RODRIGUEZ MIGUEL ANGEL </t>
  </si>
  <si>
    <t xml:space="preserve">RAMIREZ MONDRAGON RICARDO HERIBERTO </t>
  </si>
  <si>
    <t xml:space="preserve">ZARATE MARTINEZ RICARDO </t>
  </si>
  <si>
    <t xml:space="preserve">GOMEZ TORREZ ROSAURA </t>
  </si>
  <si>
    <t>LEON CABELLO LUIS ALBERTO</t>
  </si>
  <si>
    <t>SANDOVAL ARREDONDO HUGO RAFAEL</t>
  </si>
  <si>
    <t>SERRANO LONA MARIA DEL CARMEN</t>
  </si>
  <si>
    <t>RUELAS HERNANDEZ CECILIA</t>
  </si>
  <si>
    <t>RAMIREZ REYNOSA JUAN CARLOS</t>
  </si>
  <si>
    <t>RAMIREZ SOLORZANO ERNESTO</t>
  </si>
  <si>
    <t>BASE COMISIÓN</t>
  </si>
  <si>
    <t xml:space="preserve"> Nombre</t>
  </si>
  <si>
    <t>nfonavit  p</t>
  </si>
  <si>
    <t>----------------------</t>
  </si>
  <si>
    <t xml:space="preserve"> BECERRA JIMENEZ ALEJ</t>
  </si>
  <si>
    <t xml:space="preserve"> GUZMAN SPILLER SERGI</t>
  </si>
  <si>
    <t xml:space="preserve"> CAZARES CHAIRES ERIK</t>
  </si>
  <si>
    <t xml:space="preserve"> LEON CABELLO LUIS AL</t>
  </si>
  <si>
    <t xml:space="preserve"> TIERRAFRIA ESCARAMUZ</t>
  </si>
  <si>
    <t xml:space="preserve"> CASAS VILLANUEVA MAR</t>
  </si>
  <si>
    <t xml:space="preserve"> GALLEGOS RIOS OCTAVI</t>
  </si>
  <si>
    <t xml:space="preserve"> ARELLANO ALVAREZ JAV</t>
  </si>
  <si>
    <t xml:space="preserve"> ALARCON MICHEL SAMUE</t>
  </si>
  <si>
    <t xml:space="preserve"> ALFARO QUEZADA PABLO</t>
  </si>
  <si>
    <t xml:space="preserve"> ANDRADE RODRIGUEZ MI</t>
  </si>
  <si>
    <t xml:space="preserve"> CAMARENA GAMEZ GUILL</t>
  </si>
  <si>
    <t xml:space="preserve"> CARDENAS MARTINEZ MO</t>
  </si>
  <si>
    <t xml:space="preserve"> CASTRO ROMERO LIZBET</t>
  </si>
  <si>
    <t xml:space="preserve"> GUILLEN AYALA JUAN C</t>
  </si>
  <si>
    <t xml:space="preserve"> GONZALEZ DUARTE DAVI</t>
  </si>
  <si>
    <t xml:space="preserve"> GONZALEZ GARCIA LUIS</t>
  </si>
  <si>
    <t>HA11</t>
  </si>
  <si>
    <t xml:space="preserve"> HERRERA ALMARAZ BLAN</t>
  </si>
  <si>
    <t xml:space="preserve"> HERRERA PARRA LUIS E</t>
  </si>
  <si>
    <t xml:space="preserve"> HERNANDEZ QUINTERO M</t>
  </si>
  <si>
    <t xml:space="preserve"> LOPEZ LOPEZ JOSE MAR</t>
  </si>
  <si>
    <t xml:space="preserve"> MENDOZA HURTADO ARMA</t>
  </si>
  <si>
    <t xml:space="preserve"> RAMIREZ LATOUR VICTO</t>
  </si>
  <si>
    <t xml:space="preserve"> RAMIREZ MONDRAGON RI</t>
  </si>
  <si>
    <t>RRJ30</t>
  </si>
  <si>
    <t xml:space="preserve"> RAMIREZ REYNOSO JUAN</t>
  </si>
  <si>
    <t xml:space="preserve"> RAMIREZ SOLORZANO ER</t>
  </si>
  <si>
    <t xml:space="preserve"> VAZQUEZ VILLALOBOS M</t>
  </si>
  <si>
    <t xml:space="preserve"> ZARATE MARTINEZ RICA</t>
  </si>
  <si>
    <t>05 SINDICATO ASO CELAYA</t>
  </si>
  <si>
    <t>Periodo 6 Semanal del 03/02/2016 al 09/02/2016</t>
  </si>
  <si>
    <t>CARDENAS MARTINES MOISES</t>
  </si>
  <si>
    <t>5</t>
  </si>
  <si>
    <t>10</t>
  </si>
  <si>
    <t xml:space="preserve">LEON CABELLO LUIS ALBERTO </t>
  </si>
  <si>
    <t xml:space="preserve">CASAS VILLANUEVA MARIO </t>
  </si>
  <si>
    <t>*TOTAL* *PERCEPCIONES* FACTURAR</t>
  </si>
  <si>
    <t>DIFERENCIA EN PAGO</t>
  </si>
  <si>
    <t>LO QUE SE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</si>
</sst>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  <numFmt numFmtId="166" formatCode="0.00_ ;[Red]\-0.00\ "/>
    <numFmt numFmtId="167" formatCode="&quot;$&quot;#,##0.00;[Red]&quot;$&quot;#,##0.00"/>
  </numFmts>
  <fonts count="2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15" fillId="0" borderId="2" xfId="0" applyFont="1" applyFill="1" applyBorder="1"/>
    <xf numFmtId="0" fontId="16" fillId="0" borderId="2" xfId="0" applyFont="1" applyFill="1" applyBorder="1"/>
    <xf numFmtId="165" fontId="15" fillId="0" borderId="2" xfId="1" applyNumberFormat="1" applyFont="1" applyFill="1" applyBorder="1" applyAlignment="1" applyProtection="1">
      <alignment horizontal="center"/>
    </xf>
    <xf numFmtId="165" fontId="15" fillId="0" borderId="3" xfId="1" applyNumberFormat="1" applyFont="1" applyFill="1" applyBorder="1" applyAlignment="1" applyProtection="1">
      <alignment horizontal="center"/>
    </xf>
    <xf numFmtId="165" fontId="15" fillId="0" borderId="5" xfId="1" applyNumberFormat="1" applyFont="1" applyFill="1" applyBorder="1" applyAlignment="1" applyProtection="1">
      <alignment horizontal="center"/>
    </xf>
    <xf numFmtId="165" fontId="15" fillId="0" borderId="2" xfId="1" applyNumberFormat="1" applyFont="1" applyFill="1" applyBorder="1" applyAlignment="1">
      <alignment horizontal="center"/>
    </xf>
    <xf numFmtId="0" fontId="15" fillId="0" borderId="3" xfId="0" applyFont="1" applyFill="1" applyBorder="1"/>
    <xf numFmtId="0" fontId="16" fillId="0" borderId="3" xfId="0" applyFont="1" applyFill="1" applyBorder="1"/>
    <xf numFmtId="0" fontId="16" fillId="0" borderId="4" xfId="0" applyFont="1" applyFill="1" applyBorder="1"/>
    <xf numFmtId="165" fontId="15" fillId="0" borderId="3" xfId="1" applyNumberFormat="1" applyFont="1" applyFill="1" applyBorder="1" applyAlignment="1">
      <alignment horizontal="center"/>
    </xf>
    <xf numFmtId="165" fontId="15" fillId="0" borderId="0" xfId="1" applyNumberFormat="1" applyFont="1" applyFill="1" applyBorder="1" applyAlignment="1">
      <alignment horizontal="center"/>
    </xf>
    <xf numFmtId="165" fontId="15" fillId="0" borderId="0" xfId="1" applyNumberFormat="1" applyFont="1" applyFill="1" applyBorder="1" applyAlignment="1" applyProtection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Continuous"/>
    </xf>
    <xf numFmtId="0" fontId="19" fillId="0" borderId="0" xfId="0" applyFont="1" applyAlignment="1"/>
    <xf numFmtId="0" fontId="18" fillId="0" borderId="0" xfId="0" applyFont="1"/>
    <xf numFmtId="49" fontId="20" fillId="0" borderId="0" xfId="0" applyNumberFormat="1" applyFont="1" applyAlignment="1">
      <alignment horizontal="centerContinuous" vertical="top"/>
    </xf>
    <xf numFmtId="0" fontId="19" fillId="0" borderId="0" xfId="0" applyFont="1" applyAlignment="1">
      <alignment vertical="center"/>
    </xf>
    <xf numFmtId="49" fontId="18" fillId="0" borderId="0" xfId="0" applyNumberFormat="1" applyFont="1"/>
    <xf numFmtId="0" fontId="21" fillId="2" borderId="1" xfId="0" applyFont="1" applyFill="1" applyBorder="1" applyAlignment="1">
      <alignment horizontal="center" vertical="center" wrapText="1"/>
    </xf>
    <xf numFmtId="49" fontId="18" fillId="0" borderId="0" xfId="0" applyNumberFormat="1" applyFont="1" applyFill="1"/>
    <xf numFmtId="0" fontId="18" fillId="0" borderId="0" xfId="0" applyFont="1" applyFill="1"/>
    <xf numFmtId="44" fontId="18" fillId="0" borderId="0" xfId="2" applyFont="1" applyFill="1"/>
    <xf numFmtId="0" fontId="19" fillId="0" borderId="0" xfId="0" applyFont="1" applyFill="1"/>
    <xf numFmtId="0" fontId="18" fillId="0" borderId="0" xfId="0" applyFont="1" applyFill="1" applyAlignment="1">
      <alignment horizontal="right"/>
    </xf>
    <xf numFmtId="0" fontId="22" fillId="0" borderId="0" xfId="0" applyFont="1" applyFill="1"/>
    <xf numFmtId="49" fontId="23" fillId="0" borderId="0" xfId="0" applyNumberFormat="1" applyFont="1" applyFill="1" applyAlignment="1">
      <alignment horizontal="left"/>
    </xf>
    <xf numFmtId="164" fontId="23" fillId="0" borderId="6" xfId="0" applyNumberFormat="1" applyFont="1" applyFill="1" applyBorder="1"/>
    <xf numFmtId="0" fontId="21" fillId="0" borderId="0" xfId="0" applyFont="1" applyFill="1"/>
    <xf numFmtId="166" fontId="11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Border="1"/>
    <xf numFmtId="0" fontId="16" fillId="0" borderId="0" xfId="0" applyFont="1" applyFill="1" applyBorder="1"/>
    <xf numFmtId="0" fontId="0" fillId="0" borderId="0" xfId="0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0" fillId="3" borderId="2" xfId="0" applyFill="1" applyBorder="1"/>
    <xf numFmtId="0" fontId="0" fillId="4" borderId="2" xfId="0" applyFont="1" applyFill="1" applyBorder="1" applyAlignment="1">
      <alignment horizontal="left"/>
    </xf>
    <xf numFmtId="0" fontId="0" fillId="4" borderId="2" xfId="0" applyFill="1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/>
    <xf numFmtId="43" fontId="18" fillId="0" borderId="0" xfId="1" applyFont="1"/>
    <xf numFmtId="43" fontId="2" fillId="0" borderId="0" xfId="1" applyFont="1"/>
    <xf numFmtId="165" fontId="18" fillId="0" borderId="0" xfId="0" applyNumberFormat="1" applyFont="1" applyFill="1"/>
    <xf numFmtId="164" fontId="18" fillId="0" borderId="0" xfId="0" applyNumberFormat="1" applyFont="1" applyFill="1"/>
    <xf numFmtId="0" fontId="0" fillId="0" borderId="0" xfId="0"/>
    <xf numFmtId="0" fontId="2" fillId="0" borderId="0" xfId="0" applyFont="1"/>
    <xf numFmtId="0" fontId="0" fillId="0" borderId="0" xfId="0" applyAlignment="1"/>
    <xf numFmtId="0" fontId="2" fillId="0" borderId="0" xfId="0" applyFont="1" applyAlignment="1">
      <alignment horizontal="left"/>
    </xf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13" fillId="0" borderId="0" xfId="0" applyNumberFormat="1" applyFont="1" applyFill="1" applyAlignment="1">
      <alignment horizontal="left"/>
    </xf>
    <xf numFmtId="0" fontId="1" fillId="0" borderId="0" xfId="0" applyFont="1" applyFill="1"/>
    <xf numFmtId="164" fontId="13" fillId="0" borderId="0" xfId="0" applyNumberFormat="1" applyFont="1" applyFill="1"/>
    <xf numFmtId="0" fontId="7" fillId="0" borderId="0" xfId="0" applyFont="1" applyAlignment="1"/>
    <xf numFmtId="49" fontId="11" fillId="0" borderId="0" xfId="0" applyNumberFormat="1" applyFont="1" applyFill="1"/>
    <xf numFmtId="0" fontId="9" fillId="0" borderId="0" xfId="0" applyFont="1" applyFill="1" applyAlignment="1">
      <alignment horizontal="center"/>
    </xf>
    <xf numFmtId="167" fontId="2" fillId="0" borderId="0" xfId="0" applyNumberFormat="1" applyFont="1" applyFill="1"/>
    <xf numFmtId="164" fontId="12" fillId="0" borderId="0" xfId="0" applyNumberFormat="1" applyFont="1" applyFill="1"/>
    <xf numFmtId="0" fontId="0" fillId="0" borderId="0" xfId="0" applyFill="1" applyAlignment="1">
      <alignment horizontal="left"/>
    </xf>
    <xf numFmtId="43" fontId="0" fillId="0" borderId="0" xfId="1" applyFont="1" applyFill="1" applyAlignment="1">
      <alignment horizontal="left"/>
    </xf>
    <xf numFmtId="49" fontId="21" fillId="0" borderId="0" xfId="0" applyNumberFormat="1" applyFont="1" applyFill="1"/>
    <xf numFmtId="0" fontId="0" fillId="0" borderId="0" xfId="0" applyFont="1" applyFill="1"/>
    <xf numFmtId="49" fontId="9" fillId="0" borderId="0" xfId="0" applyNumberFormat="1" applyFont="1" applyFill="1" applyAlignment="1">
      <alignment horizontal="left"/>
    </xf>
    <xf numFmtId="164" fontId="21" fillId="0" borderId="0" xfId="0" applyNumberFormat="1" applyFont="1" applyFill="1"/>
    <xf numFmtId="43" fontId="18" fillId="0" borderId="0" xfId="0" applyNumberFormat="1" applyFont="1" applyFill="1"/>
    <xf numFmtId="0" fontId="19" fillId="0" borderId="0" xfId="0" applyFont="1" applyAlignment="1"/>
    <xf numFmtId="0" fontId="24" fillId="0" borderId="0" xfId="0" applyFont="1" applyAlignment="1">
      <alignment vertical="center"/>
    </xf>
    <xf numFmtId="0" fontId="26" fillId="5" borderId="0" xfId="0" applyFont="1" applyFill="1" applyAlignment="1"/>
    <xf numFmtId="0" fontId="18" fillId="0" borderId="0" xfId="0" applyFont="1" applyAlignment="1">
      <alignment horizontal="left"/>
    </xf>
    <xf numFmtId="49" fontId="21" fillId="0" borderId="0" xfId="0" applyNumberFormat="1" applyFont="1"/>
    <xf numFmtId="0" fontId="0" fillId="0" borderId="0" xfId="0" applyFont="1"/>
    <xf numFmtId="0" fontId="27" fillId="6" borderId="0" xfId="0" applyFont="1" applyFill="1" applyAlignment="1">
      <alignment horizontal="center" vertical="center" wrapText="1"/>
    </xf>
    <xf numFmtId="44" fontId="18" fillId="0" borderId="0" xfId="0" applyNumberFormat="1" applyFont="1" applyFill="1"/>
    <xf numFmtId="0" fontId="21" fillId="2" borderId="0" xfId="0" applyFont="1" applyFill="1" applyBorder="1" applyAlignment="1">
      <alignment horizontal="center" vertical="center" wrapText="1"/>
    </xf>
    <xf numFmtId="164" fontId="23" fillId="0" borderId="0" xfId="0" applyNumberFormat="1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/>
  </cellXfs>
  <cellStyles count="3">
    <cellStyle name="Millares" xfId="1" builtinId="3"/>
    <cellStyle name="Moneda" xfId="2" builtinId="4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S56"/>
  <sheetViews>
    <sheetView tabSelected="1" workbookViewId="0">
      <pane xSplit="2" ySplit="9" topLeftCell="E25" activePane="bottomRight" state="frozen"/>
      <selection activeCell="B4" sqref="B4"/>
      <selection pane="topRight" activeCell="B4" sqref="B4"/>
      <selection pane="bottomLeft" activeCell="B4" sqref="B4"/>
      <selection pane="bottomRight" activeCell="I39" sqref="I39"/>
    </sheetView>
  </sheetViews>
  <sheetFormatPr baseColWidth="10" defaultRowHeight="11.25"/>
  <cols>
    <col min="1" max="1" width="12.28515625" style="32" customWidth="1"/>
    <col min="2" max="2" width="30.7109375" style="29" customWidth="1"/>
    <col min="3" max="3" width="13" style="29" bestFit="1" customWidth="1"/>
    <col min="4" max="7" width="13" style="29" customWidth="1"/>
    <col min="8" max="8" width="13.5703125" style="29" bestFit="1" customWidth="1"/>
    <col min="9" max="13" width="13" style="29" bestFit="1" customWidth="1"/>
    <col min="14" max="14" width="10.28515625" style="29" hidden="1" customWidth="1"/>
    <col min="15" max="15" width="28.5703125" style="29" hidden="1" customWidth="1"/>
    <col min="16" max="16" width="23.85546875" style="29" hidden="1" customWidth="1"/>
    <col min="17" max="17" width="34.28515625" style="29" hidden="1" customWidth="1"/>
    <col min="18" max="19" width="11.85546875" style="29" hidden="1" customWidth="1"/>
    <col min="20" max="22" width="17.85546875" style="35" hidden="1" customWidth="1"/>
    <col min="23" max="23" width="11.42578125" style="29" hidden="1" customWidth="1"/>
    <col min="24" max="24" width="30.85546875" style="29" hidden="1" customWidth="1"/>
    <col min="25" max="28" width="11.42578125" style="29" hidden="1" customWidth="1"/>
    <col min="29" max="29" width="12.28515625" style="32" hidden="1" customWidth="1"/>
    <col min="30" max="30" width="30.7109375" style="29" hidden="1" customWidth="1"/>
    <col min="31" max="35" width="13" style="29" hidden="1" customWidth="1"/>
    <col min="36" max="36" width="13.5703125" style="29" hidden="1" customWidth="1"/>
    <col min="37" max="41" width="13" style="29" hidden="1" customWidth="1"/>
    <col min="42" max="43" width="13" style="29" customWidth="1"/>
    <col min="44" max="44" width="11.42578125" style="29"/>
    <col min="45" max="45" width="13.140625" style="29" customWidth="1"/>
    <col min="46" max="16384" width="11.42578125" style="29"/>
  </cols>
  <sheetData>
    <row r="1" spans="1:45" ht="18" customHeight="1">
      <c r="A1" s="27" t="s">
        <v>0</v>
      </c>
      <c r="B1" s="114" t="s">
        <v>19</v>
      </c>
      <c r="C1" s="115"/>
      <c r="D1" s="28"/>
      <c r="E1" s="28"/>
      <c r="F1" s="28"/>
      <c r="G1" s="104"/>
      <c r="W1" s="55" t="s">
        <v>0</v>
      </c>
      <c r="X1" s="58" t="s">
        <v>19</v>
      </c>
      <c r="AC1" s="27" t="s">
        <v>0</v>
      </c>
      <c r="AD1" s="114" t="s">
        <v>19</v>
      </c>
      <c r="AE1" s="115"/>
      <c r="AF1" s="104"/>
      <c r="AG1" s="104"/>
      <c r="AH1" s="104"/>
      <c r="AI1" s="104"/>
    </row>
    <row r="2" spans="1:45" ht="24.95" customHeight="1">
      <c r="A2" s="30" t="s">
        <v>1</v>
      </c>
      <c r="B2" s="10" t="s">
        <v>2</v>
      </c>
      <c r="C2" s="10"/>
      <c r="D2" s="10"/>
      <c r="E2" s="31"/>
      <c r="F2" s="31"/>
      <c r="G2" s="31"/>
      <c r="I2" s="76"/>
      <c r="W2" s="56" t="s">
        <v>1</v>
      </c>
      <c r="X2" s="60" t="s">
        <v>2</v>
      </c>
      <c r="AC2" s="30" t="s">
        <v>1</v>
      </c>
      <c r="AD2" s="105" t="s">
        <v>2</v>
      </c>
      <c r="AE2" s="31"/>
      <c r="AF2" s="31"/>
      <c r="AG2" s="31"/>
      <c r="AH2" s="31"/>
      <c r="AI2" s="31"/>
    </row>
    <row r="3" spans="1:45" ht="15.75">
      <c r="B3" s="92" t="s">
        <v>3</v>
      </c>
      <c r="C3" s="92"/>
      <c r="D3" s="92"/>
      <c r="E3" s="28"/>
      <c r="F3" s="28"/>
      <c r="G3" s="104"/>
      <c r="I3" s="76"/>
      <c r="W3" s="53"/>
      <c r="X3" s="61" t="s">
        <v>3</v>
      </c>
      <c r="AD3" s="116" t="s">
        <v>3</v>
      </c>
      <c r="AE3" s="115"/>
      <c r="AF3" s="104"/>
      <c r="AG3" s="104"/>
      <c r="AH3" s="104"/>
      <c r="AI3" s="104"/>
    </row>
    <row r="4" spans="1:45" ht="15">
      <c r="B4" s="12" t="s">
        <v>130</v>
      </c>
      <c r="C4" s="12"/>
      <c r="D4" s="12"/>
      <c r="E4" s="28"/>
      <c r="F4" s="28"/>
      <c r="G4" s="104"/>
      <c r="W4" s="53"/>
      <c r="X4" s="62" t="s">
        <v>130</v>
      </c>
      <c r="AD4" s="106" t="s">
        <v>228</v>
      </c>
      <c r="AE4" s="104"/>
      <c r="AF4" s="104"/>
      <c r="AG4" s="104"/>
      <c r="AH4" s="104"/>
      <c r="AI4" s="104"/>
    </row>
    <row r="5" spans="1:45" ht="15">
      <c r="B5" s="83" t="s">
        <v>4</v>
      </c>
      <c r="C5" s="80"/>
      <c r="D5" s="80"/>
      <c r="W5" s="53"/>
      <c r="X5" s="63" t="s">
        <v>4</v>
      </c>
      <c r="AD5" s="107" t="s">
        <v>4</v>
      </c>
    </row>
    <row r="6" spans="1:45" ht="15">
      <c r="B6" s="83" t="s">
        <v>5</v>
      </c>
      <c r="C6" s="80"/>
      <c r="D6" s="80"/>
      <c r="W6" s="53"/>
      <c r="X6" s="63" t="s">
        <v>5</v>
      </c>
      <c r="AD6" s="107" t="s">
        <v>5</v>
      </c>
    </row>
    <row r="7" spans="1:45" ht="15"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AE7" s="29" t="s">
        <v>30</v>
      </c>
    </row>
    <row r="8" spans="1:45" s="45" customFormat="1" ht="34.5" thickBot="1">
      <c r="A8" s="44" t="s">
        <v>6</v>
      </c>
      <c r="B8" s="33" t="s">
        <v>7</v>
      </c>
      <c r="C8" s="33" t="s">
        <v>29</v>
      </c>
      <c r="D8" s="33" t="s">
        <v>36</v>
      </c>
      <c r="E8" s="33" t="s">
        <v>31</v>
      </c>
      <c r="F8" s="33" t="s">
        <v>43</v>
      </c>
      <c r="G8" s="33" t="s">
        <v>28</v>
      </c>
      <c r="H8" s="33" t="s">
        <v>234</v>
      </c>
      <c r="I8" s="33" t="s">
        <v>32</v>
      </c>
      <c r="J8" s="33" t="s">
        <v>33</v>
      </c>
      <c r="K8" s="33" t="s">
        <v>34</v>
      </c>
      <c r="L8" s="33" t="s">
        <v>27</v>
      </c>
      <c r="M8" s="33" t="s">
        <v>35</v>
      </c>
      <c r="T8" s="46" t="s">
        <v>193</v>
      </c>
      <c r="U8" s="46"/>
      <c r="V8" s="46"/>
      <c r="W8" s="64" t="s">
        <v>6</v>
      </c>
      <c r="X8" s="65" t="s">
        <v>7</v>
      </c>
      <c r="AC8" s="44" t="s">
        <v>6</v>
      </c>
      <c r="AD8" s="33" t="s">
        <v>7</v>
      </c>
      <c r="AE8" s="33" t="s">
        <v>29</v>
      </c>
      <c r="AF8" s="33" t="s">
        <v>36</v>
      </c>
      <c r="AG8" s="33" t="s">
        <v>31</v>
      </c>
      <c r="AH8" s="33" t="s">
        <v>43</v>
      </c>
      <c r="AI8" s="33" t="s">
        <v>28</v>
      </c>
      <c r="AJ8" s="33" t="s">
        <v>9</v>
      </c>
      <c r="AK8" s="33" t="s">
        <v>32</v>
      </c>
      <c r="AL8" s="33" t="s">
        <v>33</v>
      </c>
      <c r="AM8" s="33" t="s">
        <v>34</v>
      </c>
      <c r="AN8" s="33" t="s">
        <v>27</v>
      </c>
      <c r="AO8" s="33" t="s">
        <v>35</v>
      </c>
      <c r="AP8" s="112" t="s">
        <v>236</v>
      </c>
      <c r="AQ8" s="112"/>
      <c r="AS8" s="110" t="s">
        <v>235</v>
      </c>
    </row>
    <row r="9" spans="1:45" s="35" customFormat="1" ht="15.75" thickTop="1">
      <c r="A9" s="99" t="s">
        <v>14</v>
      </c>
      <c r="W9" s="49"/>
      <c r="X9" s="49"/>
      <c r="AC9" s="108" t="s">
        <v>14</v>
      </c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5" s="35" customFormat="1" ht="15">
      <c r="A10" s="34" t="s">
        <v>93</v>
      </c>
      <c r="B10" s="37" t="s">
        <v>83</v>
      </c>
      <c r="C10" s="36">
        <v>700</v>
      </c>
      <c r="D10" s="36">
        <v>93.63</v>
      </c>
      <c r="E10" s="36">
        <v>0</v>
      </c>
      <c r="F10" s="36">
        <f>+AH10</f>
        <v>0</v>
      </c>
      <c r="G10" s="36">
        <f>-AI10</f>
        <v>0</v>
      </c>
      <c r="H10" s="36">
        <f>+C10+D10+E10+F10</f>
        <v>793.63</v>
      </c>
      <c r="I10" s="36">
        <v>79.363</v>
      </c>
      <c r="J10" s="36">
        <f>+'C&amp;A'!E10*0.02</f>
        <v>10.2256</v>
      </c>
      <c r="K10" s="36">
        <f>SUM(H10:J10)</f>
        <v>883.21859999999992</v>
      </c>
      <c r="L10" s="36">
        <f>+K10*0.16</f>
        <v>141.314976</v>
      </c>
      <c r="M10" s="36">
        <f>+K10+L10</f>
        <v>1024.5335759999998</v>
      </c>
      <c r="O10" s="13" t="s">
        <v>44</v>
      </c>
      <c r="P10" s="13" t="s">
        <v>45</v>
      </c>
      <c r="Q10" s="14" t="s">
        <v>106</v>
      </c>
      <c r="R10" s="15">
        <v>700</v>
      </c>
      <c r="S10" s="24">
        <f>+H10-'C&amp;A'!I10-SINDICATO!L10</f>
        <v>0</v>
      </c>
      <c r="T10" s="23">
        <f>+'C&amp;A'!I10+SINDICATO!L10</f>
        <v>793.63</v>
      </c>
      <c r="U10" s="23">
        <f>IF(T10&lt;=5000,T10*0.1,0)</f>
        <v>79.363</v>
      </c>
      <c r="V10" s="23">
        <f>IF(T10&gt;=5000,T10*0.1,0)</f>
        <v>0</v>
      </c>
      <c r="W10" s="84" t="s">
        <v>93</v>
      </c>
      <c r="X10" s="85" t="s">
        <v>132</v>
      </c>
      <c r="AC10" s="34" t="s">
        <v>93</v>
      </c>
      <c r="AD10" s="37" t="s">
        <v>83</v>
      </c>
      <c r="AE10" s="36">
        <v>700</v>
      </c>
      <c r="AF10" s="36">
        <v>93.63</v>
      </c>
      <c r="AG10" s="36">
        <v>0</v>
      </c>
      <c r="AH10" s="36">
        <v>0</v>
      </c>
      <c r="AI10" s="36"/>
      <c r="AJ10" s="36">
        <v>793.63</v>
      </c>
      <c r="AK10" s="36">
        <v>79.363</v>
      </c>
      <c r="AL10" s="36">
        <v>0</v>
      </c>
      <c r="AM10" s="36">
        <v>872.99299999999994</v>
      </c>
      <c r="AN10" s="36">
        <v>139.67887999999999</v>
      </c>
      <c r="AO10" s="36">
        <v>1012.6718799999999</v>
      </c>
      <c r="AP10" s="36">
        <f>577.4+216.23</f>
        <v>793.63</v>
      </c>
      <c r="AQ10" s="36"/>
      <c r="AR10" s="35">
        <v>700</v>
      </c>
      <c r="AS10" s="111">
        <f>+AR10-C10</f>
        <v>0</v>
      </c>
    </row>
    <row r="11" spans="1:45" s="35" customFormat="1" ht="15">
      <c r="A11" s="34" t="s">
        <v>95</v>
      </c>
      <c r="B11" s="49" t="s">
        <v>94</v>
      </c>
      <c r="C11" s="36">
        <v>2333.31</v>
      </c>
      <c r="D11" s="36">
        <v>0</v>
      </c>
      <c r="E11" s="36">
        <v>2492.23</v>
      </c>
      <c r="F11" s="36">
        <f t="shared" ref="F11:F35" si="0">+AH11</f>
        <v>0</v>
      </c>
      <c r="G11" s="36">
        <f t="shared" ref="G11:G35" si="1">-AI11</f>
        <v>0</v>
      </c>
      <c r="H11" s="36">
        <f t="shared" ref="H11:H35" si="2">+C11+D11+E11+F11</f>
        <v>4825.54</v>
      </c>
      <c r="I11" s="36">
        <v>482.55400000000003</v>
      </c>
      <c r="J11" s="36">
        <f>+'C&amp;A'!E11*0.02</f>
        <v>10.2256</v>
      </c>
      <c r="K11" s="36">
        <f t="shared" ref="K11:K35" si="3">SUM(H11:J11)</f>
        <v>5318.3195999999998</v>
      </c>
      <c r="L11" s="36">
        <f t="shared" ref="L11:L35" si="4">+K11*0.16</f>
        <v>850.93113600000004</v>
      </c>
      <c r="M11" s="36">
        <f t="shared" ref="M11:M35" si="5">+K11+L11</f>
        <v>6169.250736</v>
      </c>
      <c r="O11" s="13" t="s">
        <v>105</v>
      </c>
      <c r="P11" s="13" t="s">
        <v>80</v>
      </c>
      <c r="Q11" s="14" t="s">
        <v>104</v>
      </c>
      <c r="R11" s="15">
        <v>1633.33</v>
      </c>
      <c r="S11" s="24">
        <f>+H11-'C&amp;A'!I11-SINDICATO!L11</f>
        <v>0</v>
      </c>
      <c r="T11" s="23">
        <f>+'C&amp;A'!I11+SINDICATO!L11</f>
        <v>4825.54</v>
      </c>
      <c r="U11" s="23">
        <f t="shared" ref="U11:U35" si="6">IF(T11&lt;=5000,T11*0.1,0)</f>
        <v>482.55400000000003</v>
      </c>
      <c r="V11" s="23">
        <f t="shared" ref="V11:V35" si="7">IF(T11&gt;=5000,T11*0.1,0)</f>
        <v>0</v>
      </c>
      <c r="W11" s="84" t="s">
        <v>95</v>
      </c>
      <c r="X11" s="85" t="s">
        <v>133</v>
      </c>
      <c r="AC11" s="34" t="s">
        <v>95</v>
      </c>
      <c r="AD11" s="80" t="s">
        <v>94</v>
      </c>
      <c r="AE11" s="36">
        <v>2333.31</v>
      </c>
      <c r="AF11" s="36">
        <v>0</v>
      </c>
      <c r="AG11" s="36">
        <v>2492.23</v>
      </c>
      <c r="AH11" s="36">
        <v>0</v>
      </c>
      <c r="AI11" s="36">
        <v>0</v>
      </c>
      <c r="AJ11" s="36">
        <v>4825.54</v>
      </c>
      <c r="AK11" s="36">
        <v>482.55400000000003</v>
      </c>
      <c r="AL11" s="36">
        <v>0</v>
      </c>
      <c r="AM11" s="36">
        <v>5308.0940000000001</v>
      </c>
      <c r="AN11" s="36">
        <v>849.29503999999997</v>
      </c>
      <c r="AO11" s="36">
        <v>6157.38904</v>
      </c>
      <c r="AP11" s="36">
        <f>577.4+4248.14</f>
        <v>4825.54</v>
      </c>
      <c r="AQ11" s="36"/>
      <c r="AR11" s="35">
        <v>2333.31</v>
      </c>
      <c r="AS11" s="111">
        <f t="shared" ref="AS11:AS35" si="8">+AR11-C11</f>
        <v>0</v>
      </c>
    </row>
    <row r="12" spans="1:45" s="35" customFormat="1" ht="15">
      <c r="A12" s="34" t="s">
        <v>96</v>
      </c>
      <c r="B12" s="37" t="s">
        <v>183</v>
      </c>
      <c r="C12" s="36">
        <v>511.28</v>
      </c>
      <c r="D12" s="36">
        <v>0</v>
      </c>
      <c r="E12" s="36">
        <v>7017.04</v>
      </c>
      <c r="F12" s="36">
        <f t="shared" si="0"/>
        <v>0</v>
      </c>
      <c r="G12" s="36">
        <f t="shared" si="1"/>
        <v>0</v>
      </c>
      <c r="H12" s="36">
        <f t="shared" si="2"/>
        <v>7528.32</v>
      </c>
      <c r="I12" s="36">
        <v>0</v>
      </c>
      <c r="J12" s="36">
        <f>+'C&amp;A'!E12*0.02</f>
        <v>10.2256</v>
      </c>
      <c r="K12" s="36">
        <f t="shared" si="3"/>
        <v>7538.5455999999995</v>
      </c>
      <c r="L12" s="36">
        <f t="shared" si="4"/>
        <v>1206.1672959999999</v>
      </c>
      <c r="M12" s="36">
        <f t="shared" si="5"/>
        <v>8744.7128959999991</v>
      </c>
      <c r="O12" s="13" t="s">
        <v>46</v>
      </c>
      <c r="P12" s="13" t="s">
        <v>47</v>
      </c>
      <c r="Q12" s="14" t="s">
        <v>104</v>
      </c>
      <c r="R12" s="15">
        <v>700</v>
      </c>
      <c r="S12" s="24">
        <f>+H12-'C&amp;A'!I12-SINDICATO!L12</f>
        <v>685.07711999999992</v>
      </c>
      <c r="T12" s="23">
        <f>+'C&amp;A'!I12+SINDICATO!L12</f>
        <v>6843.2428799999998</v>
      </c>
      <c r="U12" s="23">
        <f t="shared" si="6"/>
        <v>0</v>
      </c>
      <c r="V12" s="23">
        <f t="shared" si="7"/>
        <v>684.32428800000002</v>
      </c>
      <c r="W12" s="84" t="s">
        <v>96</v>
      </c>
      <c r="X12" s="85" t="s">
        <v>134</v>
      </c>
      <c r="AC12" s="34" t="s">
        <v>96</v>
      </c>
      <c r="AD12" s="37" t="s">
        <v>183</v>
      </c>
      <c r="AE12" s="36">
        <v>511.28</v>
      </c>
      <c r="AF12" s="36">
        <v>0</v>
      </c>
      <c r="AG12" s="36">
        <v>7017.04</v>
      </c>
      <c r="AH12" s="36">
        <v>0</v>
      </c>
      <c r="AI12" s="36">
        <v>0</v>
      </c>
      <c r="AJ12" s="36">
        <v>7528.32</v>
      </c>
      <c r="AK12" s="36">
        <v>0</v>
      </c>
      <c r="AL12" s="36">
        <v>0</v>
      </c>
      <c r="AM12" s="36">
        <v>7528.32</v>
      </c>
      <c r="AN12" s="36">
        <v>1204.5311999999999</v>
      </c>
      <c r="AO12" s="36">
        <v>8732.8511999999992</v>
      </c>
      <c r="AP12" s="36">
        <f>577.4+6265.84</f>
        <v>6843.24</v>
      </c>
      <c r="AQ12" s="36"/>
      <c r="AR12" s="35">
        <v>511.28</v>
      </c>
      <c r="AS12" s="111">
        <f t="shared" si="8"/>
        <v>0</v>
      </c>
    </row>
    <row r="13" spans="1:45" s="35" customFormat="1" ht="15">
      <c r="A13" s="34" t="s">
        <v>92</v>
      </c>
      <c r="B13" s="37" t="s">
        <v>177</v>
      </c>
      <c r="C13" s="36">
        <v>511.28</v>
      </c>
      <c r="D13" s="36">
        <v>93.68</v>
      </c>
      <c r="E13" s="36">
        <v>0</v>
      </c>
      <c r="F13" s="36">
        <f t="shared" si="0"/>
        <v>0</v>
      </c>
      <c r="G13" s="36">
        <f t="shared" si="1"/>
        <v>134.46</v>
      </c>
      <c r="H13" s="36">
        <f t="shared" si="2"/>
        <v>604.96</v>
      </c>
      <c r="I13" s="36">
        <v>47.050000000000004</v>
      </c>
      <c r="J13" s="36">
        <f>+'C&amp;A'!E13*0.02</f>
        <v>5.1128</v>
      </c>
      <c r="K13" s="36">
        <f t="shared" si="3"/>
        <v>657.12279999999998</v>
      </c>
      <c r="L13" s="36">
        <f t="shared" si="4"/>
        <v>105.13964799999999</v>
      </c>
      <c r="M13" s="36">
        <f t="shared" si="5"/>
        <v>762.26244799999995</v>
      </c>
      <c r="O13" s="13" t="s">
        <v>48</v>
      </c>
      <c r="P13" s="13" t="s">
        <v>49</v>
      </c>
      <c r="Q13" s="14" t="s">
        <v>104</v>
      </c>
      <c r="R13" s="15">
        <v>511.28</v>
      </c>
      <c r="S13" s="24">
        <f>+H13-'C&amp;A'!I13-SINDICATO!L13</f>
        <v>134.46</v>
      </c>
      <c r="T13" s="23">
        <f>+'C&amp;A'!I13+SINDICATO!L13</f>
        <v>470.5</v>
      </c>
      <c r="U13" s="23">
        <f t="shared" si="6"/>
        <v>47.050000000000004</v>
      </c>
      <c r="V13" s="23">
        <f t="shared" si="7"/>
        <v>0</v>
      </c>
      <c r="W13" s="84" t="s">
        <v>92</v>
      </c>
      <c r="X13" s="85" t="s">
        <v>135</v>
      </c>
      <c r="AC13" s="34" t="s">
        <v>92</v>
      </c>
      <c r="AD13" s="37" t="s">
        <v>177</v>
      </c>
      <c r="AE13" s="36">
        <v>511.28</v>
      </c>
      <c r="AF13" s="36">
        <v>93.68</v>
      </c>
      <c r="AG13" s="36">
        <v>0</v>
      </c>
      <c r="AH13" s="36">
        <v>0</v>
      </c>
      <c r="AI13" s="36">
        <v>-134.46</v>
      </c>
      <c r="AJ13" s="36">
        <v>470.5</v>
      </c>
      <c r="AK13" s="36">
        <v>47.050000000000004</v>
      </c>
      <c r="AL13" s="36">
        <v>0</v>
      </c>
      <c r="AM13" s="36">
        <v>517.54999999999995</v>
      </c>
      <c r="AN13" s="36">
        <v>82.807999999999993</v>
      </c>
      <c r="AO13" s="36">
        <v>600.35799999999995</v>
      </c>
      <c r="AP13" s="36">
        <f>293.4+177.1</f>
        <v>470.5</v>
      </c>
      <c r="AQ13" s="36"/>
      <c r="AR13" s="35">
        <v>511.28</v>
      </c>
      <c r="AS13" s="111">
        <f t="shared" si="8"/>
        <v>0</v>
      </c>
    </row>
    <row r="14" spans="1:45" s="35" customFormat="1" ht="15">
      <c r="A14" s="34" t="s">
        <v>87</v>
      </c>
      <c r="B14" s="49" t="s">
        <v>86</v>
      </c>
      <c r="C14" s="36">
        <v>1750</v>
      </c>
      <c r="D14" s="36">
        <v>0</v>
      </c>
      <c r="E14" s="36">
        <v>0</v>
      </c>
      <c r="F14" s="36">
        <f t="shared" si="0"/>
        <v>0</v>
      </c>
      <c r="G14" s="36">
        <f t="shared" si="1"/>
        <v>0</v>
      </c>
      <c r="H14" s="36">
        <f t="shared" si="2"/>
        <v>1750</v>
      </c>
      <c r="I14" s="36">
        <v>175</v>
      </c>
      <c r="J14" s="36">
        <f>+'C&amp;A'!E14*0.02</f>
        <v>10.2256</v>
      </c>
      <c r="K14" s="36">
        <f t="shared" si="3"/>
        <v>1935.2256</v>
      </c>
      <c r="L14" s="36">
        <f t="shared" si="4"/>
        <v>309.63609600000001</v>
      </c>
      <c r="M14" s="36">
        <f t="shared" si="5"/>
        <v>2244.8616959999999</v>
      </c>
      <c r="O14" s="13" t="s">
        <v>100</v>
      </c>
      <c r="P14" s="13" t="s">
        <v>101</v>
      </c>
      <c r="Q14" s="14" t="s">
        <v>103</v>
      </c>
      <c r="R14" s="18">
        <v>1166.6600000000001</v>
      </c>
      <c r="S14" s="24">
        <f>+H14-'C&amp;A'!I14-SINDICATO!L14</f>
        <v>0</v>
      </c>
      <c r="T14" s="23">
        <f>+'C&amp;A'!I14+SINDICATO!L14</f>
        <v>1750</v>
      </c>
      <c r="U14" s="23">
        <f t="shared" si="6"/>
        <v>175</v>
      </c>
      <c r="V14" s="23">
        <f t="shared" si="7"/>
        <v>0</v>
      </c>
      <c r="W14" s="84" t="s">
        <v>87</v>
      </c>
      <c r="X14" s="85" t="s">
        <v>136</v>
      </c>
      <c r="AC14" s="34" t="s">
        <v>87</v>
      </c>
      <c r="AD14" s="49" t="s">
        <v>86</v>
      </c>
      <c r="AE14" s="36">
        <v>1750</v>
      </c>
      <c r="AF14" s="36">
        <v>0</v>
      </c>
      <c r="AG14" s="36">
        <v>0</v>
      </c>
      <c r="AH14" s="36">
        <v>0</v>
      </c>
      <c r="AI14" s="36">
        <v>0</v>
      </c>
      <c r="AJ14" s="36">
        <v>1750</v>
      </c>
      <c r="AK14" s="36">
        <v>175</v>
      </c>
      <c r="AL14" s="36">
        <v>0</v>
      </c>
      <c r="AM14" s="36">
        <v>1925</v>
      </c>
      <c r="AN14" s="36">
        <v>308</v>
      </c>
      <c r="AO14" s="36">
        <v>2233</v>
      </c>
      <c r="AP14" s="36">
        <f>577.4+1172.6</f>
        <v>1750</v>
      </c>
      <c r="AQ14" s="36"/>
      <c r="AR14" s="35">
        <v>1750</v>
      </c>
      <c r="AS14" s="111">
        <f t="shared" si="8"/>
        <v>0</v>
      </c>
    </row>
    <row r="15" spans="1:45" s="35" customFormat="1" ht="15">
      <c r="A15" s="34" t="s">
        <v>108</v>
      </c>
      <c r="B15" s="37" t="s">
        <v>175</v>
      </c>
      <c r="C15" s="36">
        <v>511.28</v>
      </c>
      <c r="D15" s="36">
        <v>93.68</v>
      </c>
      <c r="E15" s="36">
        <v>2913.72</v>
      </c>
      <c r="F15" s="36">
        <f t="shared" si="0"/>
        <v>-90.26</v>
      </c>
      <c r="G15" s="36">
        <f t="shared" si="1"/>
        <v>1184.1199999999999</v>
      </c>
      <c r="H15" s="36">
        <f t="shared" si="2"/>
        <v>3428.4199999999996</v>
      </c>
      <c r="I15" s="36">
        <v>224.42999999999998</v>
      </c>
      <c r="J15" s="36">
        <f>+'C&amp;A'!E15*0.02</f>
        <v>10.2256</v>
      </c>
      <c r="K15" s="36">
        <f t="shared" si="3"/>
        <v>3663.0755999999997</v>
      </c>
      <c r="L15" s="36">
        <f t="shared" si="4"/>
        <v>586.09209599999997</v>
      </c>
      <c r="M15" s="36">
        <f t="shared" si="5"/>
        <v>4249.1676959999995</v>
      </c>
      <c r="O15" s="13" t="s">
        <v>50</v>
      </c>
      <c r="P15" s="13" t="s">
        <v>51</v>
      </c>
      <c r="Q15" s="14" t="s">
        <v>104</v>
      </c>
      <c r="R15" s="15">
        <v>511.28</v>
      </c>
      <c r="S15" s="24">
        <f>+H15-'C&amp;A'!I15-SINDICATO!L15</f>
        <v>1184.1199999999997</v>
      </c>
      <c r="T15" s="23">
        <f>+'C&amp;A'!I15+SINDICATO!L15</f>
        <v>2244.2999999999997</v>
      </c>
      <c r="U15" s="23">
        <f t="shared" si="6"/>
        <v>224.42999999999998</v>
      </c>
      <c r="V15" s="23">
        <f t="shared" si="7"/>
        <v>0</v>
      </c>
      <c r="W15" s="84" t="s">
        <v>108</v>
      </c>
      <c r="X15" s="85" t="s">
        <v>139</v>
      </c>
      <c r="AC15" s="34" t="s">
        <v>108</v>
      </c>
      <c r="AD15" s="37" t="s">
        <v>175</v>
      </c>
      <c r="AE15" s="36">
        <v>511.28</v>
      </c>
      <c r="AF15" s="36">
        <v>93.68</v>
      </c>
      <c r="AG15" s="36">
        <v>2913.72</v>
      </c>
      <c r="AH15" s="36">
        <v>-90.26</v>
      </c>
      <c r="AI15" s="36">
        <v>-1184.1199999999999</v>
      </c>
      <c r="AJ15" s="36">
        <v>2244.2999999999997</v>
      </c>
      <c r="AK15" s="36">
        <v>224.42999999999998</v>
      </c>
      <c r="AL15" s="36">
        <v>0</v>
      </c>
      <c r="AM15" s="36">
        <v>2468.7299999999996</v>
      </c>
      <c r="AN15" s="36">
        <v>394.99679999999995</v>
      </c>
      <c r="AO15" s="36">
        <v>2863.7267999999995</v>
      </c>
      <c r="AP15" s="36">
        <f>577.4+1666.9</f>
        <v>2244.3000000000002</v>
      </c>
      <c r="AQ15" s="36"/>
      <c r="AR15" s="35">
        <v>511.28</v>
      </c>
      <c r="AS15" s="111">
        <f t="shared" si="8"/>
        <v>0</v>
      </c>
    </row>
    <row r="16" spans="1:45" s="35" customFormat="1" ht="15">
      <c r="A16" s="34" t="s">
        <v>109</v>
      </c>
      <c r="B16" s="37" t="s">
        <v>140</v>
      </c>
      <c r="C16" s="36">
        <v>700</v>
      </c>
      <c r="D16" s="36">
        <v>93.63</v>
      </c>
      <c r="E16" s="36">
        <v>0</v>
      </c>
      <c r="F16" s="36">
        <f t="shared" si="0"/>
        <v>0</v>
      </c>
      <c r="G16" s="36">
        <f t="shared" si="1"/>
        <v>323.13</v>
      </c>
      <c r="H16" s="36">
        <f t="shared" si="2"/>
        <v>793.63</v>
      </c>
      <c r="I16" s="36">
        <v>47.050000000000004</v>
      </c>
      <c r="J16" s="36">
        <f>+'C&amp;A'!E16*0.02</f>
        <v>6.8170000000000002</v>
      </c>
      <c r="K16" s="36">
        <f t="shared" si="3"/>
        <v>847.49699999999996</v>
      </c>
      <c r="L16" s="36">
        <f t="shared" si="4"/>
        <v>135.59951999999998</v>
      </c>
      <c r="M16" s="36">
        <f t="shared" si="5"/>
        <v>983.09651999999994</v>
      </c>
      <c r="O16" s="13" t="s">
        <v>52</v>
      </c>
      <c r="P16" s="13" t="s">
        <v>53</v>
      </c>
      <c r="Q16" s="14" t="s">
        <v>104</v>
      </c>
      <c r="R16" s="18">
        <v>511.28</v>
      </c>
      <c r="S16" s="24">
        <f>+H16-'C&amp;A'!I16-SINDICATO!L16</f>
        <v>323.13</v>
      </c>
      <c r="T16" s="23">
        <f>+'C&amp;A'!I16+SINDICATO!L16</f>
        <v>470.5</v>
      </c>
      <c r="U16" s="23">
        <f t="shared" si="6"/>
        <v>47.050000000000004</v>
      </c>
      <c r="V16" s="23">
        <f t="shared" si="7"/>
        <v>0</v>
      </c>
      <c r="W16" s="84" t="s">
        <v>109</v>
      </c>
      <c r="X16" s="85" t="s">
        <v>140</v>
      </c>
      <c r="AC16" s="34" t="s">
        <v>109</v>
      </c>
      <c r="AD16" s="37" t="s">
        <v>229</v>
      </c>
      <c r="AE16" s="36">
        <v>700</v>
      </c>
      <c r="AF16" s="36">
        <v>93.63</v>
      </c>
      <c r="AG16" s="36">
        <v>0</v>
      </c>
      <c r="AH16" s="36">
        <v>0</v>
      </c>
      <c r="AI16" s="36">
        <v>-323.13</v>
      </c>
      <c r="AJ16" s="36">
        <v>470.5</v>
      </c>
      <c r="AK16" s="36">
        <v>47.050000000000004</v>
      </c>
      <c r="AL16" s="36">
        <v>0</v>
      </c>
      <c r="AM16" s="36">
        <v>517.54999999999995</v>
      </c>
      <c r="AN16" s="36">
        <v>82.807999999999993</v>
      </c>
      <c r="AO16" s="36">
        <v>600.35799999999995</v>
      </c>
      <c r="AP16" s="36">
        <f>388+82.5</f>
        <v>470.5</v>
      </c>
      <c r="AQ16" s="36"/>
      <c r="AR16" s="35">
        <v>700</v>
      </c>
      <c r="AS16" s="111">
        <f t="shared" si="8"/>
        <v>0</v>
      </c>
    </row>
    <row r="17" spans="1:45" s="35" customFormat="1" ht="15">
      <c r="A17" s="34" t="s">
        <v>141</v>
      </c>
      <c r="B17" s="37" t="s">
        <v>142</v>
      </c>
      <c r="C17" s="36">
        <v>511.28</v>
      </c>
      <c r="D17" s="36">
        <v>0</v>
      </c>
      <c r="E17" s="36">
        <v>2393.4899999999998</v>
      </c>
      <c r="F17" s="36">
        <f t="shared" si="0"/>
        <v>0</v>
      </c>
      <c r="G17" s="36">
        <f t="shared" si="1"/>
        <v>0</v>
      </c>
      <c r="H17" s="36">
        <f t="shared" si="2"/>
        <v>2904.7699999999995</v>
      </c>
      <c r="I17" s="36">
        <v>290.47699999999998</v>
      </c>
      <c r="J17" s="36">
        <f>+'C&amp;A'!E17*0.02</f>
        <v>10.2256</v>
      </c>
      <c r="K17" s="36">
        <f t="shared" si="3"/>
        <v>3205.4725999999996</v>
      </c>
      <c r="L17" s="36">
        <f t="shared" si="4"/>
        <v>512.87561599999992</v>
      </c>
      <c r="M17" s="36">
        <f t="shared" si="5"/>
        <v>3718.3482159999994</v>
      </c>
      <c r="O17" s="13" t="s">
        <v>54</v>
      </c>
      <c r="P17" s="13" t="s">
        <v>23</v>
      </c>
      <c r="Q17" s="14" t="s">
        <v>104</v>
      </c>
      <c r="R17" s="18">
        <v>511.28</v>
      </c>
      <c r="S17" s="24">
        <f>+H17-'C&amp;A'!I17-SINDICATO!L17</f>
        <v>0</v>
      </c>
      <c r="T17" s="23">
        <f>+'C&amp;A'!I17+SINDICATO!L17</f>
        <v>2904.7699999999995</v>
      </c>
      <c r="U17" s="23">
        <f t="shared" si="6"/>
        <v>290.47699999999998</v>
      </c>
      <c r="V17" s="23">
        <f t="shared" si="7"/>
        <v>0</v>
      </c>
      <c r="W17" s="84" t="s">
        <v>141</v>
      </c>
      <c r="X17" s="85" t="s">
        <v>142</v>
      </c>
      <c r="AC17" s="34" t="s">
        <v>230</v>
      </c>
      <c r="AD17" s="37" t="s">
        <v>233</v>
      </c>
      <c r="AE17" s="36">
        <v>511.28</v>
      </c>
      <c r="AF17" s="36">
        <v>0</v>
      </c>
      <c r="AG17" s="36">
        <v>2393.4899999999998</v>
      </c>
      <c r="AH17" s="36">
        <v>0</v>
      </c>
      <c r="AI17" s="36">
        <v>0</v>
      </c>
      <c r="AJ17" s="36">
        <v>2904.7699999999995</v>
      </c>
      <c r="AK17" s="36">
        <v>290.47699999999998</v>
      </c>
      <c r="AL17" s="36">
        <v>0</v>
      </c>
      <c r="AM17" s="36">
        <v>3195.2469999999994</v>
      </c>
      <c r="AN17" s="36">
        <v>511.23951999999991</v>
      </c>
      <c r="AO17" s="36">
        <v>3706.4865199999995</v>
      </c>
      <c r="AP17" s="36">
        <f>577.4+2327.37</f>
        <v>2904.77</v>
      </c>
      <c r="AQ17" s="36"/>
      <c r="AR17" s="35">
        <v>511.28</v>
      </c>
      <c r="AS17" s="111">
        <f t="shared" si="8"/>
        <v>0</v>
      </c>
    </row>
    <row r="18" spans="1:45" s="35" customFormat="1" ht="15">
      <c r="A18" s="34" t="s">
        <v>110</v>
      </c>
      <c r="B18" s="37" t="s">
        <v>179</v>
      </c>
      <c r="C18" s="36">
        <v>511.28</v>
      </c>
      <c r="D18" s="36">
        <v>93.68</v>
      </c>
      <c r="E18" s="36">
        <v>0</v>
      </c>
      <c r="F18" s="36">
        <f t="shared" si="0"/>
        <v>0</v>
      </c>
      <c r="G18" s="36">
        <f t="shared" si="1"/>
        <v>0</v>
      </c>
      <c r="H18" s="36">
        <f t="shared" si="2"/>
        <v>604.96</v>
      </c>
      <c r="I18" s="36">
        <v>60.496000000000009</v>
      </c>
      <c r="J18" s="36">
        <f>+'C&amp;A'!E18*0.02</f>
        <v>10.2256</v>
      </c>
      <c r="K18" s="36">
        <f t="shared" si="3"/>
        <v>675.6816</v>
      </c>
      <c r="L18" s="36">
        <f t="shared" si="4"/>
        <v>108.10905600000001</v>
      </c>
      <c r="M18" s="36">
        <f t="shared" si="5"/>
        <v>783.79065600000001</v>
      </c>
      <c r="O18" s="13" t="s">
        <v>55</v>
      </c>
      <c r="P18" s="13" t="s">
        <v>56</v>
      </c>
      <c r="Q18" s="14" t="s">
        <v>104</v>
      </c>
      <c r="R18" s="18">
        <v>511.28</v>
      </c>
      <c r="S18" s="24">
        <f>+H18-'C&amp;A'!I18-SINDICATO!L18</f>
        <v>0</v>
      </c>
      <c r="T18" s="23">
        <f>+'C&amp;A'!I18+SINDICATO!L18</f>
        <v>604.96</v>
      </c>
      <c r="U18" s="23">
        <f t="shared" si="6"/>
        <v>60.496000000000009</v>
      </c>
      <c r="V18" s="23">
        <f t="shared" si="7"/>
        <v>0</v>
      </c>
      <c r="W18" s="84" t="s">
        <v>110</v>
      </c>
      <c r="X18" s="85" t="s">
        <v>143</v>
      </c>
      <c r="AC18" s="34" t="s">
        <v>110</v>
      </c>
      <c r="AD18" s="37" t="s">
        <v>179</v>
      </c>
      <c r="AE18" s="36">
        <v>511.28</v>
      </c>
      <c r="AF18" s="36">
        <v>93.68</v>
      </c>
      <c r="AG18" s="36">
        <v>0</v>
      </c>
      <c r="AH18" s="36">
        <v>0</v>
      </c>
      <c r="AI18" s="36">
        <v>0</v>
      </c>
      <c r="AJ18" s="36">
        <v>604.96</v>
      </c>
      <c r="AK18" s="36">
        <v>60.496000000000009</v>
      </c>
      <c r="AL18" s="36">
        <v>0</v>
      </c>
      <c r="AM18" s="36">
        <v>665.45600000000002</v>
      </c>
      <c r="AN18" s="36">
        <v>106.47296</v>
      </c>
      <c r="AO18" s="36">
        <v>771.92895999999996</v>
      </c>
      <c r="AP18" s="36">
        <f>577.4+27.56</f>
        <v>604.95999999999992</v>
      </c>
      <c r="AQ18" s="36"/>
      <c r="AR18" s="35">
        <v>511.28</v>
      </c>
      <c r="AS18" s="111">
        <f t="shared" si="8"/>
        <v>0</v>
      </c>
    </row>
    <row r="19" spans="1:45" s="35" customFormat="1" ht="15">
      <c r="A19" s="34" t="s">
        <v>89</v>
      </c>
      <c r="B19" s="49" t="s">
        <v>99</v>
      </c>
      <c r="C19" s="36">
        <v>1166.6600000000001</v>
      </c>
      <c r="D19" s="36">
        <v>0</v>
      </c>
      <c r="E19" s="36">
        <v>7289.23</v>
      </c>
      <c r="F19" s="36">
        <f t="shared" si="0"/>
        <v>0</v>
      </c>
      <c r="G19" s="36">
        <f t="shared" si="1"/>
        <v>498.65</v>
      </c>
      <c r="H19" s="36">
        <f t="shared" si="2"/>
        <v>8455.89</v>
      </c>
      <c r="I19" s="36">
        <v>0</v>
      </c>
      <c r="J19" s="36">
        <f>+'C&amp;A'!E19*0.02</f>
        <v>10.2256</v>
      </c>
      <c r="K19" s="36">
        <f t="shared" si="3"/>
        <v>8466.1155999999992</v>
      </c>
      <c r="L19" s="36">
        <f t="shared" si="4"/>
        <v>1354.5784959999999</v>
      </c>
      <c r="M19" s="36">
        <f t="shared" si="5"/>
        <v>9820.6940959999993</v>
      </c>
      <c r="O19" s="13" t="s">
        <v>57</v>
      </c>
      <c r="P19" s="13" t="s">
        <v>58</v>
      </c>
      <c r="Q19" s="14" t="s">
        <v>104</v>
      </c>
      <c r="R19" s="15">
        <v>511.28</v>
      </c>
      <c r="S19" s="24">
        <f>+H19-'C&amp;A'!I19-SINDICATO!L19</f>
        <v>1227.7453399999995</v>
      </c>
      <c r="T19" s="23">
        <f>+'C&amp;A'!I19+SINDICATO!L19</f>
        <v>7228.1446599999999</v>
      </c>
      <c r="U19" s="23">
        <f t="shared" si="6"/>
        <v>0</v>
      </c>
      <c r="V19" s="23">
        <f t="shared" si="7"/>
        <v>722.81446600000004</v>
      </c>
      <c r="W19" s="84" t="s">
        <v>89</v>
      </c>
      <c r="X19" s="85" t="s">
        <v>144</v>
      </c>
      <c r="AC19" s="34" t="s">
        <v>89</v>
      </c>
      <c r="AD19" s="49" t="s">
        <v>99</v>
      </c>
      <c r="AE19" s="36">
        <v>1166.6600000000001</v>
      </c>
      <c r="AF19" s="36">
        <v>0</v>
      </c>
      <c r="AG19" s="36">
        <v>7289.23</v>
      </c>
      <c r="AH19" s="36">
        <v>0</v>
      </c>
      <c r="AI19" s="36">
        <v>-498.65</v>
      </c>
      <c r="AJ19" s="36">
        <v>7957.24</v>
      </c>
      <c r="AK19" s="36">
        <v>0</v>
      </c>
      <c r="AL19" s="36">
        <v>0</v>
      </c>
      <c r="AM19" s="36">
        <v>7957.24</v>
      </c>
      <c r="AN19" s="36">
        <v>1273.1584</v>
      </c>
      <c r="AO19" s="36">
        <v>9230.3984</v>
      </c>
      <c r="AP19" s="36">
        <f>577.4+6650.74</f>
        <v>7228.1399999999994</v>
      </c>
      <c r="AQ19" s="36"/>
      <c r="AR19" s="35">
        <v>1166.6600000000001</v>
      </c>
      <c r="AS19" s="111">
        <f t="shared" si="8"/>
        <v>0</v>
      </c>
    </row>
    <row r="20" spans="1:45" s="35" customFormat="1" ht="15">
      <c r="A20" s="34" t="s">
        <v>145</v>
      </c>
      <c r="B20" s="49" t="s">
        <v>173</v>
      </c>
      <c r="C20" s="36">
        <v>1633.33</v>
      </c>
      <c r="D20" s="36">
        <v>0</v>
      </c>
      <c r="E20" s="36">
        <v>3812.93</v>
      </c>
      <c r="F20" s="36">
        <f t="shared" si="0"/>
        <v>-524.16999999999996</v>
      </c>
      <c r="G20" s="36">
        <f t="shared" si="1"/>
        <v>144.03</v>
      </c>
      <c r="H20" s="36">
        <f t="shared" si="2"/>
        <v>4922.09</v>
      </c>
      <c r="I20" s="36">
        <v>477.80600000000004</v>
      </c>
      <c r="J20" s="36">
        <f>+'C&amp;A'!E20*0.02</f>
        <v>10.2256</v>
      </c>
      <c r="K20" s="36">
        <f t="shared" si="3"/>
        <v>5410.1216000000004</v>
      </c>
      <c r="L20" s="36">
        <f t="shared" si="4"/>
        <v>865.61945600000013</v>
      </c>
      <c r="M20" s="36">
        <f t="shared" si="5"/>
        <v>6275.7410560000008</v>
      </c>
      <c r="O20" s="13" t="s">
        <v>59</v>
      </c>
      <c r="P20" s="13" t="s">
        <v>60</v>
      </c>
      <c r="Q20" s="14" t="s">
        <v>104</v>
      </c>
      <c r="R20" s="15">
        <v>700</v>
      </c>
      <c r="S20" s="24">
        <f>+H20-'C&amp;A'!I20-SINDICATO!L20</f>
        <v>144.02999999999975</v>
      </c>
      <c r="T20" s="23">
        <f>+'C&amp;A'!I20+SINDICATO!L20</f>
        <v>4778.0600000000004</v>
      </c>
      <c r="U20" s="23">
        <f t="shared" si="6"/>
        <v>477.80600000000004</v>
      </c>
      <c r="V20" s="23">
        <f t="shared" si="7"/>
        <v>0</v>
      </c>
      <c r="W20" s="84" t="s">
        <v>145</v>
      </c>
      <c r="X20" s="85" t="s">
        <v>146</v>
      </c>
      <c r="AC20" s="34">
        <v>21</v>
      </c>
      <c r="AD20" s="49" t="s">
        <v>173</v>
      </c>
      <c r="AE20" s="36">
        <v>1633.33</v>
      </c>
      <c r="AF20" s="36">
        <v>0</v>
      </c>
      <c r="AG20" s="36">
        <v>3812.93</v>
      </c>
      <c r="AH20" s="36">
        <v>-524.16999999999996</v>
      </c>
      <c r="AI20" s="36">
        <v>-144.03</v>
      </c>
      <c r="AJ20" s="36">
        <v>4778.0600000000004</v>
      </c>
      <c r="AK20" s="36">
        <v>477.80600000000004</v>
      </c>
      <c r="AL20" s="36">
        <v>0</v>
      </c>
      <c r="AM20" s="36">
        <v>5255.866</v>
      </c>
      <c r="AN20" s="36">
        <v>840.93856000000005</v>
      </c>
      <c r="AO20" s="36">
        <v>6096.8045600000005</v>
      </c>
      <c r="AP20" s="36">
        <f>577.4+4200.66</f>
        <v>4778.0599999999995</v>
      </c>
      <c r="AQ20" s="36"/>
      <c r="AR20" s="35">
        <v>1633.33</v>
      </c>
      <c r="AS20" s="111">
        <f t="shared" si="8"/>
        <v>0</v>
      </c>
    </row>
    <row r="21" spans="1:45" s="35" customFormat="1" ht="15">
      <c r="A21" s="34" t="s">
        <v>114</v>
      </c>
      <c r="B21" s="37" t="s">
        <v>186</v>
      </c>
      <c r="C21" s="36">
        <v>511.28</v>
      </c>
      <c r="D21" s="36">
        <v>93.68</v>
      </c>
      <c r="E21" s="36">
        <v>3058.48</v>
      </c>
      <c r="F21" s="36">
        <f t="shared" si="0"/>
        <v>0</v>
      </c>
      <c r="G21" s="36">
        <f t="shared" si="1"/>
        <v>0</v>
      </c>
      <c r="H21" s="36">
        <f t="shared" si="2"/>
        <v>3663.44</v>
      </c>
      <c r="I21" s="36">
        <v>366.34400000000005</v>
      </c>
      <c r="J21" s="36">
        <f>+'C&amp;A'!E21*0.02</f>
        <v>10.2256</v>
      </c>
      <c r="K21" s="36">
        <f t="shared" si="3"/>
        <v>4040.0096000000003</v>
      </c>
      <c r="L21" s="36">
        <f t="shared" si="4"/>
        <v>646.40153600000008</v>
      </c>
      <c r="M21" s="36">
        <f t="shared" si="5"/>
        <v>4686.4111360000006</v>
      </c>
      <c r="O21" s="13" t="s">
        <v>61</v>
      </c>
      <c r="P21" s="13" t="s">
        <v>62</v>
      </c>
      <c r="Q21" s="14" t="s">
        <v>22</v>
      </c>
      <c r="R21" s="15">
        <v>1166.67</v>
      </c>
      <c r="S21" s="24">
        <f>+H21-'C&amp;A'!I21-SINDICATO!L21</f>
        <v>0</v>
      </c>
      <c r="T21" s="23">
        <f>+'C&amp;A'!I21+SINDICATO!L21</f>
        <v>3663.44</v>
      </c>
      <c r="U21" s="23">
        <f t="shared" si="6"/>
        <v>366.34400000000005</v>
      </c>
      <c r="V21" s="23">
        <f t="shared" si="7"/>
        <v>0</v>
      </c>
      <c r="W21" s="84" t="s">
        <v>114</v>
      </c>
      <c r="X21" s="85" t="s">
        <v>147</v>
      </c>
      <c r="AC21" s="34" t="s">
        <v>114</v>
      </c>
      <c r="AD21" s="37" t="s">
        <v>186</v>
      </c>
      <c r="AE21" s="36">
        <v>511.28</v>
      </c>
      <c r="AF21" s="36">
        <v>93.68</v>
      </c>
      <c r="AG21" s="36">
        <v>3058.48</v>
      </c>
      <c r="AH21" s="36">
        <v>0</v>
      </c>
      <c r="AI21" s="36">
        <v>0</v>
      </c>
      <c r="AJ21" s="36">
        <v>3663.44</v>
      </c>
      <c r="AK21" s="36">
        <v>366.34400000000005</v>
      </c>
      <c r="AL21" s="36">
        <v>0</v>
      </c>
      <c r="AM21" s="36">
        <v>4029.7840000000001</v>
      </c>
      <c r="AN21" s="36">
        <v>644.76544000000001</v>
      </c>
      <c r="AO21" s="36">
        <v>4674.5494399999998</v>
      </c>
      <c r="AP21" s="36">
        <f>577.4+3086.04</f>
        <v>3663.44</v>
      </c>
      <c r="AQ21" s="36"/>
      <c r="AR21" s="35">
        <v>511.28</v>
      </c>
      <c r="AS21" s="111">
        <f t="shared" si="8"/>
        <v>0</v>
      </c>
    </row>
    <row r="22" spans="1:45" s="35" customFormat="1" ht="15">
      <c r="A22" s="34" t="s">
        <v>112</v>
      </c>
      <c r="B22" s="37" t="s">
        <v>174</v>
      </c>
      <c r="C22" s="36">
        <v>511.28</v>
      </c>
      <c r="D22" s="36">
        <v>0</v>
      </c>
      <c r="E22" s="36">
        <v>12419.75</v>
      </c>
      <c r="F22" s="36">
        <f t="shared" si="0"/>
        <v>0</v>
      </c>
      <c r="G22" s="36">
        <f t="shared" si="1"/>
        <v>0</v>
      </c>
      <c r="H22" s="36">
        <f t="shared" si="2"/>
        <v>12931.03</v>
      </c>
      <c r="I22" s="36">
        <v>0</v>
      </c>
      <c r="J22" s="36">
        <f>+'C&amp;A'!E22*0.02</f>
        <v>10.2256</v>
      </c>
      <c r="K22" s="36">
        <f t="shared" si="3"/>
        <v>12941.2556</v>
      </c>
      <c r="L22" s="36">
        <f t="shared" si="4"/>
        <v>2070.6008959999999</v>
      </c>
      <c r="M22" s="36">
        <f t="shared" si="5"/>
        <v>15011.856496</v>
      </c>
      <c r="O22" s="13" t="s">
        <v>63</v>
      </c>
      <c r="P22" s="13" t="s">
        <v>64</v>
      </c>
      <c r="Q22" s="14" t="s">
        <v>104</v>
      </c>
      <c r="R22" s="15">
        <v>511.28</v>
      </c>
      <c r="S22" s="24">
        <f>+H22-'C&amp;A'!I22-SINDICATO!L22</f>
        <v>1176.7237299999997</v>
      </c>
      <c r="T22" s="23">
        <f>+'C&amp;A'!I22+SINDICATO!L22</f>
        <v>11754.306270000001</v>
      </c>
      <c r="U22" s="23">
        <f t="shared" si="6"/>
        <v>0</v>
      </c>
      <c r="V22" s="23">
        <f t="shared" si="7"/>
        <v>1175.4306270000002</v>
      </c>
      <c r="W22" s="84" t="s">
        <v>112</v>
      </c>
      <c r="X22" s="85" t="s">
        <v>148</v>
      </c>
      <c r="AC22" s="34" t="s">
        <v>112</v>
      </c>
      <c r="AD22" s="37" t="s">
        <v>174</v>
      </c>
      <c r="AE22" s="36">
        <v>511.28</v>
      </c>
      <c r="AF22" s="36">
        <v>0</v>
      </c>
      <c r="AG22" s="36">
        <v>12419.75</v>
      </c>
      <c r="AH22" s="36">
        <v>0</v>
      </c>
      <c r="AI22" s="36">
        <v>0</v>
      </c>
      <c r="AJ22" s="36">
        <v>12931.03</v>
      </c>
      <c r="AK22" s="36">
        <v>0</v>
      </c>
      <c r="AL22" s="36">
        <v>0</v>
      </c>
      <c r="AM22" s="36">
        <v>12931.03</v>
      </c>
      <c r="AN22" s="36">
        <v>2068.9648000000002</v>
      </c>
      <c r="AO22" s="36">
        <v>14999.9948</v>
      </c>
      <c r="AP22" s="36">
        <f>577.4+11176.91</f>
        <v>11754.31</v>
      </c>
      <c r="AQ22" s="36"/>
      <c r="AR22" s="35">
        <v>511.28</v>
      </c>
      <c r="AS22" s="111">
        <f t="shared" si="8"/>
        <v>0</v>
      </c>
    </row>
    <row r="23" spans="1:45" s="35" customFormat="1" ht="15">
      <c r="A23" s="34" t="s">
        <v>113</v>
      </c>
      <c r="B23" s="37" t="s">
        <v>181</v>
      </c>
      <c r="C23" s="36">
        <v>511.28</v>
      </c>
      <c r="D23" s="36">
        <v>93.68</v>
      </c>
      <c r="E23" s="36">
        <v>2000</v>
      </c>
      <c r="F23" s="36">
        <f t="shared" si="0"/>
        <v>0</v>
      </c>
      <c r="G23" s="36">
        <f t="shared" si="1"/>
        <v>0</v>
      </c>
      <c r="H23" s="36">
        <f t="shared" si="2"/>
        <v>2604.96</v>
      </c>
      <c r="I23" s="36">
        <v>260.49600000000004</v>
      </c>
      <c r="J23" s="36">
        <f>+'C&amp;A'!E23*0.02</f>
        <v>10.2256</v>
      </c>
      <c r="K23" s="36">
        <f t="shared" si="3"/>
        <v>2875.6816000000003</v>
      </c>
      <c r="L23" s="36">
        <f t="shared" si="4"/>
        <v>460.10905600000007</v>
      </c>
      <c r="M23" s="36">
        <f t="shared" si="5"/>
        <v>3335.7906560000006</v>
      </c>
      <c r="O23" s="13" t="s">
        <v>65</v>
      </c>
      <c r="P23" s="13" t="s">
        <v>66</v>
      </c>
      <c r="Q23" s="14" t="s">
        <v>104</v>
      </c>
      <c r="R23" s="22">
        <v>511.28</v>
      </c>
      <c r="S23" s="24">
        <f>+H23-'C&amp;A'!I23-SINDICATO!L23</f>
        <v>0</v>
      </c>
      <c r="T23" s="23">
        <f>+'C&amp;A'!I23+SINDICATO!L23</f>
        <v>2604.96</v>
      </c>
      <c r="U23" s="23">
        <f t="shared" si="6"/>
        <v>260.49600000000004</v>
      </c>
      <c r="V23" s="23">
        <f t="shared" si="7"/>
        <v>0</v>
      </c>
      <c r="W23" s="84" t="s">
        <v>113</v>
      </c>
      <c r="X23" s="85" t="s">
        <v>149</v>
      </c>
      <c r="AC23" s="34" t="s">
        <v>113</v>
      </c>
      <c r="AD23" s="37" t="s">
        <v>181</v>
      </c>
      <c r="AE23" s="36">
        <v>511.28</v>
      </c>
      <c r="AF23" s="36">
        <v>93.68</v>
      </c>
      <c r="AG23" s="36">
        <v>2000</v>
      </c>
      <c r="AH23" s="36">
        <v>0</v>
      </c>
      <c r="AI23" s="36">
        <v>0</v>
      </c>
      <c r="AJ23" s="36">
        <v>2604.96</v>
      </c>
      <c r="AK23" s="36">
        <v>260.49600000000004</v>
      </c>
      <c r="AL23" s="36">
        <v>0</v>
      </c>
      <c r="AM23" s="36">
        <v>2865.4560000000001</v>
      </c>
      <c r="AN23" s="36">
        <v>458.47296000000006</v>
      </c>
      <c r="AO23" s="36">
        <v>3323.9289600000002</v>
      </c>
      <c r="AP23" s="36">
        <f>577.4+2027.56</f>
        <v>2604.96</v>
      </c>
      <c r="AQ23" s="36"/>
      <c r="AR23" s="35">
        <v>511.28</v>
      </c>
      <c r="AS23" s="111">
        <f t="shared" si="8"/>
        <v>0</v>
      </c>
    </row>
    <row r="24" spans="1:45" s="35" customFormat="1" ht="15">
      <c r="A24" s="34" t="s">
        <v>111</v>
      </c>
      <c r="B24" s="37" t="s">
        <v>178</v>
      </c>
      <c r="C24" s="36">
        <v>511.28</v>
      </c>
      <c r="D24" s="36">
        <v>0</v>
      </c>
      <c r="E24" s="36">
        <v>0</v>
      </c>
      <c r="F24" s="36">
        <f t="shared" si="0"/>
        <v>0</v>
      </c>
      <c r="G24" s="36">
        <f t="shared" si="1"/>
        <v>115.26</v>
      </c>
      <c r="H24" s="36">
        <f t="shared" si="2"/>
        <v>511.28</v>
      </c>
      <c r="I24" s="36">
        <v>39.602000000000004</v>
      </c>
      <c r="J24" s="36">
        <f>+'C&amp;A'!E24*0.02</f>
        <v>5.1128</v>
      </c>
      <c r="K24" s="36">
        <f t="shared" si="3"/>
        <v>555.99479999999994</v>
      </c>
      <c r="L24" s="36">
        <f t="shared" si="4"/>
        <v>88.959167999999991</v>
      </c>
      <c r="M24" s="36">
        <f t="shared" si="5"/>
        <v>644.95396799999992</v>
      </c>
      <c r="O24" s="13" t="s">
        <v>67</v>
      </c>
      <c r="P24" s="13" t="s">
        <v>68</v>
      </c>
      <c r="Q24" s="21" t="s">
        <v>104</v>
      </c>
      <c r="R24" s="17">
        <v>511.28</v>
      </c>
      <c r="S24" s="24">
        <f>+H24-'C&amp;A'!I24-SINDICATO!L24</f>
        <v>115.26</v>
      </c>
      <c r="T24" s="23">
        <f>+'C&amp;A'!I24+SINDICATO!L24</f>
        <v>396.02</v>
      </c>
      <c r="U24" s="23">
        <f t="shared" si="6"/>
        <v>39.602000000000004</v>
      </c>
      <c r="V24" s="23">
        <f t="shared" si="7"/>
        <v>0</v>
      </c>
      <c r="W24" s="84" t="s">
        <v>111</v>
      </c>
      <c r="X24" s="85" t="s">
        <v>150</v>
      </c>
      <c r="AC24" s="34" t="s">
        <v>111</v>
      </c>
      <c r="AD24" s="37" t="s">
        <v>178</v>
      </c>
      <c r="AE24" s="36">
        <v>511.28</v>
      </c>
      <c r="AF24" s="36">
        <v>0</v>
      </c>
      <c r="AG24" s="36">
        <v>0</v>
      </c>
      <c r="AH24" s="36">
        <v>0</v>
      </c>
      <c r="AI24" s="36">
        <v>-115.26</v>
      </c>
      <c r="AJ24" s="36">
        <v>396.02</v>
      </c>
      <c r="AK24" s="36">
        <v>39.602000000000004</v>
      </c>
      <c r="AL24" s="36">
        <v>0</v>
      </c>
      <c r="AM24" s="36">
        <v>435.62199999999996</v>
      </c>
      <c r="AN24" s="36">
        <v>69.699519999999993</v>
      </c>
      <c r="AO24" s="36">
        <v>505.32151999999996</v>
      </c>
      <c r="AP24" s="36">
        <f>293.4+102.62</f>
        <v>396.02</v>
      </c>
      <c r="AQ24" s="36"/>
      <c r="AR24" s="35">
        <v>511.28</v>
      </c>
      <c r="AS24" s="111">
        <f t="shared" si="8"/>
        <v>0</v>
      </c>
    </row>
    <row r="25" spans="1:45" s="35" customFormat="1" ht="15">
      <c r="A25" s="34" t="s">
        <v>151</v>
      </c>
      <c r="B25" s="100" t="s">
        <v>88</v>
      </c>
      <c r="C25" s="36">
        <v>1166.6600000000001</v>
      </c>
      <c r="D25" s="36">
        <v>0</v>
      </c>
      <c r="E25" s="36">
        <v>6974.64</v>
      </c>
      <c r="F25" s="36">
        <f t="shared" si="0"/>
        <v>0</v>
      </c>
      <c r="G25" s="36">
        <f t="shared" si="1"/>
        <v>89.36</v>
      </c>
      <c r="H25" s="36">
        <f t="shared" si="2"/>
        <v>8141.3</v>
      </c>
      <c r="I25" s="36">
        <v>0</v>
      </c>
      <c r="J25" s="36">
        <f>+'C&amp;A'!E25*0.02</f>
        <v>10.2256</v>
      </c>
      <c r="K25" s="36">
        <f t="shared" si="3"/>
        <v>8151.5255999999999</v>
      </c>
      <c r="L25" s="36">
        <f t="shared" si="4"/>
        <v>1304.2440960000001</v>
      </c>
      <c r="M25" s="36">
        <f t="shared" si="5"/>
        <v>9455.7696959999994</v>
      </c>
      <c r="O25" s="19" t="s">
        <v>69</v>
      </c>
      <c r="P25" s="19" t="s">
        <v>70</v>
      </c>
      <c r="Q25" s="20" t="s">
        <v>104</v>
      </c>
      <c r="R25" s="16">
        <v>511.28</v>
      </c>
      <c r="S25" s="24">
        <f>+H25-'C&amp;A'!I25-SINDICATO!L25</f>
        <v>822.98013999999966</v>
      </c>
      <c r="T25" s="23">
        <f>+'C&amp;A'!I25+SINDICATO!L25</f>
        <v>7318.3198600000005</v>
      </c>
      <c r="U25" s="23">
        <f t="shared" si="6"/>
        <v>0</v>
      </c>
      <c r="V25" s="23">
        <f t="shared" si="7"/>
        <v>731.83198600000014</v>
      </c>
      <c r="W25" s="84" t="s">
        <v>151</v>
      </c>
      <c r="X25" s="85" t="s">
        <v>152</v>
      </c>
      <c r="AC25" s="34" t="s">
        <v>231</v>
      </c>
      <c r="AD25" s="109" t="s">
        <v>88</v>
      </c>
      <c r="AE25" s="36">
        <v>1166.6600000000001</v>
      </c>
      <c r="AF25" s="36">
        <v>0</v>
      </c>
      <c r="AG25" s="36">
        <v>6974.64</v>
      </c>
      <c r="AH25" s="36">
        <v>0</v>
      </c>
      <c r="AI25" s="36">
        <v>-89.36</v>
      </c>
      <c r="AJ25" s="36">
        <v>8051.9400000000005</v>
      </c>
      <c r="AK25" s="36">
        <v>0</v>
      </c>
      <c r="AL25" s="36">
        <v>0</v>
      </c>
      <c r="AM25" s="36">
        <v>8051.9400000000005</v>
      </c>
      <c r="AN25" s="36">
        <v>1288.3104000000001</v>
      </c>
      <c r="AO25" s="36">
        <v>9340.2504000000008</v>
      </c>
      <c r="AP25" s="36">
        <f>577.4+6740.92</f>
        <v>7318.32</v>
      </c>
      <c r="AQ25" s="36"/>
      <c r="AR25" s="35">
        <v>1166.6600000000001</v>
      </c>
      <c r="AS25" s="111">
        <f t="shared" si="8"/>
        <v>0</v>
      </c>
    </row>
    <row r="26" spans="1:45" s="35" customFormat="1" ht="15">
      <c r="A26" s="34" t="s">
        <v>153</v>
      </c>
      <c r="B26" s="49" t="s">
        <v>117</v>
      </c>
      <c r="C26" s="36">
        <v>511.28</v>
      </c>
      <c r="D26" s="36">
        <v>0</v>
      </c>
      <c r="E26" s="36">
        <v>7002.28</v>
      </c>
      <c r="F26" s="36">
        <f t="shared" si="0"/>
        <v>0</v>
      </c>
      <c r="G26" s="36">
        <f t="shared" si="1"/>
        <v>0</v>
      </c>
      <c r="H26" s="36">
        <f t="shared" si="2"/>
        <v>7513.5599999999995</v>
      </c>
      <c r="I26" s="36">
        <v>0</v>
      </c>
      <c r="J26" s="36">
        <f>+'C&amp;A'!E26*0.02</f>
        <v>10.2256</v>
      </c>
      <c r="K26" s="36">
        <f t="shared" si="3"/>
        <v>7523.7855999999992</v>
      </c>
      <c r="L26" s="36">
        <f t="shared" si="4"/>
        <v>1203.8056959999999</v>
      </c>
      <c r="M26" s="36">
        <f t="shared" si="5"/>
        <v>8727.5912959999987</v>
      </c>
      <c r="O26" s="19" t="s">
        <v>71</v>
      </c>
      <c r="P26" s="19" t="s">
        <v>72</v>
      </c>
      <c r="Q26" s="20" t="s">
        <v>104</v>
      </c>
      <c r="R26" s="16">
        <v>700</v>
      </c>
      <c r="S26" s="24">
        <f>+H26-'C&amp;A'!I26-SINDICATO!L26</f>
        <v>683.73395999999957</v>
      </c>
      <c r="T26" s="23">
        <f>+'C&amp;A'!I26+SINDICATO!L26</f>
        <v>6829.8260399999999</v>
      </c>
      <c r="U26" s="23">
        <f t="shared" si="6"/>
        <v>0</v>
      </c>
      <c r="V26" s="23">
        <f t="shared" si="7"/>
        <v>682.98260400000004</v>
      </c>
      <c r="W26" s="84" t="s">
        <v>153</v>
      </c>
      <c r="X26" s="85" t="s">
        <v>154</v>
      </c>
      <c r="AC26" s="34" t="s">
        <v>116</v>
      </c>
      <c r="AD26" s="49" t="s">
        <v>117</v>
      </c>
      <c r="AE26" s="36">
        <v>511.28</v>
      </c>
      <c r="AF26" s="36">
        <v>0</v>
      </c>
      <c r="AG26" s="36">
        <v>7002.28</v>
      </c>
      <c r="AH26" s="36">
        <v>0</v>
      </c>
      <c r="AI26" s="36">
        <v>0</v>
      </c>
      <c r="AJ26" s="36">
        <v>7513.5599999999995</v>
      </c>
      <c r="AK26" s="36">
        <v>0</v>
      </c>
      <c r="AL26" s="36">
        <v>0</v>
      </c>
      <c r="AM26" s="36">
        <v>7513.5599999999995</v>
      </c>
      <c r="AN26" s="36">
        <v>1202.1695999999999</v>
      </c>
      <c r="AO26" s="36">
        <v>8715.7295999999988</v>
      </c>
      <c r="AP26" s="36">
        <f>577.4+6252.43</f>
        <v>6829.83</v>
      </c>
      <c r="AQ26" s="36"/>
      <c r="AR26" s="35">
        <v>511.28</v>
      </c>
      <c r="AS26" s="111">
        <f t="shared" si="8"/>
        <v>0</v>
      </c>
    </row>
    <row r="27" spans="1:45" s="35" customFormat="1" ht="15">
      <c r="A27" s="34" t="s">
        <v>115</v>
      </c>
      <c r="B27" s="37" t="s">
        <v>180</v>
      </c>
      <c r="C27" s="36">
        <v>511.28</v>
      </c>
      <c r="D27" s="36">
        <v>0</v>
      </c>
      <c r="E27" s="36">
        <v>0</v>
      </c>
      <c r="F27" s="36">
        <f t="shared" si="0"/>
        <v>0</v>
      </c>
      <c r="G27" s="36">
        <f t="shared" si="1"/>
        <v>0</v>
      </c>
      <c r="H27" s="36">
        <f t="shared" si="2"/>
        <v>511.28</v>
      </c>
      <c r="I27" s="36">
        <v>51.128</v>
      </c>
      <c r="J27" s="36">
        <f>+'C&amp;A'!E27*0.02</f>
        <v>8.5213999999999999</v>
      </c>
      <c r="K27" s="36">
        <f t="shared" si="3"/>
        <v>570.92939999999999</v>
      </c>
      <c r="L27" s="36">
        <f t="shared" si="4"/>
        <v>91.348703999999998</v>
      </c>
      <c r="M27" s="36">
        <f t="shared" si="5"/>
        <v>662.27810399999998</v>
      </c>
      <c r="O27" s="13" t="s">
        <v>73</v>
      </c>
      <c r="P27" s="13" t="s">
        <v>20</v>
      </c>
      <c r="Q27" s="14" t="s">
        <v>104</v>
      </c>
      <c r="R27" s="15">
        <v>511.28</v>
      </c>
      <c r="S27" s="24">
        <f>+H27-'C&amp;A'!I27-SINDICATO!L27</f>
        <v>0</v>
      </c>
      <c r="T27" s="23">
        <f>+'C&amp;A'!I27+SINDICATO!L27</f>
        <v>511.28</v>
      </c>
      <c r="U27" s="23">
        <f t="shared" si="6"/>
        <v>51.128</v>
      </c>
      <c r="V27" s="23">
        <f t="shared" si="7"/>
        <v>0</v>
      </c>
      <c r="W27" s="84" t="s">
        <v>115</v>
      </c>
      <c r="X27" s="85" t="s">
        <v>155</v>
      </c>
      <c r="AC27" s="34" t="s">
        <v>115</v>
      </c>
      <c r="AD27" s="37" t="s">
        <v>180</v>
      </c>
      <c r="AE27" s="36">
        <v>511.28</v>
      </c>
      <c r="AF27" s="36">
        <v>0</v>
      </c>
      <c r="AG27" s="36">
        <v>0</v>
      </c>
      <c r="AH27" s="36">
        <v>0</v>
      </c>
      <c r="AI27" s="36">
        <v>0</v>
      </c>
      <c r="AJ27" s="36">
        <v>511.28</v>
      </c>
      <c r="AK27" s="36">
        <v>51.128</v>
      </c>
      <c r="AL27" s="36">
        <v>0</v>
      </c>
      <c r="AM27" s="36">
        <v>562.40800000000002</v>
      </c>
      <c r="AN27" s="36">
        <v>89.985280000000003</v>
      </c>
      <c r="AO27" s="36">
        <v>652.39328</v>
      </c>
      <c r="AP27" s="36">
        <f>482.6+28.68</f>
        <v>511.28000000000003</v>
      </c>
      <c r="AQ27" s="36"/>
      <c r="AR27" s="35">
        <v>511.28</v>
      </c>
      <c r="AS27" s="111">
        <f t="shared" si="8"/>
        <v>0</v>
      </c>
    </row>
    <row r="28" spans="1:45" s="35" customFormat="1" ht="15">
      <c r="A28" s="34" t="s">
        <v>156</v>
      </c>
      <c r="B28" s="49" t="s">
        <v>187</v>
      </c>
      <c r="C28" s="36">
        <v>1166.67</v>
      </c>
      <c r="D28" s="36">
        <v>0</v>
      </c>
      <c r="E28" s="36">
        <v>3659.07</v>
      </c>
      <c r="F28" s="36">
        <f t="shared" si="0"/>
        <v>0</v>
      </c>
      <c r="G28" s="36">
        <f t="shared" si="1"/>
        <v>0</v>
      </c>
      <c r="H28" s="36">
        <f t="shared" si="2"/>
        <v>4825.74</v>
      </c>
      <c r="I28" s="36">
        <v>482.57400000000001</v>
      </c>
      <c r="J28" s="36">
        <f>+'C&amp;A'!E28*0.02</f>
        <v>10.2256</v>
      </c>
      <c r="K28" s="36">
        <f t="shared" si="3"/>
        <v>5318.5395999999992</v>
      </c>
      <c r="L28" s="36">
        <f t="shared" si="4"/>
        <v>850.96633599999984</v>
      </c>
      <c r="M28" s="36">
        <f t="shared" si="5"/>
        <v>6169.5059359999987</v>
      </c>
      <c r="O28" s="13" t="s">
        <v>126</v>
      </c>
      <c r="P28" s="13" t="s">
        <v>74</v>
      </c>
      <c r="Q28" s="14" t="s">
        <v>104</v>
      </c>
      <c r="R28" s="22">
        <v>511.28</v>
      </c>
      <c r="S28" s="24">
        <f>+H28-'C&amp;A'!I28-SINDICATO!L28</f>
        <v>0</v>
      </c>
      <c r="T28" s="23">
        <f>+'C&amp;A'!I28+SINDICATO!L28</f>
        <v>4825.74</v>
      </c>
      <c r="U28" s="23">
        <f t="shared" si="6"/>
        <v>482.57400000000001</v>
      </c>
      <c r="V28" s="23">
        <f t="shared" si="7"/>
        <v>0</v>
      </c>
      <c r="W28" s="84" t="s">
        <v>156</v>
      </c>
      <c r="X28" s="85" t="s">
        <v>157</v>
      </c>
      <c r="AC28" s="34" t="s">
        <v>90</v>
      </c>
      <c r="AD28" s="49" t="s">
        <v>232</v>
      </c>
      <c r="AE28" s="36">
        <v>1166.67</v>
      </c>
      <c r="AF28" s="36">
        <v>0</v>
      </c>
      <c r="AG28" s="36">
        <v>3659.07</v>
      </c>
      <c r="AH28" s="36">
        <v>0</v>
      </c>
      <c r="AI28" s="36">
        <v>0</v>
      </c>
      <c r="AJ28" s="36">
        <v>4825.74</v>
      </c>
      <c r="AK28" s="36">
        <v>482.57400000000001</v>
      </c>
      <c r="AL28" s="36">
        <v>0</v>
      </c>
      <c r="AM28" s="36">
        <v>5308.3139999999994</v>
      </c>
      <c r="AN28" s="36">
        <v>849.33023999999989</v>
      </c>
      <c r="AO28" s="36">
        <v>6157.6442399999996</v>
      </c>
      <c r="AP28" s="36">
        <f>577.4+4248.34</f>
        <v>4825.74</v>
      </c>
      <c r="AQ28" s="36"/>
      <c r="AR28" s="35">
        <v>1166.67</v>
      </c>
      <c r="AS28" s="111">
        <f t="shared" si="8"/>
        <v>0</v>
      </c>
    </row>
    <row r="29" spans="1:45" s="35" customFormat="1" ht="15">
      <c r="A29" s="34" t="s">
        <v>120</v>
      </c>
      <c r="B29" s="37" t="s">
        <v>84</v>
      </c>
      <c r="C29" s="36">
        <v>700</v>
      </c>
      <c r="D29" s="36">
        <v>93.63</v>
      </c>
      <c r="E29" s="36">
        <v>4852.68</v>
      </c>
      <c r="F29" s="36">
        <f t="shared" si="0"/>
        <v>0</v>
      </c>
      <c r="G29" s="36">
        <f t="shared" si="1"/>
        <v>0</v>
      </c>
      <c r="H29" s="36">
        <f t="shared" si="2"/>
        <v>5646.31</v>
      </c>
      <c r="I29" s="36">
        <v>0</v>
      </c>
      <c r="J29" s="36">
        <f>+'C&amp;A'!E29*0.02</f>
        <v>10.2256</v>
      </c>
      <c r="K29" s="36">
        <f t="shared" si="3"/>
        <v>5656.5356000000002</v>
      </c>
      <c r="L29" s="36">
        <f t="shared" si="4"/>
        <v>905.04569600000002</v>
      </c>
      <c r="M29" s="36">
        <f t="shared" si="5"/>
        <v>6561.5812960000003</v>
      </c>
      <c r="O29" s="13" t="s">
        <v>75</v>
      </c>
      <c r="P29" s="13" t="s">
        <v>76</v>
      </c>
      <c r="Q29" s="14" t="s">
        <v>104</v>
      </c>
      <c r="R29" s="16">
        <v>511.28</v>
      </c>
      <c r="S29" s="24">
        <f>+H29-'C&amp;A'!I29-SINDICATO!L29</f>
        <v>513.81421000000046</v>
      </c>
      <c r="T29" s="23">
        <f>+'C&amp;A'!I29+SINDICATO!L29</f>
        <v>5132.4957899999999</v>
      </c>
      <c r="U29" s="23">
        <f t="shared" si="6"/>
        <v>0</v>
      </c>
      <c r="V29" s="23">
        <f t="shared" si="7"/>
        <v>513.24957900000004</v>
      </c>
      <c r="W29" s="84" t="s">
        <v>120</v>
      </c>
      <c r="X29" s="85" t="s">
        <v>158</v>
      </c>
      <c r="AC29" s="34" t="s">
        <v>120</v>
      </c>
      <c r="AD29" s="37" t="s">
        <v>84</v>
      </c>
      <c r="AE29" s="36">
        <v>700</v>
      </c>
      <c r="AF29" s="36">
        <v>93.63</v>
      </c>
      <c r="AG29" s="36">
        <v>4852.68</v>
      </c>
      <c r="AH29" s="36">
        <v>0</v>
      </c>
      <c r="AI29" s="36">
        <v>0</v>
      </c>
      <c r="AJ29" s="36">
        <v>5646.31</v>
      </c>
      <c r="AK29" s="36">
        <v>0</v>
      </c>
      <c r="AL29" s="36">
        <v>0</v>
      </c>
      <c r="AM29" s="36">
        <v>5646.31</v>
      </c>
      <c r="AN29" s="36">
        <v>903.40960000000007</v>
      </c>
      <c r="AO29" s="36">
        <v>6549.7196000000004</v>
      </c>
      <c r="AP29" s="36">
        <f>577.4+4555.3</f>
        <v>5132.7</v>
      </c>
      <c r="AQ29" s="36"/>
      <c r="AR29" s="35">
        <v>700</v>
      </c>
      <c r="AS29" s="111">
        <f t="shared" si="8"/>
        <v>0</v>
      </c>
    </row>
    <row r="30" spans="1:45" s="35" customFormat="1" ht="15">
      <c r="A30" s="34" t="s">
        <v>121</v>
      </c>
      <c r="B30" s="37" t="s">
        <v>85</v>
      </c>
      <c r="C30" s="36">
        <v>700</v>
      </c>
      <c r="D30" s="36">
        <v>93.63</v>
      </c>
      <c r="E30" s="36">
        <v>382.66</v>
      </c>
      <c r="F30" s="36">
        <f t="shared" si="0"/>
        <v>0</v>
      </c>
      <c r="G30" s="36">
        <f t="shared" si="1"/>
        <v>0</v>
      </c>
      <c r="H30" s="36">
        <f t="shared" si="2"/>
        <v>1176.29</v>
      </c>
      <c r="I30" s="36">
        <v>117.629</v>
      </c>
      <c r="J30" s="36">
        <f>+'C&amp;A'!E30*0.02</f>
        <v>10.2256</v>
      </c>
      <c r="K30" s="36">
        <f t="shared" si="3"/>
        <v>1304.1445999999999</v>
      </c>
      <c r="L30" s="36">
        <f t="shared" si="4"/>
        <v>208.66313599999998</v>
      </c>
      <c r="M30" s="36">
        <f t="shared" si="5"/>
        <v>1512.8077359999997</v>
      </c>
      <c r="O30" s="13" t="s">
        <v>77</v>
      </c>
      <c r="P30" s="13" t="s">
        <v>78</v>
      </c>
      <c r="Q30" s="14" t="s">
        <v>104</v>
      </c>
      <c r="R30" s="18">
        <v>511.28</v>
      </c>
      <c r="S30" s="24">
        <f>+H30-'C&amp;A'!I30-SINDICATO!L30</f>
        <v>0</v>
      </c>
      <c r="T30" s="23">
        <f>+'C&amp;A'!I30+SINDICATO!L30</f>
        <v>1176.29</v>
      </c>
      <c r="U30" s="23">
        <f t="shared" si="6"/>
        <v>117.629</v>
      </c>
      <c r="V30" s="23">
        <f t="shared" si="7"/>
        <v>0</v>
      </c>
      <c r="W30" s="84" t="s">
        <v>121</v>
      </c>
      <c r="X30" s="85" t="s">
        <v>159</v>
      </c>
      <c r="AC30" s="34" t="s">
        <v>121</v>
      </c>
      <c r="AD30" s="37" t="s">
        <v>85</v>
      </c>
      <c r="AE30" s="36">
        <v>700</v>
      </c>
      <c r="AF30" s="36">
        <v>93.63</v>
      </c>
      <c r="AG30" s="36">
        <v>382.66</v>
      </c>
      <c r="AH30" s="36">
        <v>0</v>
      </c>
      <c r="AI30" s="36">
        <v>0</v>
      </c>
      <c r="AJ30" s="36">
        <v>1176.29</v>
      </c>
      <c r="AK30" s="36">
        <v>117.629</v>
      </c>
      <c r="AL30" s="36">
        <v>0</v>
      </c>
      <c r="AM30" s="36">
        <v>1293.9189999999999</v>
      </c>
      <c r="AN30" s="36">
        <v>207.02703999999997</v>
      </c>
      <c r="AO30" s="36">
        <v>1500.9460399999998</v>
      </c>
      <c r="AP30" s="36">
        <f>577.4+598.89</f>
        <v>1176.29</v>
      </c>
      <c r="AQ30" s="36"/>
      <c r="AR30" s="35">
        <v>700</v>
      </c>
      <c r="AS30" s="111">
        <f t="shared" si="8"/>
        <v>0</v>
      </c>
    </row>
    <row r="31" spans="1:45" s="35" customFormat="1" ht="15">
      <c r="A31" s="34" t="s">
        <v>122</v>
      </c>
      <c r="B31" s="49" t="s">
        <v>124</v>
      </c>
      <c r="C31" s="36">
        <v>511.28</v>
      </c>
      <c r="D31" s="36">
        <v>0</v>
      </c>
      <c r="E31" s="36">
        <v>6149.41</v>
      </c>
      <c r="F31" s="36">
        <f t="shared" si="0"/>
        <v>0</v>
      </c>
      <c r="G31" s="36">
        <f t="shared" si="1"/>
        <v>0</v>
      </c>
      <c r="H31" s="36">
        <f t="shared" si="2"/>
        <v>6660.69</v>
      </c>
      <c r="I31" s="36">
        <v>0</v>
      </c>
      <c r="J31" s="36">
        <f>+'C&amp;A'!E31*0.02</f>
        <v>10.2256</v>
      </c>
      <c r="K31" s="36">
        <f t="shared" si="3"/>
        <v>6670.9155999999994</v>
      </c>
      <c r="L31" s="36">
        <f t="shared" si="4"/>
        <v>1067.3464959999999</v>
      </c>
      <c r="M31" s="36">
        <f t="shared" si="5"/>
        <v>7738.2620959999995</v>
      </c>
      <c r="O31" s="13" t="s">
        <v>107</v>
      </c>
      <c r="P31" s="13" t="s">
        <v>82</v>
      </c>
      <c r="Q31" s="14" t="s">
        <v>81</v>
      </c>
      <c r="R31" s="18">
        <v>2333.31</v>
      </c>
      <c r="S31" s="24">
        <f>+H31-'C&amp;A'!I31-SINDICATO!L31</f>
        <v>606.12279000000035</v>
      </c>
      <c r="T31" s="23">
        <f>+'C&amp;A'!I31+SINDICATO!L31</f>
        <v>6054.5672099999992</v>
      </c>
      <c r="U31" s="23">
        <f t="shared" si="6"/>
        <v>0</v>
      </c>
      <c r="V31" s="23">
        <f t="shared" si="7"/>
        <v>605.4567209999999</v>
      </c>
      <c r="W31" s="84" t="s">
        <v>122</v>
      </c>
      <c r="X31" s="85" t="s">
        <v>161</v>
      </c>
      <c r="AC31" s="34" t="s">
        <v>122</v>
      </c>
      <c r="AD31" s="49" t="s">
        <v>124</v>
      </c>
      <c r="AE31" s="36">
        <v>511.28</v>
      </c>
      <c r="AF31" s="36">
        <v>0</v>
      </c>
      <c r="AG31" s="36">
        <v>6149.41</v>
      </c>
      <c r="AH31" s="36">
        <v>0</v>
      </c>
      <c r="AI31" s="36">
        <v>0</v>
      </c>
      <c r="AJ31" s="36">
        <v>6660.69</v>
      </c>
      <c r="AK31" s="36">
        <v>0</v>
      </c>
      <c r="AL31" s="36">
        <v>0</v>
      </c>
      <c r="AM31" s="36">
        <v>6660.69</v>
      </c>
      <c r="AN31" s="36">
        <v>1065.7103999999999</v>
      </c>
      <c r="AO31" s="36">
        <v>7726.4003999999995</v>
      </c>
      <c r="AP31" s="36">
        <f>577.4+5477.17</f>
        <v>6054.57</v>
      </c>
      <c r="AQ31" s="36"/>
      <c r="AR31" s="35">
        <v>511.28</v>
      </c>
      <c r="AS31" s="111">
        <f t="shared" si="8"/>
        <v>0</v>
      </c>
    </row>
    <row r="32" spans="1:45" s="35" customFormat="1" ht="15">
      <c r="A32" s="34" t="s">
        <v>162</v>
      </c>
      <c r="B32" s="37" t="s">
        <v>184</v>
      </c>
      <c r="C32" s="36">
        <v>511.28</v>
      </c>
      <c r="D32" s="36">
        <v>0</v>
      </c>
      <c r="E32" s="36">
        <v>2788.77</v>
      </c>
      <c r="F32" s="36">
        <f t="shared" si="0"/>
        <v>0</v>
      </c>
      <c r="G32" s="36">
        <f t="shared" si="1"/>
        <v>0</v>
      </c>
      <c r="H32" s="36">
        <f t="shared" si="2"/>
        <v>3300.05</v>
      </c>
      <c r="I32" s="36">
        <v>330.00500000000005</v>
      </c>
      <c r="J32" s="36">
        <f>+'C&amp;A'!E32*0.02</f>
        <v>10.2256</v>
      </c>
      <c r="K32" s="36">
        <f t="shared" si="3"/>
        <v>3640.2806000000005</v>
      </c>
      <c r="L32" s="36">
        <f t="shared" si="4"/>
        <v>582.44489600000009</v>
      </c>
      <c r="M32" s="36">
        <f t="shared" si="5"/>
        <v>4222.7254960000009</v>
      </c>
      <c r="O32" s="13" t="s">
        <v>97</v>
      </c>
      <c r="P32" s="13" t="s">
        <v>21</v>
      </c>
      <c r="Q32" s="14" t="s">
        <v>98</v>
      </c>
      <c r="R32" s="18">
        <v>1750</v>
      </c>
      <c r="S32" s="24">
        <f>+H32-'C&amp;A'!I32-SINDICATO!L32</f>
        <v>0</v>
      </c>
      <c r="T32" s="23">
        <f>+'C&amp;A'!I32+SINDICATO!L32</f>
        <v>3300.05</v>
      </c>
      <c r="U32" s="23">
        <f t="shared" si="6"/>
        <v>330.00500000000005</v>
      </c>
      <c r="V32" s="23">
        <f t="shared" si="7"/>
        <v>0</v>
      </c>
      <c r="W32" s="84" t="s">
        <v>162</v>
      </c>
      <c r="X32" s="85" t="s">
        <v>163</v>
      </c>
      <c r="AC32" s="34" t="s">
        <v>127</v>
      </c>
      <c r="AD32" s="37" t="s">
        <v>184</v>
      </c>
      <c r="AE32" s="36">
        <v>511.28</v>
      </c>
      <c r="AF32" s="36">
        <v>0</v>
      </c>
      <c r="AG32" s="36">
        <v>2788.77</v>
      </c>
      <c r="AH32" s="36">
        <v>0</v>
      </c>
      <c r="AI32" s="36">
        <v>0</v>
      </c>
      <c r="AJ32" s="36">
        <v>3300.05</v>
      </c>
      <c r="AK32" s="36">
        <v>330.00500000000005</v>
      </c>
      <c r="AL32" s="36">
        <v>0</v>
      </c>
      <c r="AM32" s="36">
        <v>3630.0550000000003</v>
      </c>
      <c r="AN32" s="36">
        <v>580.80880000000002</v>
      </c>
      <c r="AO32" s="36">
        <v>4210.8638000000001</v>
      </c>
      <c r="AP32" s="36">
        <f>577.4+2722.65</f>
        <v>3300.05</v>
      </c>
      <c r="AQ32" s="36"/>
      <c r="AR32" s="35">
        <v>511.28</v>
      </c>
      <c r="AS32" s="111">
        <f t="shared" si="8"/>
        <v>0</v>
      </c>
    </row>
    <row r="33" spans="1:45" s="35" customFormat="1" ht="15">
      <c r="A33" s="34" t="s">
        <v>91</v>
      </c>
      <c r="B33" s="37" t="s">
        <v>176</v>
      </c>
      <c r="C33" s="36">
        <v>511.28</v>
      </c>
      <c r="D33" s="36">
        <v>93.68</v>
      </c>
      <c r="E33" s="36">
        <v>1131.7</v>
      </c>
      <c r="F33" s="36">
        <f t="shared" si="0"/>
        <v>0</v>
      </c>
      <c r="G33" s="36">
        <f t="shared" si="1"/>
        <v>134.6</v>
      </c>
      <c r="H33" s="36">
        <f t="shared" si="2"/>
        <v>1736.66</v>
      </c>
      <c r="I33" s="36">
        <v>160.20600000000005</v>
      </c>
      <c r="J33" s="36">
        <f>+'C&amp;A'!E33*0.02</f>
        <v>10.2256</v>
      </c>
      <c r="K33" s="36">
        <f t="shared" si="3"/>
        <v>1907.0916000000002</v>
      </c>
      <c r="L33" s="36">
        <f t="shared" si="4"/>
        <v>305.13465600000006</v>
      </c>
      <c r="M33" s="36">
        <f t="shared" si="5"/>
        <v>2212.2262560000004</v>
      </c>
      <c r="O33" s="13" t="s">
        <v>102</v>
      </c>
      <c r="P33" s="13" t="s">
        <v>79</v>
      </c>
      <c r="Q33" s="14" t="s">
        <v>103</v>
      </c>
      <c r="R33" s="18">
        <v>1166.6600000000001</v>
      </c>
      <c r="S33" s="24">
        <f>+H33-'C&amp;A'!I33-SINDICATO!L33</f>
        <v>134.59999999999991</v>
      </c>
      <c r="T33" s="23">
        <f>+'C&amp;A'!I33+SINDICATO!L33</f>
        <v>1602.0600000000004</v>
      </c>
      <c r="U33" s="23">
        <f t="shared" si="6"/>
        <v>160.20600000000005</v>
      </c>
      <c r="V33" s="23">
        <f t="shared" si="7"/>
        <v>0</v>
      </c>
      <c r="W33" s="84" t="s">
        <v>91</v>
      </c>
      <c r="X33" s="85" t="s">
        <v>170</v>
      </c>
      <c r="AC33" s="34" t="s">
        <v>91</v>
      </c>
      <c r="AD33" s="37" t="s">
        <v>176</v>
      </c>
      <c r="AE33" s="36">
        <v>511.28</v>
      </c>
      <c r="AF33" s="36">
        <v>93.68</v>
      </c>
      <c r="AG33" s="36">
        <v>1131.7</v>
      </c>
      <c r="AH33" s="36">
        <v>0</v>
      </c>
      <c r="AI33" s="36">
        <v>-134.6</v>
      </c>
      <c r="AJ33" s="36">
        <v>1602.0600000000002</v>
      </c>
      <c r="AK33" s="36">
        <v>160.20600000000002</v>
      </c>
      <c r="AL33" s="36">
        <v>0</v>
      </c>
      <c r="AM33" s="36">
        <v>1762.2660000000001</v>
      </c>
      <c r="AN33" s="36">
        <v>281.96256</v>
      </c>
      <c r="AO33" s="36">
        <v>2044.22856</v>
      </c>
      <c r="AP33" s="36">
        <f>577.4+1024.66</f>
        <v>1602.06</v>
      </c>
      <c r="AQ33" s="36"/>
      <c r="AR33" s="35">
        <v>511.28</v>
      </c>
      <c r="AS33" s="111">
        <f t="shared" si="8"/>
        <v>0</v>
      </c>
    </row>
    <row r="34" spans="1:45" s="35" customFormat="1" ht="15">
      <c r="A34" s="34" t="s">
        <v>128</v>
      </c>
      <c r="B34" s="37" t="s">
        <v>182</v>
      </c>
      <c r="C34" s="36">
        <v>511.28</v>
      </c>
      <c r="D34" s="36">
        <v>0</v>
      </c>
      <c r="E34" s="36">
        <v>748.21</v>
      </c>
      <c r="F34" s="36">
        <f t="shared" si="0"/>
        <v>-552.17999999999995</v>
      </c>
      <c r="G34" s="36">
        <f t="shared" si="1"/>
        <v>641.65</v>
      </c>
      <c r="H34" s="36">
        <f>+C34+D34+E34+F34</f>
        <v>707.31000000000006</v>
      </c>
      <c r="I34" s="36">
        <v>6.5660000000000043</v>
      </c>
      <c r="J34" s="36">
        <f>+'C&amp;A'!E34*0.02</f>
        <v>1.1156000000000001</v>
      </c>
      <c r="K34" s="36">
        <f t="shared" si="3"/>
        <v>714.99160000000006</v>
      </c>
      <c r="L34" s="36">
        <f t="shared" si="4"/>
        <v>114.39865600000002</v>
      </c>
      <c r="M34" s="36">
        <f t="shared" si="5"/>
        <v>829.39025600000014</v>
      </c>
      <c r="O34" s="13" t="s">
        <v>118</v>
      </c>
      <c r="P34" s="13" t="s">
        <v>119</v>
      </c>
      <c r="Q34" s="14" t="s">
        <v>104</v>
      </c>
      <c r="R34" s="18">
        <v>511.28</v>
      </c>
      <c r="S34" s="24">
        <f>+H34-'C&amp;A'!I34-SINDICATO!L34</f>
        <v>641.65</v>
      </c>
      <c r="T34" s="23">
        <f>+'C&amp;A'!I34+SINDICATO!L34</f>
        <v>65.660000000000039</v>
      </c>
      <c r="U34" s="23">
        <f t="shared" si="6"/>
        <v>6.5660000000000043</v>
      </c>
      <c r="V34" s="23">
        <f t="shared" si="7"/>
        <v>0</v>
      </c>
      <c r="W34" s="84" t="s">
        <v>128</v>
      </c>
      <c r="X34" s="85" t="s">
        <v>171</v>
      </c>
      <c r="AC34" s="34" t="s">
        <v>128</v>
      </c>
      <c r="AD34" s="37" t="s">
        <v>182</v>
      </c>
      <c r="AE34" s="36">
        <v>511.28</v>
      </c>
      <c r="AF34" s="36">
        <v>0</v>
      </c>
      <c r="AG34" s="36">
        <v>748.21</v>
      </c>
      <c r="AH34" s="36">
        <v>-552.17999999999995</v>
      </c>
      <c r="AI34" s="36">
        <v>-641.65</v>
      </c>
      <c r="AJ34" s="36">
        <v>65.660000000000082</v>
      </c>
      <c r="AK34" s="36">
        <v>6.5660000000000087</v>
      </c>
      <c r="AL34" s="36">
        <v>0</v>
      </c>
      <c r="AM34" s="36">
        <v>72.226000000000084</v>
      </c>
      <c r="AN34" s="36">
        <v>11.556160000000014</v>
      </c>
      <c r="AO34" s="36">
        <v>83.782160000000104</v>
      </c>
      <c r="AP34" s="36">
        <f>61.2+4.46</f>
        <v>65.66</v>
      </c>
      <c r="AQ34" s="36"/>
      <c r="AR34" s="35">
        <v>511.28</v>
      </c>
      <c r="AS34" s="111">
        <f t="shared" si="8"/>
        <v>0</v>
      </c>
    </row>
    <row r="35" spans="1:45" s="35" customFormat="1" ht="15">
      <c r="A35" s="34" t="s">
        <v>129</v>
      </c>
      <c r="B35" s="37" t="s">
        <v>185</v>
      </c>
      <c r="C35" s="36">
        <v>511.28</v>
      </c>
      <c r="D35" s="36">
        <v>93.68</v>
      </c>
      <c r="E35" s="36">
        <v>2964.49</v>
      </c>
      <c r="F35" s="36">
        <f t="shared" si="0"/>
        <v>0</v>
      </c>
      <c r="G35" s="36">
        <f t="shared" si="1"/>
        <v>0</v>
      </c>
      <c r="H35" s="36">
        <f t="shared" si="2"/>
        <v>3569.45</v>
      </c>
      <c r="I35" s="36">
        <v>356.94499999999999</v>
      </c>
      <c r="J35" s="36">
        <f>+'C&amp;A'!E35*0.02</f>
        <v>10.2256</v>
      </c>
      <c r="K35" s="36">
        <f t="shared" si="3"/>
        <v>3936.6206000000002</v>
      </c>
      <c r="L35" s="36">
        <f t="shared" si="4"/>
        <v>629.85929600000009</v>
      </c>
      <c r="M35" s="36">
        <f t="shared" si="5"/>
        <v>4566.4798960000007</v>
      </c>
      <c r="O35" s="13" t="s">
        <v>123</v>
      </c>
      <c r="P35" s="13" t="s">
        <v>125</v>
      </c>
      <c r="Q35" s="14" t="s">
        <v>104</v>
      </c>
      <c r="R35" s="18">
        <v>511.28</v>
      </c>
      <c r="S35" s="24">
        <f>+H35-'C&amp;A'!I35-SINDICATO!L35</f>
        <v>0</v>
      </c>
      <c r="T35" s="23">
        <f>+'C&amp;A'!I35+SINDICATO!L35</f>
        <v>3569.45</v>
      </c>
      <c r="U35" s="23">
        <f t="shared" si="6"/>
        <v>356.94499999999999</v>
      </c>
      <c r="V35" s="23">
        <f t="shared" si="7"/>
        <v>0</v>
      </c>
      <c r="W35" s="84" t="s">
        <v>129</v>
      </c>
      <c r="X35" s="85" t="s">
        <v>172</v>
      </c>
      <c r="AC35" s="34" t="s">
        <v>129</v>
      </c>
      <c r="AD35" s="37" t="s">
        <v>185</v>
      </c>
      <c r="AE35" s="36">
        <v>511.28</v>
      </c>
      <c r="AF35" s="36">
        <v>93.68</v>
      </c>
      <c r="AG35" s="36">
        <v>2964.49</v>
      </c>
      <c r="AH35" s="36">
        <v>0</v>
      </c>
      <c r="AI35" s="36">
        <v>0</v>
      </c>
      <c r="AJ35" s="36">
        <v>3569.45</v>
      </c>
      <c r="AK35" s="36">
        <v>356.94499999999999</v>
      </c>
      <c r="AL35" s="36">
        <v>0</v>
      </c>
      <c r="AM35" s="36">
        <v>3926.395</v>
      </c>
      <c r="AN35" s="36">
        <v>628.22320000000002</v>
      </c>
      <c r="AO35" s="36">
        <v>4554.6181999999999</v>
      </c>
      <c r="AP35" s="36">
        <f>577.2+2992.25</f>
        <v>3569.45</v>
      </c>
      <c r="AQ35" s="36"/>
      <c r="AR35" s="35">
        <v>511.28</v>
      </c>
      <c r="AS35" s="111">
        <f t="shared" si="8"/>
        <v>0</v>
      </c>
    </row>
    <row r="36" spans="1:45" s="35" customFormat="1" ht="15">
      <c r="A36" s="34"/>
      <c r="B36" s="34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O36" s="47"/>
      <c r="P36" s="47"/>
      <c r="Q36" s="48"/>
      <c r="R36" s="23"/>
      <c r="S36" s="23"/>
      <c r="T36" s="23"/>
      <c r="U36" s="23"/>
      <c r="V36" s="23"/>
      <c r="AC36" s="34"/>
      <c r="AD36" s="34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</row>
    <row r="37" spans="1:45" s="35" customFormat="1" ht="15.75" thickBot="1">
      <c r="A37" s="40" t="s">
        <v>18</v>
      </c>
      <c r="B37" s="34"/>
      <c r="C37" s="41">
        <f>SUM(C10:C35)</f>
        <v>20197.109999999997</v>
      </c>
      <c r="D37" s="41">
        <f t="shared" ref="D37:M37" si="9">SUM(D10:D35)</f>
        <v>1030.2800000000002</v>
      </c>
      <c r="E37" s="41">
        <f t="shared" si="9"/>
        <v>80050.780000000013</v>
      </c>
      <c r="F37" s="41">
        <f t="shared" si="9"/>
        <v>-1166.6099999999999</v>
      </c>
      <c r="G37" s="41">
        <f t="shared" si="9"/>
        <v>3265.2600000000007</v>
      </c>
      <c r="H37" s="41">
        <f t="shared" si="9"/>
        <v>100111.56</v>
      </c>
      <c r="I37" s="41">
        <f t="shared" si="9"/>
        <v>4055.7210000000005</v>
      </c>
      <c r="J37" s="41">
        <f t="shared" si="9"/>
        <v>241.41719999999992</v>
      </c>
      <c r="K37" s="41">
        <f t="shared" si="9"/>
        <v>104408.69819999998</v>
      </c>
      <c r="L37" s="41">
        <f t="shared" si="9"/>
        <v>16705.391711999997</v>
      </c>
      <c r="M37" s="41">
        <f t="shared" si="9"/>
        <v>121114.08991200001</v>
      </c>
      <c r="N37" s="38"/>
      <c r="S37" s="78">
        <f>SUM(S10:S36)</f>
        <v>8393.4472899999982</v>
      </c>
      <c r="AC37" s="40" t="s">
        <v>18</v>
      </c>
      <c r="AD37" s="34"/>
      <c r="AE37" s="41">
        <f t="shared" ref="AE37:AO37" si="10">SUM(AE10:AE35)</f>
        <v>20197.109999999997</v>
      </c>
      <c r="AF37" s="41">
        <f t="shared" si="10"/>
        <v>1030.2800000000002</v>
      </c>
      <c r="AG37" s="41">
        <f t="shared" si="10"/>
        <v>80050.780000000013</v>
      </c>
      <c r="AH37" s="41">
        <f t="shared" si="10"/>
        <v>-1166.6099999999999</v>
      </c>
      <c r="AI37" s="41">
        <f t="shared" si="10"/>
        <v>-3265.2600000000007</v>
      </c>
      <c r="AJ37" s="41">
        <f t="shared" si="10"/>
        <v>96846.3</v>
      </c>
      <c r="AK37" s="41">
        <f t="shared" si="10"/>
        <v>4055.7210000000005</v>
      </c>
      <c r="AL37" s="41">
        <f t="shared" si="10"/>
        <v>0</v>
      </c>
      <c r="AM37" s="41">
        <f t="shared" si="10"/>
        <v>100902.02099999999</v>
      </c>
      <c r="AN37" s="41">
        <f t="shared" si="10"/>
        <v>16144.323360000004</v>
      </c>
      <c r="AO37" s="41">
        <f t="shared" si="10"/>
        <v>117046.34435999999</v>
      </c>
      <c r="AP37" s="113"/>
      <c r="AQ37" s="113"/>
    </row>
    <row r="38" spans="1:45" s="35" customFormat="1" ht="15" thickTop="1">
      <c r="A38" s="34"/>
      <c r="B38" s="3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39"/>
      <c r="W38" s="87"/>
      <c r="X38" s="88"/>
      <c r="AC38" s="34"/>
      <c r="AD38" s="39"/>
    </row>
    <row r="39" spans="1:45" s="35" customFormat="1">
      <c r="A39" s="34"/>
      <c r="C39" s="35" t="s">
        <v>19</v>
      </c>
      <c r="D39" s="103"/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S39" s="78">
        <f>+G37+SINDICATO!I38</f>
        <v>8393.4472900000019</v>
      </c>
      <c r="W39" s="101" t="s">
        <v>18</v>
      </c>
      <c r="X39" s="85" t="s">
        <v>19</v>
      </c>
      <c r="AC39" s="34"/>
      <c r="AE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</row>
    <row r="40" spans="1:45" s="35" customFormat="1">
      <c r="A40" s="34" t="s">
        <v>19</v>
      </c>
      <c r="C40" s="42"/>
      <c r="D40" s="42"/>
      <c r="E40" s="42"/>
      <c r="F40" s="42"/>
      <c r="G40" s="42"/>
      <c r="H40" s="102"/>
      <c r="I40" s="42"/>
      <c r="J40" s="42"/>
      <c r="K40" s="42"/>
      <c r="L40" s="42"/>
      <c r="M40" s="42"/>
      <c r="S40" s="103">
        <f>+S37-S39</f>
        <v>0</v>
      </c>
      <c r="AC40" s="34" t="s">
        <v>19</v>
      </c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</row>
    <row r="41" spans="1:45" s="35" customFormat="1" ht="15">
      <c r="A41" s="34"/>
      <c r="B41" s="35" t="s">
        <v>19</v>
      </c>
      <c r="H41" s="79"/>
      <c r="W41" s="49"/>
      <c r="X41" s="49"/>
      <c r="AC41" s="34"/>
      <c r="AD41" s="35" t="s">
        <v>19</v>
      </c>
    </row>
    <row r="42" spans="1:45" s="35" customFormat="1">
      <c r="A42" s="34"/>
      <c r="H42" s="79"/>
      <c r="W42" s="84" t="s">
        <v>19</v>
      </c>
      <c r="X42" s="85" t="s">
        <v>19</v>
      </c>
      <c r="AC42" s="34"/>
    </row>
    <row r="43" spans="1:45" s="35" customFormat="1">
      <c r="A43" s="34"/>
      <c r="AC43" s="34"/>
    </row>
    <row r="44" spans="1:45" s="35" customFormat="1">
      <c r="A44" s="34"/>
      <c r="W44" s="84" t="s">
        <v>137</v>
      </c>
      <c r="X44" s="85" t="s">
        <v>138</v>
      </c>
      <c r="AC44" s="34"/>
    </row>
    <row r="45" spans="1:45" s="35" customFormat="1">
      <c r="A45" s="34"/>
      <c r="W45" s="84" t="s">
        <v>26</v>
      </c>
      <c r="X45" s="85" t="s">
        <v>15</v>
      </c>
      <c r="AC45" s="34"/>
    </row>
    <row r="46" spans="1:45" s="35" customFormat="1">
      <c r="A46" s="34"/>
      <c r="W46" s="84" t="s">
        <v>160</v>
      </c>
      <c r="X46" s="85" t="s">
        <v>16</v>
      </c>
      <c r="AC46" s="34"/>
    </row>
    <row r="47" spans="1:45" s="35" customFormat="1">
      <c r="A47" s="34"/>
      <c r="W47" s="84" t="s">
        <v>164</v>
      </c>
      <c r="X47" s="85" t="s">
        <v>165</v>
      </c>
      <c r="AC47" s="34"/>
    </row>
    <row r="48" spans="1:45" s="35" customFormat="1">
      <c r="A48" s="34"/>
      <c r="W48" s="84" t="s">
        <v>166</v>
      </c>
      <c r="X48" s="85" t="s">
        <v>167</v>
      </c>
      <c r="AC48" s="32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</row>
    <row r="49" spans="1:43" s="35" customFormat="1">
      <c r="A49" s="34"/>
      <c r="W49" s="84" t="s">
        <v>168</v>
      </c>
      <c r="X49" s="85" t="s">
        <v>169</v>
      </c>
      <c r="AC49" s="32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</row>
    <row r="50" spans="1:43" s="35" customFormat="1">
      <c r="A50" s="34"/>
      <c r="AC50" s="32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</row>
    <row r="52" spans="1:43" ht="15">
      <c r="X52" s="71" t="s">
        <v>188</v>
      </c>
    </row>
    <row r="53" spans="1:43" ht="15">
      <c r="X53" s="70" t="s">
        <v>189</v>
      </c>
    </row>
    <row r="54" spans="1:43" ht="15">
      <c r="X54" s="70" t="s">
        <v>190</v>
      </c>
    </row>
    <row r="55" spans="1:43" ht="15">
      <c r="X55" s="72" t="s">
        <v>191</v>
      </c>
    </row>
    <row r="56" spans="1:43" ht="15">
      <c r="X56" s="72" t="s">
        <v>192</v>
      </c>
    </row>
  </sheetData>
  <sortState ref="AC10:AO35">
    <sortCondition ref="AD10:AD35"/>
  </sortState>
  <mergeCells count="3">
    <mergeCell ref="B1:C1"/>
    <mergeCell ref="AD1:AE1"/>
    <mergeCell ref="AD3:AE3"/>
  </mergeCells>
  <conditionalFormatting sqref="AS10:AS35">
    <cfRule type="cellIs" dxfId="0" priority="1" operator="greaterThan">
      <formula>"$-"</formula>
    </cfRule>
  </conditionalFormatting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0"/>
  <sheetViews>
    <sheetView workbookViewId="0">
      <pane xSplit="1" ySplit="8" topLeftCell="B9" activePane="bottomRight" state="frozen"/>
      <selection activeCell="B4" sqref="B4"/>
      <selection pane="topRight" activeCell="B4" sqref="B4"/>
      <selection pane="bottomLeft" activeCell="B4" sqref="B4"/>
      <selection pane="bottomRight" activeCell="C34" sqref="C34"/>
    </sheetView>
  </sheetViews>
  <sheetFormatPr baseColWidth="10" defaultRowHeight="11.25"/>
  <cols>
    <col min="1" max="1" width="12.28515625" style="3" customWidth="1"/>
    <col min="2" max="2" width="30.7109375" style="2" customWidth="1"/>
    <col min="3" max="3" width="13" style="2" bestFit="1" customWidth="1"/>
    <col min="4" max="4" width="13" style="54" customWidth="1"/>
    <col min="5" max="5" width="13.5703125" style="2" bestFit="1" customWidth="1"/>
    <col min="6" max="9" width="13" style="2" bestFit="1" customWidth="1"/>
    <col min="10" max="16384" width="11.42578125" style="2"/>
  </cols>
  <sheetData>
    <row r="1" spans="1:9" ht="18" customHeight="1">
      <c r="A1" s="4" t="s">
        <v>0</v>
      </c>
      <c r="B1" s="117" t="s">
        <v>19</v>
      </c>
      <c r="C1" s="118"/>
      <c r="D1" s="59"/>
    </row>
    <row r="2" spans="1:9" ht="24.95" customHeight="1">
      <c r="A2" s="5" t="s">
        <v>1</v>
      </c>
      <c r="B2" s="10" t="s">
        <v>2</v>
      </c>
      <c r="C2" s="10"/>
      <c r="D2" s="10"/>
    </row>
    <row r="3" spans="1:9" ht="15">
      <c r="B3" s="92" t="s">
        <v>3</v>
      </c>
      <c r="C3" s="92"/>
      <c r="D3" s="92"/>
    </row>
    <row r="4" spans="1:9" ht="12.75">
      <c r="B4" s="12" t="s">
        <v>130</v>
      </c>
      <c r="C4" s="12"/>
      <c r="D4" s="12"/>
    </row>
    <row r="5" spans="1:9" ht="15">
      <c r="B5" s="83" t="s">
        <v>4</v>
      </c>
      <c r="C5" s="80"/>
      <c r="D5" s="80"/>
    </row>
    <row r="6" spans="1:9" ht="15">
      <c r="B6" s="83" t="s">
        <v>5</v>
      </c>
      <c r="C6" s="80"/>
      <c r="D6" s="80"/>
    </row>
    <row r="8" spans="1:9" s="6" customFormat="1" ht="23.25" thickBot="1">
      <c r="A8" s="7" t="s">
        <v>6</v>
      </c>
      <c r="B8" s="8" t="s">
        <v>7</v>
      </c>
      <c r="C8" s="65" t="s">
        <v>8</v>
      </c>
      <c r="D8" s="65" t="s">
        <v>131</v>
      </c>
      <c r="E8" s="66" t="s">
        <v>9</v>
      </c>
      <c r="F8" s="65" t="s">
        <v>10</v>
      </c>
      <c r="G8" s="65" t="s">
        <v>11</v>
      </c>
      <c r="H8" s="66" t="s">
        <v>12</v>
      </c>
      <c r="I8" s="67" t="s">
        <v>13</v>
      </c>
    </row>
    <row r="9" spans="1:9" s="85" customFormat="1" ht="12" thickTop="1">
      <c r="A9" s="84"/>
    </row>
    <row r="10" spans="1:9" s="85" customFormat="1">
      <c r="A10" s="84" t="s">
        <v>93</v>
      </c>
      <c r="B10" s="85" t="s">
        <v>132</v>
      </c>
      <c r="C10" s="86">
        <v>438.24</v>
      </c>
      <c r="D10" s="86">
        <v>73.040000000000006</v>
      </c>
      <c r="E10" s="79">
        <f>SUM(C10:D10)</f>
        <v>511.28000000000003</v>
      </c>
      <c r="F10" s="79">
        <v>-66.069999999999993</v>
      </c>
      <c r="G10" s="79">
        <v>-0.05</v>
      </c>
      <c r="H10" s="79">
        <f>SUM(F10:G10)</f>
        <v>-66.11999999999999</v>
      </c>
      <c r="I10" s="79">
        <f>+E10-H10</f>
        <v>577.4</v>
      </c>
    </row>
    <row r="11" spans="1:9" s="85" customFormat="1">
      <c r="A11" s="84" t="s">
        <v>95</v>
      </c>
      <c r="B11" s="85" t="s">
        <v>133</v>
      </c>
      <c r="C11" s="86">
        <v>438.24</v>
      </c>
      <c r="D11" s="86">
        <v>73.040000000000006</v>
      </c>
      <c r="E11" s="79">
        <f t="shared" ref="E11:E35" si="0">SUM(C11:D11)</f>
        <v>511.28000000000003</v>
      </c>
      <c r="F11" s="79">
        <v>-66.069999999999993</v>
      </c>
      <c r="G11" s="79">
        <v>-0.05</v>
      </c>
      <c r="H11" s="79">
        <f t="shared" ref="H11:H35" si="1">SUM(F11:G11)</f>
        <v>-66.11999999999999</v>
      </c>
      <c r="I11" s="79">
        <f t="shared" ref="I11:I35" si="2">+E11-H11</f>
        <v>577.4</v>
      </c>
    </row>
    <row r="12" spans="1:9" s="85" customFormat="1">
      <c r="A12" s="84" t="s">
        <v>96</v>
      </c>
      <c r="B12" s="85" t="s">
        <v>134</v>
      </c>
      <c r="C12" s="86">
        <v>438.24</v>
      </c>
      <c r="D12" s="86">
        <v>73.040000000000006</v>
      </c>
      <c r="E12" s="79">
        <f t="shared" si="0"/>
        <v>511.28000000000003</v>
      </c>
      <c r="F12" s="79">
        <v>-66.069999999999993</v>
      </c>
      <c r="G12" s="79">
        <v>-0.05</v>
      </c>
      <c r="H12" s="79">
        <f t="shared" si="1"/>
        <v>-66.11999999999999</v>
      </c>
      <c r="I12" s="79">
        <f t="shared" si="2"/>
        <v>577.4</v>
      </c>
    </row>
    <row r="13" spans="1:9" s="85" customFormat="1">
      <c r="A13" s="84" t="s">
        <v>92</v>
      </c>
      <c r="B13" s="85" t="s">
        <v>135</v>
      </c>
      <c r="C13" s="86">
        <v>219.12</v>
      </c>
      <c r="D13" s="86">
        <v>36.520000000000003</v>
      </c>
      <c r="E13" s="79">
        <f t="shared" si="0"/>
        <v>255.64000000000001</v>
      </c>
      <c r="F13" s="79">
        <f>-66.07/7*4</f>
        <v>-37.754285714285707</v>
      </c>
      <c r="G13" s="79">
        <v>-0.01</v>
      </c>
      <c r="H13" s="79">
        <f t="shared" si="1"/>
        <v>-37.764285714285705</v>
      </c>
      <c r="I13" s="79">
        <f t="shared" si="2"/>
        <v>293.40428571428572</v>
      </c>
    </row>
    <row r="14" spans="1:9" s="85" customFormat="1">
      <c r="A14" s="84" t="s">
        <v>87</v>
      </c>
      <c r="B14" s="85" t="s">
        <v>136</v>
      </c>
      <c r="C14" s="86">
        <v>438.24</v>
      </c>
      <c r="D14" s="86">
        <v>73.040000000000006</v>
      </c>
      <c r="E14" s="79">
        <f t="shared" si="0"/>
        <v>511.28000000000003</v>
      </c>
      <c r="F14" s="79">
        <v>-66.069999999999993</v>
      </c>
      <c r="G14" s="79">
        <v>-0.05</v>
      </c>
      <c r="H14" s="79">
        <f t="shared" si="1"/>
        <v>-66.11999999999999</v>
      </c>
      <c r="I14" s="79">
        <f t="shared" si="2"/>
        <v>577.4</v>
      </c>
    </row>
    <row r="15" spans="1:9" s="85" customFormat="1">
      <c r="A15" s="84" t="s">
        <v>108</v>
      </c>
      <c r="B15" s="85" t="s">
        <v>139</v>
      </c>
      <c r="C15" s="86">
        <v>438.24</v>
      </c>
      <c r="D15" s="86">
        <v>73.040000000000006</v>
      </c>
      <c r="E15" s="79">
        <f t="shared" si="0"/>
        <v>511.28000000000003</v>
      </c>
      <c r="F15" s="79">
        <v>-66.069999999999993</v>
      </c>
      <c r="G15" s="79">
        <v>-0.05</v>
      </c>
      <c r="H15" s="79">
        <f t="shared" si="1"/>
        <v>-66.11999999999999</v>
      </c>
      <c r="I15" s="79">
        <f t="shared" si="2"/>
        <v>577.4</v>
      </c>
    </row>
    <row r="16" spans="1:9" s="85" customFormat="1">
      <c r="A16" s="84" t="s">
        <v>109</v>
      </c>
      <c r="B16" s="85" t="s">
        <v>140</v>
      </c>
      <c r="C16" s="86">
        <v>292.16000000000003</v>
      </c>
      <c r="D16" s="86">
        <v>48.69</v>
      </c>
      <c r="E16" s="79">
        <f t="shared" si="0"/>
        <v>340.85</v>
      </c>
      <c r="F16" s="79">
        <f>-66.07/7*5</f>
        <v>-47.192857142857136</v>
      </c>
      <c r="G16" s="79">
        <v>0.04</v>
      </c>
      <c r="H16" s="79">
        <f t="shared" si="1"/>
        <v>-47.152857142857137</v>
      </c>
      <c r="I16" s="79">
        <f t="shared" si="2"/>
        <v>388.00285714285718</v>
      </c>
    </row>
    <row r="17" spans="1:9" s="85" customFormat="1">
      <c r="A17" s="84" t="s">
        <v>141</v>
      </c>
      <c r="B17" s="85" t="s">
        <v>142</v>
      </c>
      <c r="C17" s="86">
        <v>438.24</v>
      </c>
      <c r="D17" s="86">
        <v>73.040000000000006</v>
      </c>
      <c r="E17" s="79">
        <f t="shared" si="0"/>
        <v>511.28000000000003</v>
      </c>
      <c r="F17" s="79">
        <v>-66.069999999999993</v>
      </c>
      <c r="G17" s="79">
        <v>-0.05</v>
      </c>
      <c r="H17" s="79">
        <f t="shared" si="1"/>
        <v>-66.11999999999999</v>
      </c>
      <c r="I17" s="79">
        <f t="shared" si="2"/>
        <v>577.4</v>
      </c>
    </row>
    <row r="18" spans="1:9" s="85" customFormat="1">
      <c r="A18" s="84" t="s">
        <v>110</v>
      </c>
      <c r="B18" s="85" t="s">
        <v>143</v>
      </c>
      <c r="C18" s="86">
        <v>438.24</v>
      </c>
      <c r="D18" s="86">
        <v>73.040000000000006</v>
      </c>
      <c r="E18" s="79">
        <f t="shared" si="0"/>
        <v>511.28000000000003</v>
      </c>
      <c r="F18" s="79">
        <v>-66.069999999999993</v>
      </c>
      <c r="G18" s="79">
        <v>-0.05</v>
      </c>
      <c r="H18" s="79">
        <f t="shared" si="1"/>
        <v>-66.11999999999999</v>
      </c>
      <c r="I18" s="79">
        <f t="shared" si="2"/>
        <v>577.4</v>
      </c>
    </row>
    <row r="19" spans="1:9" s="85" customFormat="1">
      <c r="A19" s="84" t="s">
        <v>89</v>
      </c>
      <c r="B19" s="85" t="s">
        <v>144</v>
      </c>
      <c r="C19" s="86">
        <v>438.24</v>
      </c>
      <c r="D19" s="86">
        <v>73.040000000000006</v>
      </c>
      <c r="E19" s="79">
        <f t="shared" si="0"/>
        <v>511.28000000000003</v>
      </c>
      <c r="F19" s="79">
        <v>-66.069999999999993</v>
      </c>
      <c r="G19" s="79">
        <v>-0.05</v>
      </c>
      <c r="H19" s="79">
        <f t="shared" si="1"/>
        <v>-66.11999999999999</v>
      </c>
      <c r="I19" s="79">
        <f t="shared" si="2"/>
        <v>577.4</v>
      </c>
    </row>
    <row r="20" spans="1:9" s="85" customFormat="1">
      <c r="A20" s="84" t="s">
        <v>145</v>
      </c>
      <c r="B20" s="85" t="s">
        <v>146</v>
      </c>
      <c r="C20" s="86">
        <v>438.24</v>
      </c>
      <c r="D20" s="86">
        <v>73.040000000000006</v>
      </c>
      <c r="E20" s="79">
        <f t="shared" si="0"/>
        <v>511.28000000000003</v>
      </c>
      <c r="F20" s="79">
        <v>-66.069999999999993</v>
      </c>
      <c r="G20" s="79">
        <v>-0.05</v>
      </c>
      <c r="H20" s="79">
        <f t="shared" si="1"/>
        <v>-66.11999999999999</v>
      </c>
      <c r="I20" s="79">
        <f t="shared" si="2"/>
        <v>577.4</v>
      </c>
    </row>
    <row r="21" spans="1:9" s="85" customFormat="1">
      <c r="A21" s="84" t="s">
        <v>114</v>
      </c>
      <c r="B21" s="85" t="s">
        <v>147</v>
      </c>
      <c r="C21" s="86">
        <v>438.24</v>
      </c>
      <c r="D21" s="86">
        <v>73.040000000000006</v>
      </c>
      <c r="E21" s="79">
        <f t="shared" si="0"/>
        <v>511.28000000000003</v>
      </c>
      <c r="F21" s="79">
        <v>-66.069999999999993</v>
      </c>
      <c r="G21" s="79">
        <v>-0.05</v>
      </c>
      <c r="H21" s="79">
        <f t="shared" si="1"/>
        <v>-66.11999999999999</v>
      </c>
      <c r="I21" s="79">
        <f t="shared" si="2"/>
        <v>577.4</v>
      </c>
    </row>
    <row r="22" spans="1:9" s="85" customFormat="1">
      <c r="A22" s="84" t="s">
        <v>112</v>
      </c>
      <c r="B22" s="85" t="s">
        <v>148</v>
      </c>
      <c r="C22" s="86">
        <v>438.24</v>
      </c>
      <c r="D22" s="86">
        <v>73.040000000000006</v>
      </c>
      <c r="E22" s="79">
        <f t="shared" si="0"/>
        <v>511.28000000000003</v>
      </c>
      <c r="F22" s="79">
        <v>-66.069999999999993</v>
      </c>
      <c r="G22" s="79">
        <v>-0.05</v>
      </c>
      <c r="H22" s="79">
        <f t="shared" si="1"/>
        <v>-66.11999999999999</v>
      </c>
      <c r="I22" s="79">
        <f t="shared" si="2"/>
        <v>577.4</v>
      </c>
    </row>
    <row r="23" spans="1:9" s="85" customFormat="1">
      <c r="A23" s="84" t="s">
        <v>113</v>
      </c>
      <c r="B23" s="85" t="s">
        <v>149</v>
      </c>
      <c r="C23" s="86">
        <v>438.24</v>
      </c>
      <c r="D23" s="86">
        <v>73.040000000000006</v>
      </c>
      <c r="E23" s="79">
        <f t="shared" si="0"/>
        <v>511.28000000000003</v>
      </c>
      <c r="F23" s="79">
        <v>-66.069999999999993</v>
      </c>
      <c r="G23" s="79">
        <v>-0.05</v>
      </c>
      <c r="H23" s="79">
        <f t="shared" si="1"/>
        <v>-66.11999999999999</v>
      </c>
      <c r="I23" s="79">
        <f t="shared" si="2"/>
        <v>577.4</v>
      </c>
    </row>
    <row r="24" spans="1:9" s="85" customFormat="1">
      <c r="A24" s="84" t="s">
        <v>111</v>
      </c>
      <c r="B24" s="85" t="s">
        <v>150</v>
      </c>
      <c r="C24" s="86">
        <v>219.12</v>
      </c>
      <c r="D24" s="86">
        <v>36.520000000000003</v>
      </c>
      <c r="E24" s="79">
        <f t="shared" si="0"/>
        <v>255.64000000000001</v>
      </c>
      <c r="F24" s="79">
        <f>-66.07/7*4</f>
        <v>-37.754285714285707</v>
      </c>
      <c r="G24" s="79">
        <v>-0.01</v>
      </c>
      <c r="H24" s="79">
        <f t="shared" si="1"/>
        <v>-37.764285714285705</v>
      </c>
      <c r="I24" s="79">
        <f t="shared" si="2"/>
        <v>293.40428571428572</v>
      </c>
    </row>
    <row r="25" spans="1:9" s="85" customFormat="1">
      <c r="A25" s="84" t="s">
        <v>151</v>
      </c>
      <c r="B25" s="85" t="s">
        <v>152</v>
      </c>
      <c r="C25" s="86">
        <v>438.24</v>
      </c>
      <c r="D25" s="86">
        <v>73.040000000000006</v>
      </c>
      <c r="E25" s="79">
        <f t="shared" si="0"/>
        <v>511.28000000000003</v>
      </c>
      <c r="F25" s="79">
        <v>-66.069999999999993</v>
      </c>
      <c r="G25" s="79">
        <v>-0.05</v>
      </c>
      <c r="H25" s="79">
        <f t="shared" si="1"/>
        <v>-66.11999999999999</v>
      </c>
      <c r="I25" s="79">
        <f t="shared" si="2"/>
        <v>577.4</v>
      </c>
    </row>
    <row r="26" spans="1:9" s="85" customFormat="1">
      <c r="A26" s="84" t="s">
        <v>153</v>
      </c>
      <c r="B26" s="85" t="s">
        <v>154</v>
      </c>
      <c r="C26" s="86">
        <v>438.24</v>
      </c>
      <c r="D26" s="86">
        <v>73.040000000000006</v>
      </c>
      <c r="E26" s="79">
        <f t="shared" si="0"/>
        <v>511.28000000000003</v>
      </c>
      <c r="F26" s="79">
        <v>-66.069999999999993</v>
      </c>
      <c r="G26" s="79">
        <v>-0.05</v>
      </c>
      <c r="H26" s="79">
        <f t="shared" si="1"/>
        <v>-66.11999999999999</v>
      </c>
      <c r="I26" s="79">
        <f t="shared" si="2"/>
        <v>577.4</v>
      </c>
    </row>
    <row r="27" spans="1:9" s="85" customFormat="1">
      <c r="A27" s="84" t="s">
        <v>115</v>
      </c>
      <c r="B27" s="85" t="s">
        <v>155</v>
      </c>
      <c r="C27" s="86">
        <v>365.2</v>
      </c>
      <c r="D27" s="86">
        <v>60.87</v>
      </c>
      <c r="E27" s="79">
        <f t="shared" si="0"/>
        <v>426.07</v>
      </c>
      <c r="F27" s="79">
        <f>-66.07/7*6</f>
        <v>-56.631428571428557</v>
      </c>
      <c r="G27" s="79">
        <v>0.1</v>
      </c>
      <c r="H27" s="79">
        <f t="shared" si="1"/>
        <v>-56.531428571428556</v>
      </c>
      <c r="I27" s="79">
        <f t="shared" si="2"/>
        <v>482.60142857142853</v>
      </c>
    </row>
    <row r="28" spans="1:9" s="85" customFormat="1">
      <c r="A28" s="84" t="s">
        <v>156</v>
      </c>
      <c r="B28" s="85" t="s">
        <v>157</v>
      </c>
      <c r="C28" s="86">
        <v>438.24</v>
      </c>
      <c r="D28" s="86">
        <v>73.040000000000006</v>
      </c>
      <c r="E28" s="79">
        <f t="shared" si="0"/>
        <v>511.28000000000003</v>
      </c>
      <c r="F28" s="79">
        <v>-66.069999999999993</v>
      </c>
      <c r="G28" s="79">
        <v>-0.05</v>
      </c>
      <c r="H28" s="79">
        <f t="shared" si="1"/>
        <v>-66.11999999999999</v>
      </c>
      <c r="I28" s="79">
        <f t="shared" si="2"/>
        <v>577.4</v>
      </c>
    </row>
    <row r="29" spans="1:9" s="85" customFormat="1">
      <c r="A29" s="84" t="s">
        <v>120</v>
      </c>
      <c r="B29" s="85" t="s">
        <v>158</v>
      </c>
      <c r="C29" s="86">
        <v>438.24</v>
      </c>
      <c r="D29" s="86">
        <v>73.040000000000006</v>
      </c>
      <c r="E29" s="79">
        <f t="shared" si="0"/>
        <v>511.28000000000003</v>
      </c>
      <c r="F29" s="79">
        <v>-66.069999999999993</v>
      </c>
      <c r="G29" s="79">
        <v>0.15</v>
      </c>
      <c r="H29" s="79">
        <f t="shared" si="1"/>
        <v>-65.919999999999987</v>
      </c>
      <c r="I29" s="79">
        <f t="shared" si="2"/>
        <v>577.20000000000005</v>
      </c>
    </row>
    <row r="30" spans="1:9" s="85" customFormat="1">
      <c r="A30" s="84" t="s">
        <v>121</v>
      </c>
      <c r="B30" s="85" t="s">
        <v>159</v>
      </c>
      <c r="C30" s="86">
        <v>438.24</v>
      </c>
      <c r="D30" s="86">
        <v>73.040000000000006</v>
      </c>
      <c r="E30" s="79">
        <f t="shared" si="0"/>
        <v>511.28000000000003</v>
      </c>
      <c r="F30" s="79">
        <v>-66.069999999999993</v>
      </c>
      <c r="G30" s="79">
        <v>-0.05</v>
      </c>
      <c r="H30" s="79">
        <f t="shared" si="1"/>
        <v>-66.11999999999999</v>
      </c>
      <c r="I30" s="79">
        <f t="shared" si="2"/>
        <v>577.4</v>
      </c>
    </row>
    <row r="31" spans="1:9" s="85" customFormat="1">
      <c r="A31" s="84" t="s">
        <v>122</v>
      </c>
      <c r="B31" s="85" t="s">
        <v>161</v>
      </c>
      <c r="C31" s="86">
        <v>438.24</v>
      </c>
      <c r="D31" s="86">
        <v>73.040000000000006</v>
      </c>
      <c r="E31" s="79">
        <f t="shared" si="0"/>
        <v>511.28000000000003</v>
      </c>
      <c r="F31" s="79">
        <v>-66.069999999999993</v>
      </c>
      <c r="G31" s="79">
        <v>-0.05</v>
      </c>
      <c r="H31" s="79">
        <f t="shared" si="1"/>
        <v>-66.11999999999999</v>
      </c>
      <c r="I31" s="79">
        <f t="shared" si="2"/>
        <v>577.4</v>
      </c>
    </row>
    <row r="32" spans="1:9" s="85" customFormat="1">
      <c r="A32" s="84" t="s">
        <v>162</v>
      </c>
      <c r="B32" s="85" t="s">
        <v>163</v>
      </c>
      <c r="C32" s="86">
        <v>438.24</v>
      </c>
      <c r="D32" s="86">
        <v>73.040000000000006</v>
      </c>
      <c r="E32" s="79">
        <f t="shared" si="0"/>
        <v>511.28000000000003</v>
      </c>
      <c r="F32" s="79">
        <v>-66.069999999999993</v>
      </c>
      <c r="G32" s="79">
        <v>-0.05</v>
      </c>
      <c r="H32" s="79">
        <f t="shared" si="1"/>
        <v>-66.11999999999999</v>
      </c>
      <c r="I32" s="79">
        <f t="shared" si="2"/>
        <v>577.4</v>
      </c>
    </row>
    <row r="33" spans="1:9" s="85" customFormat="1">
      <c r="A33" s="84" t="s">
        <v>91</v>
      </c>
      <c r="B33" s="85" t="s">
        <v>170</v>
      </c>
      <c r="C33" s="86">
        <v>438.24</v>
      </c>
      <c r="D33" s="86">
        <v>73.040000000000006</v>
      </c>
      <c r="E33" s="79">
        <f t="shared" si="0"/>
        <v>511.28000000000003</v>
      </c>
      <c r="F33" s="79">
        <v>-66.069999999999993</v>
      </c>
      <c r="G33" s="79">
        <v>-0.05</v>
      </c>
      <c r="H33" s="79">
        <f t="shared" si="1"/>
        <v>-66.11999999999999</v>
      </c>
      <c r="I33" s="79">
        <f t="shared" si="2"/>
        <v>577.4</v>
      </c>
    </row>
    <row r="34" spans="1:9" s="85" customFormat="1">
      <c r="A34" s="84" t="s">
        <v>128</v>
      </c>
      <c r="B34" s="85" t="s">
        <v>171</v>
      </c>
      <c r="C34" s="86">
        <v>54.78</v>
      </c>
      <c r="D34" s="86">
        <v>1</v>
      </c>
      <c r="E34" s="79">
        <f t="shared" si="0"/>
        <v>55.78</v>
      </c>
      <c r="F34" s="79">
        <v>-5.44</v>
      </c>
      <c r="G34" s="79">
        <v>0.02</v>
      </c>
      <c r="H34" s="79">
        <f t="shared" si="1"/>
        <v>-5.4200000000000008</v>
      </c>
      <c r="I34" s="79">
        <f t="shared" si="2"/>
        <v>61.2</v>
      </c>
    </row>
    <row r="35" spans="1:9" s="85" customFormat="1">
      <c r="A35" s="84" t="s">
        <v>129</v>
      </c>
      <c r="B35" s="85" t="s">
        <v>172</v>
      </c>
      <c r="C35" s="86">
        <v>438.24</v>
      </c>
      <c r="D35" s="86">
        <v>73.040000000000006</v>
      </c>
      <c r="E35" s="79">
        <f t="shared" si="0"/>
        <v>511.28000000000003</v>
      </c>
      <c r="F35" s="79">
        <v>-66.069999999999993</v>
      </c>
      <c r="G35" s="79">
        <v>0.15</v>
      </c>
      <c r="H35" s="79">
        <f t="shared" si="1"/>
        <v>-65.919999999999987</v>
      </c>
      <c r="I35" s="79">
        <f t="shared" si="2"/>
        <v>577.20000000000005</v>
      </c>
    </row>
    <row r="36" spans="1:9" s="85" customFormat="1">
      <c r="A36" s="87"/>
      <c r="B36" s="88"/>
      <c r="C36" s="88" t="s">
        <v>17</v>
      </c>
      <c r="D36" s="88" t="s">
        <v>17</v>
      </c>
      <c r="E36" s="88" t="s">
        <v>17</v>
      </c>
      <c r="F36" s="88" t="s">
        <v>17</v>
      </c>
      <c r="G36" s="88" t="s">
        <v>17</v>
      </c>
      <c r="H36" s="88" t="s">
        <v>17</v>
      </c>
      <c r="I36" s="88" t="s">
        <v>17</v>
      </c>
    </row>
    <row r="37" spans="1:9" s="85" customFormat="1" ht="15">
      <c r="A37" s="89" t="s">
        <v>18</v>
      </c>
      <c r="B37" s="90" t="s">
        <v>19</v>
      </c>
      <c r="C37" s="91">
        <f>SUM(C10:C36)</f>
        <v>10353.419999999998</v>
      </c>
      <c r="D37" s="91">
        <f t="shared" ref="D37:H37" si="3">SUM(D10:D36)</f>
        <v>1717.4399999999994</v>
      </c>
      <c r="E37" s="91">
        <f t="shared" si="3"/>
        <v>12070.860000000004</v>
      </c>
      <c r="F37" s="91">
        <f t="shared" si="3"/>
        <v>-1572.2428571428563</v>
      </c>
      <c r="G37" s="91">
        <f t="shared" si="3"/>
        <v>-0.51000000000000034</v>
      </c>
      <c r="H37" s="91">
        <f t="shared" si="3"/>
        <v>-1572.7528571428566</v>
      </c>
      <c r="I37" s="91">
        <f>SUM(I10:I36)</f>
        <v>13643.612857142854</v>
      </c>
    </row>
    <row r="38" spans="1:9" s="85" customFormat="1">
      <c r="A38" s="84"/>
    </row>
    <row r="39" spans="1:9" s="88" customFormat="1">
      <c r="A39" s="84"/>
      <c r="B39" s="85"/>
      <c r="C39" s="85" t="s">
        <v>19</v>
      </c>
      <c r="D39" s="85"/>
      <c r="E39" s="85" t="s">
        <v>19</v>
      </c>
      <c r="F39" s="85" t="s">
        <v>19</v>
      </c>
      <c r="G39" s="85" t="s">
        <v>19</v>
      </c>
      <c r="H39" s="85" t="s">
        <v>19</v>
      </c>
      <c r="I39" s="85" t="s">
        <v>19</v>
      </c>
    </row>
    <row r="40" spans="1:9" s="1" customFormat="1" ht="14.25">
      <c r="A40" s="3" t="s">
        <v>19</v>
      </c>
      <c r="B40" s="2" t="s">
        <v>19</v>
      </c>
      <c r="C40" s="9"/>
      <c r="D40" s="68"/>
      <c r="E40" s="9"/>
      <c r="F40" s="9"/>
      <c r="G40" s="9"/>
      <c r="H40" s="9"/>
      <c r="I40" s="9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41"/>
  <sheetViews>
    <sheetView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I10" sqref="I10:I35"/>
    </sheetView>
  </sheetViews>
  <sheetFormatPr baseColWidth="10" defaultRowHeight="11.25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5" width="13" style="2" bestFit="1" customWidth="1"/>
    <col min="6" max="6" width="11" style="2" customWidth="1"/>
    <col min="7" max="7" width="10.85546875" style="2" customWidth="1"/>
    <col min="8" max="9" width="13" style="2" bestFit="1" customWidth="1"/>
    <col min="10" max="10" width="13" style="54" customWidth="1"/>
    <col min="11" max="11" width="13" style="2" bestFit="1" customWidth="1"/>
    <col min="12" max="12" width="12.7109375" style="2" customWidth="1"/>
    <col min="13" max="13" width="12.7109375" style="54" hidden="1" customWidth="1"/>
    <col min="14" max="14" width="0" style="29" hidden="1" customWidth="1"/>
    <col min="15" max="15" width="30.85546875" style="29" hidden="1" customWidth="1"/>
    <col min="16" max="18" width="0" style="29" hidden="1" customWidth="1"/>
    <col min="19" max="22" width="11.42578125" style="29" hidden="1" customWidth="1"/>
    <col min="23" max="23" width="0" style="54" hidden="1" customWidth="1"/>
    <col min="24" max="24" width="25.85546875" style="54" hidden="1" customWidth="1"/>
    <col min="25" max="27" width="11.42578125" style="2" hidden="1" customWidth="1"/>
    <col min="28" max="29" width="0" style="2" hidden="1" customWidth="1"/>
    <col min="30" max="16384" width="11.42578125" style="2"/>
  </cols>
  <sheetData>
    <row r="1" spans="1:26" ht="18" customHeight="1">
      <c r="A1" s="4" t="s">
        <v>0</v>
      </c>
      <c r="B1" s="117" t="s">
        <v>19</v>
      </c>
      <c r="C1" s="118"/>
      <c r="I1" s="77"/>
      <c r="J1" s="77"/>
      <c r="N1" s="55" t="s">
        <v>0</v>
      </c>
      <c r="O1" s="50" t="s">
        <v>19</v>
      </c>
      <c r="P1" s="121"/>
      <c r="Q1" s="121"/>
      <c r="R1" s="53"/>
      <c r="S1" s="53"/>
      <c r="T1" s="53"/>
      <c r="U1" s="53"/>
      <c r="V1" s="53"/>
    </row>
    <row r="2" spans="1:26" ht="24.95" customHeight="1">
      <c r="A2" s="5" t="s">
        <v>1</v>
      </c>
      <c r="B2" s="10" t="s">
        <v>227</v>
      </c>
      <c r="C2" s="11"/>
      <c r="D2" s="52"/>
      <c r="I2" s="77"/>
      <c r="J2" s="77"/>
      <c r="N2" s="56" t="s">
        <v>1</v>
      </c>
      <c r="O2" s="69" t="s">
        <v>2</v>
      </c>
      <c r="P2" s="120"/>
      <c r="Q2" s="120"/>
      <c r="R2" s="53"/>
      <c r="S2" s="53"/>
      <c r="T2" s="53"/>
      <c r="U2" s="53"/>
      <c r="V2" s="53"/>
    </row>
    <row r="3" spans="1:26" ht="15.75">
      <c r="B3" s="92" t="s">
        <v>3</v>
      </c>
      <c r="C3" s="82"/>
      <c r="D3" s="52"/>
      <c r="N3" s="53"/>
      <c r="O3" s="51" t="s">
        <v>3</v>
      </c>
      <c r="P3" s="118"/>
      <c r="Q3" s="118"/>
      <c r="R3" s="53"/>
      <c r="S3" s="53"/>
      <c r="T3" s="53"/>
      <c r="U3" s="53"/>
      <c r="V3" s="53"/>
    </row>
    <row r="4" spans="1:26" ht="15">
      <c r="B4" s="12" t="str">
        <f>+FACTURACIÓN!B4</f>
        <v>Periodo 6 al 6 Semanal del 03/02/2016 al 09/02/2016</v>
      </c>
      <c r="C4" s="82"/>
      <c r="D4" s="52"/>
      <c r="N4" s="53"/>
      <c r="O4" s="119" t="s">
        <v>130</v>
      </c>
      <c r="P4" s="118"/>
      <c r="Q4" s="118"/>
      <c r="R4" s="53"/>
      <c r="S4" s="53"/>
      <c r="T4" s="53"/>
      <c r="U4" s="53"/>
      <c r="V4" s="53"/>
    </row>
    <row r="5" spans="1:26" ht="15">
      <c r="B5" s="83"/>
      <c r="C5" s="81"/>
      <c r="D5" s="81"/>
      <c r="N5" s="53"/>
      <c r="O5" s="63" t="s">
        <v>4</v>
      </c>
      <c r="P5" s="53"/>
      <c r="Q5" s="53"/>
      <c r="R5" s="53"/>
      <c r="S5" s="53"/>
      <c r="T5" s="53"/>
      <c r="U5" s="53"/>
      <c r="V5" s="53"/>
    </row>
    <row r="6" spans="1:26" ht="15">
      <c r="B6" s="83"/>
      <c r="C6" s="81"/>
      <c r="D6" s="81"/>
      <c r="N6" s="53"/>
      <c r="O6" s="63" t="s">
        <v>5</v>
      </c>
      <c r="P6" s="53"/>
      <c r="Q6" s="53"/>
      <c r="R6" s="53"/>
      <c r="S6" s="53"/>
      <c r="T6" s="53"/>
      <c r="U6" s="53"/>
      <c r="V6" s="53"/>
    </row>
    <row r="8" spans="1:26" s="6" customFormat="1" ht="34.5" thickBot="1">
      <c r="A8" s="7" t="s">
        <v>6</v>
      </c>
      <c r="B8" s="8" t="s">
        <v>7</v>
      </c>
      <c r="C8" s="26" t="s">
        <v>37</v>
      </c>
      <c r="D8" s="26" t="s">
        <v>38</v>
      </c>
      <c r="E8" s="25" t="s">
        <v>9</v>
      </c>
      <c r="F8" s="26" t="s">
        <v>39</v>
      </c>
      <c r="G8" s="26" t="s">
        <v>40</v>
      </c>
      <c r="H8" s="26" t="s">
        <v>41</v>
      </c>
      <c r="I8" s="26" t="s">
        <v>42</v>
      </c>
      <c r="J8" s="26" t="s">
        <v>11</v>
      </c>
      <c r="K8" s="25" t="s">
        <v>12</v>
      </c>
      <c r="L8" s="43" t="s">
        <v>13</v>
      </c>
      <c r="M8" s="54"/>
      <c r="N8" s="64" t="s">
        <v>6</v>
      </c>
      <c r="O8" s="65" t="s">
        <v>7</v>
      </c>
      <c r="P8" s="65" t="s">
        <v>8</v>
      </c>
      <c r="Q8" s="65" t="s">
        <v>131</v>
      </c>
      <c r="R8" s="66" t="s">
        <v>9</v>
      </c>
      <c r="S8" s="65" t="s">
        <v>10</v>
      </c>
      <c r="T8" s="65" t="s">
        <v>11</v>
      </c>
      <c r="U8" s="66" t="s">
        <v>12</v>
      </c>
      <c r="V8" s="67" t="s">
        <v>13</v>
      </c>
      <c r="W8" s="57"/>
      <c r="X8" s="57"/>
    </row>
    <row r="9" spans="1:26" s="85" customFormat="1" ht="15.75" thickTop="1">
      <c r="A9" s="93" t="s">
        <v>14</v>
      </c>
      <c r="N9" s="49"/>
      <c r="O9" s="49"/>
      <c r="P9" s="49"/>
      <c r="Q9" s="49"/>
      <c r="R9" s="49"/>
      <c r="S9" s="49"/>
      <c r="T9" s="49"/>
      <c r="U9" s="49"/>
      <c r="V9" s="49"/>
      <c r="Y9" s="94" t="s">
        <v>28</v>
      </c>
    </row>
    <row r="10" spans="1:26" s="85" customFormat="1" ht="15">
      <c r="A10" s="84" t="s">
        <v>93</v>
      </c>
      <c r="B10" s="85" t="s">
        <v>132</v>
      </c>
      <c r="C10" s="86">
        <f>+FACTURACIÓN!H10-'C&amp;A'!I10+SINDICATO!F10</f>
        <v>216.23000000000002</v>
      </c>
      <c r="D10" s="86">
        <v>0</v>
      </c>
      <c r="E10" s="79">
        <f>SUM(C10:D10)</f>
        <v>216.23000000000002</v>
      </c>
      <c r="F10" s="86">
        <f>-FACTURACIÓN!F10</f>
        <v>0</v>
      </c>
      <c r="G10" s="86">
        <v>0</v>
      </c>
      <c r="H10" s="79">
        <f>+FACTURACIÓN!G10</f>
        <v>0</v>
      </c>
      <c r="I10" s="86">
        <v>0</v>
      </c>
      <c r="J10" s="86">
        <v>0</v>
      </c>
      <c r="K10" s="86">
        <f>SUM(F10:J10)</f>
        <v>0</v>
      </c>
      <c r="L10" s="95">
        <f>+E10-K10</f>
        <v>216.23000000000002</v>
      </c>
      <c r="N10" s="84" t="s">
        <v>93</v>
      </c>
      <c r="O10" s="85" t="s">
        <v>132</v>
      </c>
      <c r="P10" s="86">
        <v>438.24</v>
      </c>
      <c r="Q10" s="86">
        <v>73.040000000000006</v>
      </c>
      <c r="R10" s="86">
        <v>511.28</v>
      </c>
      <c r="S10" s="96">
        <v>-66.069999999999993</v>
      </c>
      <c r="T10" s="96">
        <v>-0.05</v>
      </c>
      <c r="U10" s="86">
        <v>-66.12</v>
      </c>
      <c r="V10" s="86">
        <v>577.4</v>
      </c>
      <c r="W10" s="97" t="s">
        <v>93</v>
      </c>
      <c r="X10" s="97" t="s">
        <v>205</v>
      </c>
      <c r="Y10" s="98">
        <v>0</v>
      </c>
      <c r="Z10" s="86">
        <f t="shared" ref="Z10:Z35" si="0">+Y10-F10</f>
        <v>0</v>
      </c>
    </row>
    <row r="11" spans="1:26" s="85" customFormat="1" ht="15">
      <c r="A11" s="84" t="s">
        <v>95</v>
      </c>
      <c r="B11" s="85" t="s">
        <v>133</v>
      </c>
      <c r="C11" s="86">
        <f>+FACTURACIÓN!H11-'C&amp;A'!I11+SINDICATO!F11</f>
        <v>4248.1400000000003</v>
      </c>
      <c r="D11" s="86">
        <v>0</v>
      </c>
      <c r="E11" s="79">
        <f t="shared" ref="E11:E35" si="1">SUM(C11:D11)</f>
        <v>4248.1400000000003</v>
      </c>
      <c r="F11" s="86">
        <f>-FACTURACIÓN!F11</f>
        <v>0</v>
      </c>
      <c r="G11" s="86">
        <v>0</v>
      </c>
      <c r="H11" s="79">
        <f>+FACTURACIÓN!G11</f>
        <v>0</v>
      </c>
      <c r="I11" s="86">
        <v>0</v>
      </c>
      <c r="J11" s="86">
        <v>0</v>
      </c>
      <c r="K11" s="86">
        <f t="shared" ref="K11:K35" si="2">SUM(F11:J11)</f>
        <v>0</v>
      </c>
      <c r="L11" s="95">
        <f t="shared" ref="L11:L35" si="3">+E11-K11</f>
        <v>4248.1400000000003</v>
      </c>
      <c r="M11" s="95"/>
      <c r="N11" s="84" t="s">
        <v>95</v>
      </c>
      <c r="O11" s="85" t="s">
        <v>133</v>
      </c>
      <c r="P11" s="86">
        <v>438.24</v>
      </c>
      <c r="Q11" s="86">
        <v>73.040000000000006</v>
      </c>
      <c r="R11" s="86">
        <v>511.28</v>
      </c>
      <c r="S11" s="96">
        <v>-66.069999999999993</v>
      </c>
      <c r="T11" s="96">
        <v>-0.05</v>
      </c>
      <c r="U11" s="86">
        <v>-66.12</v>
      </c>
      <c r="V11" s="86">
        <v>577.4</v>
      </c>
      <c r="W11" s="97" t="s">
        <v>95</v>
      </c>
      <c r="X11" s="97" t="s">
        <v>206</v>
      </c>
      <c r="Y11" s="98">
        <v>0</v>
      </c>
      <c r="Z11" s="86">
        <f t="shared" si="0"/>
        <v>0</v>
      </c>
    </row>
    <row r="12" spans="1:26" s="85" customFormat="1" ht="15">
      <c r="A12" s="84" t="s">
        <v>96</v>
      </c>
      <c r="B12" s="85" t="s">
        <v>134</v>
      </c>
      <c r="C12" s="86">
        <f>+FACTURACIÓN!H12-'C&amp;A'!I12+SINDICATO!F12</f>
        <v>6950.92</v>
      </c>
      <c r="D12" s="86">
        <v>0</v>
      </c>
      <c r="E12" s="79">
        <f t="shared" si="1"/>
        <v>6950.92</v>
      </c>
      <c r="F12" s="86">
        <f>-FACTURACIÓN!F12</f>
        <v>0</v>
      </c>
      <c r="G12" s="86">
        <v>0</v>
      </c>
      <c r="H12" s="79">
        <f>+FACTURACIÓN!G12</f>
        <v>0</v>
      </c>
      <c r="I12" s="86">
        <v>685.07711999999992</v>
      </c>
      <c r="J12" s="86">
        <v>0</v>
      </c>
      <c r="K12" s="86">
        <f>SUM(F12:J12)</f>
        <v>685.07711999999992</v>
      </c>
      <c r="L12" s="95">
        <f>+E12-K12</f>
        <v>6265.8428800000002</v>
      </c>
      <c r="M12" s="95"/>
      <c r="N12" s="84" t="s">
        <v>96</v>
      </c>
      <c r="O12" s="85" t="s">
        <v>134</v>
      </c>
      <c r="P12" s="86">
        <v>438.24</v>
      </c>
      <c r="Q12" s="86">
        <v>73.040000000000006</v>
      </c>
      <c r="R12" s="86">
        <v>511.28</v>
      </c>
      <c r="S12" s="96">
        <v>-66.069999999999993</v>
      </c>
      <c r="T12" s="96">
        <v>-0.05</v>
      </c>
      <c r="U12" s="86">
        <v>-66.12</v>
      </c>
      <c r="V12" s="86">
        <v>577.4</v>
      </c>
      <c r="W12" s="97" t="s">
        <v>96</v>
      </c>
      <c r="X12" s="97" t="s">
        <v>207</v>
      </c>
      <c r="Y12" s="98">
        <v>0</v>
      </c>
      <c r="Z12" s="86">
        <f t="shared" si="0"/>
        <v>0</v>
      </c>
    </row>
    <row r="13" spans="1:26" s="85" customFormat="1" ht="15">
      <c r="A13" s="84" t="s">
        <v>92</v>
      </c>
      <c r="B13" s="85" t="s">
        <v>135</v>
      </c>
      <c r="C13" s="86">
        <f>+FACTURACIÓN!H13-'C&amp;A'!I13+SINDICATO!F13</f>
        <v>311.55571428571432</v>
      </c>
      <c r="D13" s="86">
        <v>0</v>
      </c>
      <c r="E13" s="79">
        <f t="shared" si="1"/>
        <v>311.55571428571432</v>
      </c>
      <c r="F13" s="86">
        <f>-FACTURACIÓN!F13</f>
        <v>0</v>
      </c>
      <c r="G13" s="86">
        <v>0</v>
      </c>
      <c r="H13" s="79">
        <f>+FACTURACIÓN!G13</f>
        <v>134.46</v>
      </c>
      <c r="I13" s="86">
        <v>0</v>
      </c>
      <c r="J13" s="86">
        <v>0</v>
      </c>
      <c r="K13" s="86">
        <f t="shared" si="2"/>
        <v>134.46</v>
      </c>
      <c r="L13" s="95">
        <f>+E13-K13</f>
        <v>177.09571428571431</v>
      </c>
      <c r="M13" s="95"/>
      <c r="N13" s="84" t="s">
        <v>92</v>
      </c>
      <c r="O13" s="85" t="s">
        <v>135</v>
      </c>
      <c r="P13" s="86">
        <v>438.24</v>
      </c>
      <c r="Q13" s="86">
        <v>73.040000000000006</v>
      </c>
      <c r="R13" s="86">
        <v>511.28</v>
      </c>
      <c r="S13" s="96">
        <v>-66.069999999999993</v>
      </c>
      <c r="T13" s="96">
        <v>-0.05</v>
      </c>
      <c r="U13" s="86">
        <v>-66.12</v>
      </c>
      <c r="V13" s="86">
        <v>577.4</v>
      </c>
      <c r="W13" s="97" t="s">
        <v>92</v>
      </c>
      <c r="X13" s="97" t="s">
        <v>204</v>
      </c>
      <c r="Y13" s="98">
        <v>134.46</v>
      </c>
      <c r="Z13" s="86">
        <f t="shared" si="0"/>
        <v>134.46</v>
      </c>
    </row>
    <row r="14" spans="1:26" s="85" customFormat="1" ht="15">
      <c r="A14" s="84" t="s">
        <v>87</v>
      </c>
      <c r="B14" s="85" t="s">
        <v>136</v>
      </c>
      <c r="C14" s="86">
        <f>+FACTURACIÓN!H14-'C&amp;A'!I14+SINDICATO!F14</f>
        <v>1172.5999999999999</v>
      </c>
      <c r="D14" s="86">
        <v>0</v>
      </c>
      <c r="E14" s="79">
        <f t="shared" si="1"/>
        <v>1172.5999999999999</v>
      </c>
      <c r="F14" s="86">
        <f>-FACTURACIÓN!F14</f>
        <v>0</v>
      </c>
      <c r="G14" s="86">
        <v>0</v>
      </c>
      <c r="H14" s="79">
        <f>+FACTURACIÓN!G14</f>
        <v>0</v>
      </c>
      <c r="I14" s="86">
        <v>0</v>
      </c>
      <c r="J14" s="86">
        <v>0</v>
      </c>
      <c r="K14" s="86">
        <f t="shared" si="2"/>
        <v>0</v>
      </c>
      <c r="L14" s="95">
        <f t="shared" si="3"/>
        <v>1172.5999999999999</v>
      </c>
      <c r="M14" s="95"/>
      <c r="N14" s="84" t="s">
        <v>87</v>
      </c>
      <c r="O14" s="85" t="s">
        <v>136</v>
      </c>
      <c r="P14" s="86">
        <v>438.24</v>
      </c>
      <c r="Q14" s="86">
        <v>73.040000000000006</v>
      </c>
      <c r="R14" s="86">
        <v>511.28</v>
      </c>
      <c r="S14" s="96">
        <v>-66.069999999999993</v>
      </c>
      <c r="T14" s="96">
        <v>-0.05</v>
      </c>
      <c r="U14" s="86">
        <v>-66.12</v>
      </c>
      <c r="V14" s="86">
        <v>577.4</v>
      </c>
      <c r="W14" s="97" t="s">
        <v>87</v>
      </c>
      <c r="X14" s="97" t="s">
        <v>197</v>
      </c>
      <c r="Y14" s="98">
        <v>0</v>
      </c>
      <c r="Z14" s="86">
        <f t="shared" si="0"/>
        <v>0</v>
      </c>
    </row>
    <row r="15" spans="1:26" s="85" customFormat="1" ht="15">
      <c r="A15" s="84" t="s">
        <v>108</v>
      </c>
      <c r="B15" s="85" t="s">
        <v>139</v>
      </c>
      <c r="C15" s="86">
        <f>+FACTURACIÓN!H15-'C&amp;A'!I15+SINDICATO!F15</f>
        <v>2941.2799999999997</v>
      </c>
      <c r="D15" s="86">
        <v>0</v>
      </c>
      <c r="E15" s="79">
        <f t="shared" si="1"/>
        <v>2941.2799999999997</v>
      </c>
      <c r="F15" s="86">
        <f>-FACTURACIÓN!F15</f>
        <v>90.26</v>
      </c>
      <c r="G15" s="86">
        <v>0</v>
      </c>
      <c r="H15" s="79">
        <f>+FACTURACIÓN!G15</f>
        <v>1184.1199999999999</v>
      </c>
      <c r="I15" s="86">
        <v>0</v>
      </c>
      <c r="J15" s="86">
        <v>0</v>
      </c>
      <c r="K15" s="86">
        <f t="shared" si="2"/>
        <v>1274.3799999999999</v>
      </c>
      <c r="L15" s="95">
        <f t="shared" si="3"/>
        <v>1666.8999999999999</v>
      </c>
      <c r="M15" s="95"/>
      <c r="N15" s="84" t="s">
        <v>108</v>
      </c>
      <c r="O15" s="85" t="s">
        <v>139</v>
      </c>
      <c r="P15" s="86">
        <v>438.24</v>
      </c>
      <c r="Q15" s="86">
        <v>73.040000000000006</v>
      </c>
      <c r="R15" s="86">
        <v>511.28</v>
      </c>
      <c r="S15" s="96">
        <v>-66.069999999999993</v>
      </c>
      <c r="T15" s="96">
        <v>-0.05</v>
      </c>
      <c r="U15" s="86">
        <v>-66.12</v>
      </c>
      <c r="V15" s="86">
        <v>577.4</v>
      </c>
      <c r="W15" s="97" t="s">
        <v>108</v>
      </c>
      <c r="X15" s="97" t="s">
        <v>208</v>
      </c>
      <c r="Y15" s="98">
        <v>134.6</v>
      </c>
      <c r="Z15" s="86">
        <f t="shared" si="0"/>
        <v>44.339999999999989</v>
      </c>
    </row>
    <row r="16" spans="1:26" s="85" customFormat="1" ht="15">
      <c r="A16" s="84" t="s">
        <v>109</v>
      </c>
      <c r="B16" s="85" t="s">
        <v>140</v>
      </c>
      <c r="C16" s="86">
        <f>+FACTURACIÓN!H16-'C&amp;A'!I16+SINDICATO!F16</f>
        <v>405.62714285714281</v>
      </c>
      <c r="D16" s="86">
        <v>0</v>
      </c>
      <c r="E16" s="79">
        <f t="shared" si="1"/>
        <v>405.62714285714281</v>
      </c>
      <c r="F16" s="86">
        <f>-FACTURACIÓN!F16</f>
        <v>0</v>
      </c>
      <c r="G16" s="86">
        <v>0</v>
      </c>
      <c r="H16" s="79">
        <f>+FACTURACIÓN!G16</f>
        <v>323.13</v>
      </c>
      <c r="I16" s="86">
        <v>0</v>
      </c>
      <c r="J16" s="86">
        <v>0</v>
      </c>
      <c r="K16" s="86">
        <f t="shared" si="2"/>
        <v>323.13</v>
      </c>
      <c r="L16" s="95">
        <f>+E16-K16</f>
        <v>82.497142857142819</v>
      </c>
      <c r="M16" s="95"/>
      <c r="N16" s="84" t="s">
        <v>109</v>
      </c>
      <c r="O16" s="85" t="s">
        <v>140</v>
      </c>
      <c r="P16" s="86">
        <v>438.24</v>
      </c>
      <c r="Q16" s="86">
        <v>73.040000000000006</v>
      </c>
      <c r="R16" s="86">
        <v>511.28</v>
      </c>
      <c r="S16" s="96">
        <v>-66.069999999999993</v>
      </c>
      <c r="T16" s="86">
        <v>0.15</v>
      </c>
      <c r="U16" s="86">
        <v>-65.92</v>
      </c>
      <c r="V16" s="86">
        <v>577.20000000000005</v>
      </c>
      <c r="W16" s="97" t="s">
        <v>109</v>
      </c>
      <c r="X16" s="97" t="s">
        <v>209</v>
      </c>
      <c r="Y16" s="98">
        <v>240.83</v>
      </c>
      <c r="Z16" s="86">
        <f t="shared" si="0"/>
        <v>240.83</v>
      </c>
    </row>
    <row r="17" spans="1:26" s="85" customFormat="1" ht="15">
      <c r="A17" s="84" t="s">
        <v>141</v>
      </c>
      <c r="B17" s="85" t="s">
        <v>142</v>
      </c>
      <c r="C17" s="86">
        <f>+FACTURACIÓN!H17-'C&amp;A'!I17+SINDICATO!F17</f>
        <v>2327.3699999999994</v>
      </c>
      <c r="D17" s="86">
        <v>0</v>
      </c>
      <c r="E17" s="79">
        <f t="shared" si="1"/>
        <v>2327.3699999999994</v>
      </c>
      <c r="F17" s="86">
        <f>-FACTURACIÓN!F17</f>
        <v>0</v>
      </c>
      <c r="G17" s="86">
        <v>0</v>
      </c>
      <c r="H17" s="79">
        <f>+FACTURACIÓN!G17</f>
        <v>0</v>
      </c>
      <c r="I17" s="86">
        <v>0</v>
      </c>
      <c r="J17" s="86">
        <v>0</v>
      </c>
      <c r="K17" s="86">
        <f t="shared" si="2"/>
        <v>0</v>
      </c>
      <c r="L17" s="95">
        <f t="shared" si="3"/>
        <v>2327.3699999999994</v>
      </c>
      <c r="M17" s="95"/>
      <c r="N17" s="84" t="s">
        <v>141</v>
      </c>
      <c r="O17" s="85" t="s">
        <v>142</v>
      </c>
      <c r="P17" s="86">
        <v>438.24</v>
      </c>
      <c r="Q17" s="86">
        <v>73.040000000000006</v>
      </c>
      <c r="R17" s="86">
        <v>511.28</v>
      </c>
      <c r="S17" s="96">
        <v>-66.069999999999993</v>
      </c>
      <c r="T17" s="96">
        <v>-0.05</v>
      </c>
      <c r="U17" s="86">
        <v>-66.12</v>
      </c>
      <c r="V17" s="86">
        <v>577.4</v>
      </c>
      <c r="W17" s="97">
        <v>5</v>
      </c>
      <c r="X17" s="97" t="s">
        <v>202</v>
      </c>
      <c r="Y17" s="98">
        <v>0</v>
      </c>
      <c r="Z17" s="86">
        <f t="shared" si="0"/>
        <v>0</v>
      </c>
    </row>
    <row r="18" spans="1:26" s="85" customFormat="1" ht="15">
      <c r="A18" s="84" t="s">
        <v>110</v>
      </c>
      <c r="B18" s="85" t="s">
        <v>143</v>
      </c>
      <c r="C18" s="86">
        <f>+FACTURACIÓN!H18-'C&amp;A'!I18+SINDICATO!F18</f>
        <v>27.560000000000059</v>
      </c>
      <c r="D18" s="86">
        <v>0</v>
      </c>
      <c r="E18" s="79">
        <f t="shared" si="1"/>
        <v>27.560000000000059</v>
      </c>
      <c r="F18" s="86">
        <f>-FACTURACIÓN!F18</f>
        <v>0</v>
      </c>
      <c r="G18" s="86">
        <v>0</v>
      </c>
      <c r="H18" s="79">
        <f>+FACTURACIÓN!G18</f>
        <v>0</v>
      </c>
      <c r="I18" s="86">
        <v>0</v>
      </c>
      <c r="J18" s="86">
        <v>0</v>
      </c>
      <c r="K18" s="86">
        <f t="shared" si="2"/>
        <v>0</v>
      </c>
      <c r="L18" s="95">
        <f t="shared" si="3"/>
        <v>27.560000000000059</v>
      </c>
      <c r="M18" s="95"/>
      <c r="N18" s="84" t="s">
        <v>110</v>
      </c>
      <c r="O18" s="85" t="s">
        <v>143</v>
      </c>
      <c r="P18" s="86">
        <v>438.24</v>
      </c>
      <c r="Q18" s="86">
        <v>73.040000000000006</v>
      </c>
      <c r="R18" s="86">
        <v>511.28</v>
      </c>
      <c r="S18" s="96">
        <v>-66.069999999999993</v>
      </c>
      <c r="T18" s="96">
        <v>-0.05</v>
      </c>
      <c r="U18" s="86">
        <v>-66.12</v>
      </c>
      <c r="V18" s="86">
        <v>577.4</v>
      </c>
      <c r="W18" s="97" t="s">
        <v>110</v>
      </c>
      <c r="X18" s="97" t="s">
        <v>210</v>
      </c>
      <c r="Y18" s="98">
        <v>0</v>
      </c>
      <c r="Z18" s="86">
        <f t="shared" si="0"/>
        <v>0</v>
      </c>
    </row>
    <row r="19" spans="1:26" s="85" customFormat="1" ht="15">
      <c r="A19" s="84" t="s">
        <v>89</v>
      </c>
      <c r="B19" s="85" t="s">
        <v>144</v>
      </c>
      <c r="C19" s="86">
        <f>+FACTURACIÓN!H19-'C&amp;A'!I19+SINDICATO!F19</f>
        <v>7878.49</v>
      </c>
      <c r="D19" s="86">
        <v>0</v>
      </c>
      <c r="E19" s="79">
        <f t="shared" si="1"/>
        <v>7878.49</v>
      </c>
      <c r="F19" s="86">
        <f>-FACTURACIÓN!F19</f>
        <v>0</v>
      </c>
      <c r="G19" s="86">
        <v>0</v>
      </c>
      <c r="H19" s="79">
        <f>+FACTURACIÓN!G19</f>
        <v>498.65</v>
      </c>
      <c r="I19" s="86">
        <v>729.09533999999996</v>
      </c>
      <c r="J19" s="86">
        <v>0</v>
      </c>
      <c r="K19" s="86">
        <f t="shared" si="2"/>
        <v>1227.7453399999999</v>
      </c>
      <c r="L19" s="95">
        <f t="shared" si="3"/>
        <v>6650.7446600000003</v>
      </c>
      <c r="M19" s="95"/>
      <c r="N19" s="84" t="s">
        <v>89</v>
      </c>
      <c r="O19" s="85" t="s">
        <v>144</v>
      </c>
      <c r="P19" s="86">
        <v>438.24</v>
      </c>
      <c r="Q19" s="86">
        <v>73.040000000000006</v>
      </c>
      <c r="R19" s="86">
        <v>511.28</v>
      </c>
      <c r="S19" s="96">
        <v>-66.069999999999993</v>
      </c>
      <c r="T19" s="96">
        <v>-0.05</v>
      </c>
      <c r="U19" s="86">
        <v>-66.12</v>
      </c>
      <c r="V19" s="86">
        <v>577.4</v>
      </c>
      <c r="W19" s="97" t="s">
        <v>89</v>
      </c>
      <c r="X19" s="97" t="s">
        <v>199</v>
      </c>
      <c r="Y19" s="98">
        <v>498.65</v>
      </c>
      <c r="Z19" s="86">
        <f t="shared" si="0"/>
        <v>498.65</v>
      </c>
    </row>
    <row r="20" spans="1:26" s="85" customFormat="1" ht="15">
      <c r="A20" s="84" t="s">
        <v>145</v>
      </c>
      <c r="B20" s="85" t="s">
        <v>146</v>
      </c>
      <c r="C20" s="86">
        <f>+FACTURACIÓN!H20-'C&amp;A'!I20+SINDICATO!F20</f>
        <v>4868.8600000000006</v>
      </c>
      <c r="D20" s="86">
        <v>0</v>
      </c>
      <c r="E20" s="79">
        <f t="shared" si="1"/>
        <v>4868.8600000000006</v>
      </c>
      <c r="F20" s="86">
        <f>-FACTURACIÓN!F20</f>
        <v>524.16999999999996</v>
      </c>
      <c r="G20" s="86">
        <v>0</v>
      </c>
      <c r="H20" s="79">
        <f>+FACTURACIÓN!G20</f>
        <v>144.03</v>
      </c>
      <c r="I20" s="86">
        <v>0</v>
      </c>
      <c r="J20" s="86">
        <v>0</v>
      </c>
      <c r="K20" s="86">
        <f t="shared" si="2"/>
        <v>668.19999999999993</v>
      </c>
      <c r="L20" s="95">
        <f t="shared" si="3"/>
        <v>4200.6600000000008</v>
      </c>
      <c r="M20" s="95"/>
      <c r="N20" s="84" t="s">
        <v>145</v>
      </c>
      <c r="O20" s="85" t="s">
        <v>146</v>
      </c>
      <c r="P20" s="86">
        <v>438.24</v>
      </c>
      <c r="Q20" s="86">
        <v>73.040000000000006</v>
      </c>
      <c r="R20" s="86">
        <v>511.28</v>
      </c>
      <c r="S20" s="96">
        <v>-66.069999999999993</v>
      </c>
      <c r="T20" s="96">
        <v>-0.05</v>
      </c>
      <c r="U20" s="86">
        <v>-66.12</v>
      </c>
      <c r="V20" s="86">
        <v>577.4</v>
      </c>
      <c r="W20" s="97">
        <v>21</v>
      </c>
      <c r="X20" s="97" t="s">
        <v>203</v>
      </c>
      <c r="Y20" s="98">
        <v>144.03</v>
      </c>
      <c r="Z20" s="86">
        <f t="shared" si="0"/>
        <v>-380.14</v>
      </c>
    </row>
    <row r="21" spans="1:26" s="85" customFormat="1" ht="15">
      <c r="A21" s="84" t="s">
        <v>114</v>
      </c>
      <c r="B21" s="85" t="s">
        <v>147</v>
      </c>
      <c r="C21" s="86">
        <f>+FACTURACIÓN!H21-'C&amp;A'!I21+SINDICATO!F21</f>
        <v>3086.04</v>
      </c>
      <c r="D21" s="86">
        <v>0</v>
      </c>
      <c r="E21" s="79">
        <f t="shared" si="1"/>
        <v>3086.04</v>
      </c>
      <c r="F21" s="86">
        <f>-FACTURACIÓN!F21</f>
        <v>0</v>
      </c>
      <c r="G21" s="86">
        <v>0</v>
      </c>
      <c r="H21" s="79">
        <f>+FACTURACIÓN!G21</f>
        <v>0</v>
      </c>
      <c r="I21" s="86">
        <v>0</v>
      </c>
      <c r="J21" s="86">
        <v>0</v>
      </c>
      <c r="K21" s="86">
        <f t="shared" si="2"/>
        <v>0</v>
      </c>
      <c r="L21" s="95">
        <f t="shared" si="3"/>
        <v>3086.04</v>
      </c>
      <c r="M21" s="95"/>
      <c r="N21" s="84" t="s">
        <v>114</v>
      </c>
      <c r="O21" s="85" t="s">
        <v>147</v>
      </c>
      <c r="P21" s="86">
        <v>438.24</v>
      </c>
      <c r="Q21" s="86">
        <v>73.040000000000006</v>
      </c>
      <c r="R21" s="86">
        <v>511.28</v>
      </c>
      <c r="S21" s="96">
        <v>-66.069999999999993</v>
      </c>
      <c r="T21" s="96">
        <v>-0.05</v>
      </c>
      <c r="U21" s="86">
        <v>-66.12</v>
      </c>
      <c r="V21" s="86">
        <v>577.4</v>
      </c>
      <c r="W21" s="97" t="s">
        <v>112</v>
      </c>
      <c r="X21" s="97" t="s">
        <v>212</v>
      </c>
      <c r="Y21" s="98">
        <v>0</v>
      </c>
      <c r="Z21" s="86">
        <f t="shared" si="0"/>
        <v>0</v>
      </c>
    </row>
    <row r="22" spans="1:26" s="85" customFormat="1" ht="15">
      <c r="A22" s="84" t="s">
        <v>112</v>
      </c>
      <c r="B22" s="85" t="s">
        <v>148</v>
      </c>
      <c r="C22" s="86">
        <f>+FACTURACIÓN!H22-'C&amp;A'!I22+SINDICATO!F22</f>
        <v>12353.630000000001</v>
      </c>
      <c r="D22" s="86">
        <v>0</v>
      </c>
      <c r="E22" s="79">
        <f t="shared" si="1"/>
        <v>12353.630000000001</v>
      </c>
      <c r="F22" s="86">
        <f>-FACTURACIÓN!F22</f>
        <v>0</v>
      </c>
      <c r="G22" s="86">
        <v>0</v>
      </c>
      <c r="H22" s="79">
        <f>+FACTURACIÓN!G22</f>
        <v>0</v>
      </c>
      <c r="I22" s="86">
        <v>1176.7237300000002</v>
      </c>
      <c r="J22" s="86">
        <v>0</v>
      </c>
      <c r="K22" s="86">
        <f t="shared" si="2"/>
        <v>1176.7237300000002</v>
      </c>
      <c r="L22" s="95">
        <f t="shared" si="3"/>
        <v>11176.906270000001</v>
      </c>
      <c r="M22" s="95"/>
      <c r="N22" s="84" t="s">
        <v>112</v>
      </c>
      <c r="O22" s="85" t="s">
        <v>148</v>
      </c>
      <c r="P22" s="86">
        <v>438.24</v>
      </c>
      <c r="Q22" s="86">
        <v>73.040000000000006</v>
      </c>
      <c r="R22" s="86">
        <v>511.28</v>
      </c>
      <c r="S22" s="96">
        <v>-66.069999999999993</v>
      </c>
      <c r="T22" s="96">
        <v>-0.05</v>
      </c>
      <c r="U22" s="86">
        <v>-66.12</v>
      </c>
      <c r="V22" s="86">
        <v>577.4</v>
      </c>
      <c r="W22" s="97" t="s">
        <v>113</v>
      </c>
      <c r="X22" s="97" t="s">
        <v>213</v>
      </c>
      <c r="Y22" s="98">
        <v>0</v>
      </c>
      <c r="Z22" s="86">
        <f t="shared" si="0"/>
        <v>0</v>
      </c>
    </row>
    <row r="23" spans="1:26" s="85" customFormat="1" ht="15">
      <c r="A23" s="84" t="s">
        <v>113</v>
      </c>
      <c r="B23" s="85" t="s">
        <v>149</v>
      </c>
      <c r="C23" s="86">
        <f>+FACTURACIÓN!H23-'C&amp;A'!I23+SINDICATO!F23</f>
        <v>2027.56</v>
      </c>
      <c r="D23" s="86">
        <v>0</v>
      </c>
      <c r="E23" s="79">
        <f t="shared" si="1"/>
        <v>2027.56</v>
      </c>
      <c r="F23" s="86">
        <f>-FACTURACIÓN!F23</f>
        <v>0</v>
      </c>
      <c r="G23" s="86">
        <v>0</v>
      </c>
      <c r="H23" s="79">
        <f>+FACTURACIÓN!G23</f>
        <v>0</v>
      </c>
      <c r="I23" s="86">
        <v>0</v>
      </c>
      <c r="J23" s="86">
        <v>0</v>
      </c>
      <c r="K23" s="86">
        <f t="shared" si="2"/>
        <v>0</v>
      </c>
      <c r="L23" s="95">
        <f t="shared" si="3"/>
        <v>2027.56</v>
      </c>
      <c r="M23" s="95"/>
      <c r="N23" s="84" t="s">
        <v>113</v>
      </c>
      <c r="O23" s="85" t="s">
        <v>149</v>
      </c>
      <c r="P23" s="86">
        <v>438.24</v>
      </c>
      <c r="Q23" s="86">
        <v>73.040000000000006</v>
      </c>
      <c r="R23" s="86">
        <v>511.28</v>
      </c>
      <c r="S23" s="96">
        <v>-66.069999999999993</v>
      </c>
      <c r="T23" s="96">
        <v>-0.05</v>
      </c>
      <c r="U23" s="86">
        <v>-66.12</v>
      </c>
      <c r="V23" s="86">
        <v>577.4</v>
      </c>
      <c r="W23" s="97"/>
      <c r="X23" s="97"/>
      <c r="Y23" s="98"/>
      <c r="Z23" s="86">
        <f t="shared" si="0"/>
        <v>0</v>
      </c>
    </row>
    <row r="24" spans="1:26" s="85" customFormat="1" ht="15">
      <c r="A24" s="84" t="s">
        <v>111</v>
      </c>
      <c r="B24" s="85" t="s">
        <v>150</v>
      </c>
      <c r="C24" s="86">
        <f>+FACTURACIÓN!H24-'C&amp;A'!I24+SINDICATO!F24</f>
        <v>217.87571428571425</v>
      </c>
      <c r="D24" s="86">
        <v>0</v>
      </c>
      <c r="E24" s="79">
        <f t="shared" si="1"/>
        <v>217.87571428571425</v>
      </c>
      <c r="F24" s="86">
        <f>-FACTURACIÓN!F24</f>
        <v>0</v>
      </c>
      <c r="G24" s="86">
        <v>0</v>
      </c>
      <c r="H24" s="79">
        <f>+FACTURACIÓN!G24</f>
        <v>115.26</v>
      </c>
      <c r="I24" s="86">
        <v>0</v>
      </c>
      <c r="J24" s="86">
        <v>0</v>
      </c>
      <c r="K24" s="86">
        <f t="shared" si="2"/>
        <v>115.26</v>
      </c>
      <c r="L24" s="95">
        <f t="shared" si="3"/>
        <v>102.61571428571425</v>
      </c>
      <c r="M24" s="95"/>
      <c r="N24" s="84" t="s">
        <v>111</v>
      </c>
      <c r="O24" s="85" t="s">
        <v>150</v>
      </c>
      <c r="P24" s="86">
        <v>438.24</v>
      </c>
      <c r="Q24" s="86">
        <v>73.040000000000006</v>
      </c>
      <c r="R24" s="86">
        <v>511.28</v>
      </c>
      <c r="S24" s="96">
        <v>-66.069999999999993</v>
      </c>
      <c r="T24" s="86">
        <v>0.15</v>
      </c>
      <c r="U24" s="86">
        <v>-65.92</v>
      </c>
      <c r="V24" s="86">
        <v>577.20000000000005</v>
      </c>
      <c r="W24" s="97" t="s">
        <v>111</v>
      </c>
      <c r="X24" s="97" t="s">
        <v>211</v>
      </c>
      <c r="Y24" s="98">
        <v>115.26</v>
      </c>
      <c r="Z24" s="86">
        <f t="shared" si="0"/>
        <v>115.26</v>
      </c>
    </row>
    <row r="25" spans="1:26" s="85" customFormat="1" ht="15">
      <c r="A25" s="84" t="s">
        <v>151</v>
      </c>
      <c r="B25" s="85" t="s">
        <v>152</v>
      </c>
      <c r="C25" s="86">
        <f>+FACTURACIÓN!H25-'C&amp;A'!I25+SINDICATO!F25</f>
        <v>7563.9000000000005</v>
      </c>
      <c r="D25" s="86">
        <v>0</v>
      </c>
      <c r="E25" s="79">
        <f t="shared" si="1"/>
        <v>7563.9000000000005</v>
      </c>
      <c r="F25" s="86">
        <f>-FACTURACIÓN!F25</f>
        <v>0</v>
      </c>
      <c r="G25" s="86">
        <v>0</v>
      </c>
      <c r="H25" s="79">
        <f>+FACTURACIÓN!G25</f>
        <v>89.36</v>
      </c>
      <c r="I25" s="86">
        <v>733.62013999999999</v>
      </c>
      <c r="J25" s="86">
        <v>0</v>
      </c>
      <c r="K25" s="86">
        <f t="shared" si="2"/>
        <v>822.98014000000001</v>
      </c>
      <c r="L25" s="95">
        <f t="shared" si="3"/>
        <v>6740.9198600000009</v>
      </c>
      <c r="M25" s="95"/>
      <c r="N25" s="84" t="s">
        <v>151</v>
      </c>
      <c r="O25" s="85" t="s">
        <v>152</v>
      </c>
      <c r="P25" s="86">
        <v>438.24</v>
      </c>
      <c r="Q25" s="86">
        <v>73.040000000000006</v>
      </c>
      <c r="R25" s="86">
        <v>511.28</v>
      </c>
      <c r="S25" s="96">
        <v>-66.069999999999993</v>
      </c>
      <c r="T25" s="96">
        <v>-0.05</v>
      </c>
      <c r="U25" s="86">
        <v>-66.12</v>
      </c>
      <c r="V25" s="86">
        <v>577.4</v>
      </c>
      <c r="W25" s="97">
        <v>10</v>
      </c>
      <c r="X25" s="97" t="s">
        <v>198</v>
      </c>
      <c r="Y25" s="98">
        <v>89.36</v>
      </c>
      <c r="Z25" s="86">
        <f t="shared" si="0"/>
        <v>89.36</v>
      </c>
    </row>
    <row r="26" spans="1:26" s="85" customFormat="1" ht="15">
      <c r="A26" s="84" t="s">
        <v>153</v>
      </c>
      <c r="B26" s="85" t="s">
        <v>154</v>
      </c>
      <c r="C26" s="86">
        <f>+FACTURACIÓN!H26-'C&amp;A'!I26+SINDICATO!F26</f>
        <v>6936.16</v>
      </c>
      <c r="D26" s="86">
        <v>0</v>
      </c>
      <c r="E26" s="79">
        <f t="shared" si="1"/>
        <v>6936.16</v>
      </c>
      <c r="F26" s="86">
        <f>-FACTURACIÓN!F26</f>
        <v>0</v>
      </c>
      <c r="G26" s="86">
        <v>0</v>
      </c>
      <c r="H26" s="79">
        <f>+FACTURACIÓN!G26</f>
        <v>0</v>
      </c>
      <c r="I26" s="86">
        <v>683.73396000000002</v>
      </c>
      <c r="J26" s="86">
        <v>0</v>
      </c>
      <c r="K26" s="86">
        <f t="shared" si="2"/>
        <v>683.73396000000002</v>
      </c>
      <c r="L26" s="95">
        <f t="shared" si="3"/>
        <v>6252.4260400000003</v>
      </c>
      <c r="M26" s="95"/>
      <c r="N26" s="84" t="s">
        <v>153</v>
      </c>
      <c r="O26" s="85" t="s">
        <v>154</v>
      </c>
      <c r="P26" s="86">
        <v>438.24</v>
      </c>
      <c r="Q26" s="86">
        <v>73.040000000000006</v>
      </c>
      <c r="R26" s="86">
        <v>511.28</v>
      </c>
      <c r="S26" s="96">
        <v>-66.069999999999993</v>
      </c>
      <c r="T26" s="96">
        <v>-0.05</v>
      </c>
      <c r="U26" s="86">
        <v>-66.12</v>
      </c>
      <c r="V26" s="86">
        <v>577.4</v>
      </c>
      <c r="W26" s="97" t="s">
        <v>116</v>
      </c>
      <c r="X26" s="97" t="s">
        <v>217</v>
      </c>
      <c r="Y26" s="98">
        <v>0</v>
      </c>
      <c r="Z26" s="86">
        <f t="shared" si="0"/>
        <v>0</v>
      </c>
    </row>
    <row r="27" spans="1:26" s="85" customFormat="1" ht="15">
      <c r="A27" s="84" t="s">
        <v>115</v>
      </c>
      <c r="B27" s="85" t="s">
        <v>155</v>
      </c>
      <c r="C27" s="86">
        <f>+FACTURACIÓN!H27-'C&amp;A'!I27+SINDICATO!F27</f>
        <v>28.678571428571445</v>
      </c>
      <c r="D27" s="86">
        <v>0</v>
      </c>
      <c r="E27" s="79">
        <f t="shared" si="1"/>
        <v>28.678571428571445</v>
      </c>
      <c r="F27" s="86">
        <f>-FACTURACIÓN!F27</f>
        <v>0</v>
      </c>
      <c r="G27" s="86">
        <v>0</v>
      </c>
      <c r="H27" s="79">
        <f>+FACTURACIÓN!G27</f>
        <v>0</v>
      </c>
      <c r="I27" s="86">
        <v>0</v>
      </c>
      <c r="J27" s="86">
        <v>0</v>
      </c>
      <c r="K27" s="86">
        <f t="shared" si="2"/>
        <v>0</v>
      </c>
      <c r="L27" s="95">
        <f t="shared" si="3"/>
        <v>28.678571428571445</v>
      </c>
      <c r="M27" s="95"/>
      <c r="N27" s="84" t="s">
        <v>115</v>
      </c>
      <c r="O27" s="85" t="s">
        <v>155</v>
      </c>
      <c r="P27" s="86">
        <v>438.24</v>
      </c>
      <c r="Q27" s="86">
        <v>73.040000000000006</v>
      </c>
      <c r="R27" s="86">
        <v>511.28</v>
      </c>
      <c r="S27" s="96">
        <v>-66.069999999999993</v>
      </c>
      <c r="T27" s="96">
        <v>-0.05</v>
      </c>
      <c r="U27" s="86">
        <v>-66.12</v>
      </c>
      <c r="V27" s="86">
        <v>577.4</v>
      </c>
      <c r="W27" s="97" t="s">
        <v>115</v>
      </c>
      <c r="X27" s="97" t="s">
        <v>216</v>
      </c>
      <c r="Y27" s="98">
        <v>0</v>
      </c>
      <c r="Z27" s="86">
        <f t="shared" si="0"/>
        <v>0</v>
      </c>
    </row>
    <row r="28" spans="1:26" s="85" customFormat="1" ht="15">
      <c r="A28" s="84" t="s">
        <v>156</v>
      </c>
      <c r="B28" s="85" t="s">
        <v>157</v>
      </c>
      <c r="C28" s="86">
        <f>+FACTURACIÓN!H28-'C&amp;A'!I28+SINDICATO!F28</f>
        <v>4248.34</v>
      </c>
      <c r="D28" s="86">
        <v>0</v>
      </c>
      <c r="E28" s="79">
        <f t="shared" si="1"/>
        <v>4248.34</v>
      </c>
      <c r="F28" s="86">
        <f>-FACTURACIÓN!F28</f>
        <v>0</v>
      </c>
      <c r="G28" s="86">
        <v>0</v>
      </c>
      <c r="H28" s="79">
        <f>+FACTURACIÓN!G28</f>
        <v>0</v>
      </c>
      <c r="I28" s="86">
        <v>0</v>
      </c>
      <c r="J28" s="86">
        <v>0</v>
      </c>
      <c r="K28" s="86">
        <f t="shared" si="2"/>
        <v>0</v>
      </c>
      <c r="L28" s="95">
        <f t="shared" si="3"/>
        <v>4248.34</v>
      </c>
      <c r="M28" s="95"/>
      <c r="N28" s="84" t="s">
        <v>156</v>
      </c>
      <c r="O28" s="85" t="s">
        <v>157</v>
      </c>
      <c r="P28" s="86">
        <v>438.24</v>
      </c>
      <c r="Q28" s="86">
        <v>73.040000000000006</v>
      </c>
      <c r="R28" s="86">
        <v>511.28</v>
      </c>
      <c r="S28" s="96">
        <v>-66.069999999999993</v>
      </c>
      <c r="T28" s="96">
        <v>-0.05</v>
      </c>
      <c r="U28" s="86">
        <v>-66.12</v>
      </c>
      <c r="V28" s="86">
        <v>577.4</v>
      </c>
      <c r="W28" s="97" t="s">
        <v>90</v>
      </c>
      <c r="X28" s="97" t="s">
        <v>200</v>
      </c>
      <c r="Y28" s="98">
        <v>0</v>
      </c>
      <c r="Z28" s="86">
        <f t="shared" si="0"/>
        <v>0</v>
      </c>
    </row>
    <row r="29" spans="1:26" s="85" customFormat="1" ht="15">
      <c r="A29" s="84" t="s">
        <v>120</v>
      </c>
      <c r="B29" s="85" t="s">
        <v>158</v>
      </c>
      <c r="C29" s="86">
        <f>+FACTURACIÓN!H29-'C&amp;A'!I29+SINDICATO!F29</f>
        <v>5069.1100000000006</v>
      </c>
      <c r="D29" s="86">
        <v>0</v>
      </c>
      <c r="E29" s="79">
        <f t="shared" si="1"/>
        <v>5069.1100000000006</v>
      </c>
      <c r="F29" s="86">
        <f>-FACTURACIÓN!F29</f>
        <v>0</v>
      </c>
      <c r="G29" s="86">
        <v>0</v>
      </c>
      <c r="H29" s="79">
        <f>+FACTURACIÓN!G29</f>
        <v>0</v>
      </c>
      <c r="I29" s="86">
        <v>513.81421</v>
      </c>
      <c r="J29" s="86">
        <v>0</v>
      </c>
      <c r="K29" s="86">
        <f t="shared" si="2"/>
        <v>513.81421</v>
      </c>
      <c r="L29" s="95">
        <f t="shared" si="3"/>
        <v>4555.2957900000001</v>
      </c>
      <c r="M29" s="95"/>
      <c r="N29" s="84" t="s">
        <v>120</v>
      </c>
      <c r="O29" s="85" t="s">
        <v>158</v>
      </c>
      <c r="P29" s="86">
        <v>438.24</v>
      </c>
      <c r="Q29" s="86">
        <v>73.040000000000006</v>
      </c>
      <c r="R29" s="86">
        <v>511.28</v>
      </c>
      <c r="S29" s="96">
        <v>-66.069999999999993</v>
      </c>
      <c r="T29" s="86">
        <v>0.15</v>
      </c>
      <c r="U29" s="86">
        <v>-65.92</v>
      </c>
      <c r="V29" s="86">
        <v>577.20000000000005</v>
      </c>
      <c r="W29" s="97" t="s">
        <v>120</v>
      </c>
      <c r="X29" s="97" t="s">
        <v>218</v>
      </c>
      <c r="Y29" s="98">
        <v>0</v>
      </c>
      <c r="Z29" s="86">
        <f t="shared" si="0"/>
        <v>0</v>
      </c>
    </row>
    <row r="30" spans="1:26" s="85" customFormat="1" ht="15">
      <c r="A30" s="84" t="s">
        <v>121</v>
      </c>
      <c r="B30" s="85" t="s">
        <v>159</v>
      </c>
      <c r="C30" s="86">
        <f>+FACTURACIÓN!H30-'C&amp;A'!I30+SINDICATO!F30</f>
        <v>598.89</v>
      </c>
      <c r="D30" s="86">
        <v>0</v>
      </c>
      <c r="E30" s="79">
        <f t="shared" si="1"/>
        <v>598.89</v>
      </c>
      <c r="F30" s="86">
        <f>-FACTURACIÓN!F30</f>
        <v>0</v>
      </c>
      <c r="G30" s="86">
        <v>0</v>
      </c>
      <c r="H30" s="79">
        <f>+FACTURACIÓN!G30</f>
        <v>0</v>
      </c>
      <c r="I30" s="86">
        <v>0</v>
      </c>
      <c r="J30" s="86">
        <v>0</v>
      </c>
      <c r="K30" s="86">
        <f t="shared" si="2"/>
        <v>0</v>
      </c>
      <c r="L30" s="95">
        <f t="shared" si="3"/>
        <v>598.89</v>
      </c>
      <c r="M30" s="95"/>
      <c r="N30" s="84" t="s">
        <v>121</v>
      </c>
      <c r="O30" s="85" t="s">
        <v>159</v>
      </c>
      <c r="P30" s="86">
        <v>438.24</v>
      </c>
      <c r="Q30" s="86">
        <v>73.040000000000006</v>
      </c>
      <c r="R30" s="86">
        <v>511.28</v>
      </c>
      <c r="S30" s="96">
        <v>-66.069999999999993</v>
      </c>
      <c r="T30" s="96">
        <v>-0.05</v>
      </c>
      <c r="U30" s="86">
        <v>-66.12</v>
      </c>
      <c r="V30" s="86">
        <v>577.4</v>
      </c>
      <c r="W30" s="97" t="s">
        <v>121</v>
      </c>
      <c r="X30" s="97" t="s">
        <v>219</v>
      </c>
      <c r="Y30" s="98">
        <v>0</v>
      </c>
      <c r="Z30" s="86">
        <f t="shared" si="0"/>
        <v>0</v>
      </c>
    </row>
    <row r="31" spans="1:26" s="85" customFormat="1" ht="15">
      <c r="A31" s="84" t="s">
        <v>122</v>
      </c>
      <c r="B31" s="85" t="s">
        <v>161</v>
      </c>
      <c r="C31" s="86">
        <f>+FACTURACIÓN!H31-'C&amp;A'!I31+SINDICATO!F31</f>
        <v>6083.29</v>
      </c>
      <c r="D31" s="86">
        <v>0</v>
      </c>
      <c r="E31" s="79">
        <f t="shared" si="1"/>
        <v>6083.29</v>
      </c>
      <c r="F31" s="86">
        <f>-FACTURACIÓN!F31</f>
        <v>0</v>
      </c>
      <c r="G31" s="86">
        <v>0</v>
      </c>
      <c r="H31" s="79">
        <f>+FACTURACIÓN!G31</f>
        <v>0</v>
      </c>
      <c r="I31" s="86">
        <v>606.12279000000001</v>
      </c>
      <c r="J31" s="86">
        <v>0</v>
      </c>
      <c r="K31" s="86">
        <f t="shared" si="2"/>
        <v>606.12279000000001</v>
      </c>
      <c r="L31" s="95">
        <f t="shared" si="3"/>
        <v>5477.1672099999996</v>
      </c>
      <c r="M31" s="95"/>
      <c r="N31" s="84" t="s">
        <v>122</v>
      </c>
      <c r="O31" s="85" t="s">
        <v>161</v>
      </c>
      <c r="P31" s="86">
        <v>438.24</v>
      </c>
      <c r="Q31" s="86">
        <v>73.040000000000006</v>
      </c>
      <c r="R31" s="86">
        <v>511.28</v>
      </c>
      <c r="S31" s="96">
        <v>-66.069999999999993</v>
      </c>
      <c r="T31" s="96">
        <v>-0.05</v>
      </c>
      <c r="U31" s="86">
        <v>-66.12</v>
      </c>
      <c r="V31" s="86">
        <v>577.4</v>
      </c>
      <c r="W31" s="97" t="s">
        <v>122</v>
      </c>
      <c r="X31" s="97" t="s">
        <v>220</v>
      </c>
      <c r="Y31" s="98">
        <v>0</v>
      </c>
      <c r="Z31" s="86">
        <f t="shared" si="0"/>
        <v>0</v>
      </c>
    </row>
    <row r="32" spans="1:26" s="85" customFormat="1" ht="15">
      <c r="A32" s="84" t="s">
        <v>162</v>
      </c>
      <c r="B32" s="85" t="s">
        <v>163</v>
      </c>
      <c r="C32" s="86">
        <f>+FACTURACIÓN!H32-'C&amp;A'!I32+SINDICATO!F32</f>
        <v>2722.65</v>
      </c>
      <c r="D32" s="86">
        <v>0</v>
      </c>
      <c r="E32" s="79">
        <f t="shared" si="1"/>
        <v>2722.65</v>
      </c>
      <c r="F32" s="86">
        <f>-FACTURACIÓN!F32</f>
        <v>0</v>
      </c>
      <c r="G32" s="86">
        <v>0</v>
      </c>
      <c r="H32" s="79">
        <f>+FACTURACIÓN!G32</f>
        <v>0</v>
      </c>
      <c r="I32" s="86">
        <v>0</v>
      </c>
      <c r="J32" s="86">
        <v>0</v>
      </c>
      <c r="K32" s="86">
        <f t="shared" si="2"/>
        <v>0</v>
      </c>
      <c r="L32" s="95">
        <f t="shared" si="3"/>
        <v>2722.65</v>
      </c>
      <c r="M32" s="95"/>
      <c r="N32" s="84" t="s">
        <v>162</v>
      </c>
      <c r="O32" s="85" t="s">
        <v>163</v>
      </c>
      <c r="P32" s="86">
        <v>438.24</v>
      </c>
      <c r="Q32" s="86">
        <v>73.040000000000006</v>
      </c>
      <c r="R32" s="86">
        <v>511.28</v>
      </c>
      <c r="S32" s="96">
        <v>-66.069999999999993</v>
      </c>
      <c r="T32" s="96">
        <v>-0.05</v>
      </c>
      <c r="U32" s="86">
        <v>-66.12</v>
      </c>
      <c r="V32" s="86">
        <v>577.4</v>
      </c>
      <c r="W32" s="97" t="s">
        <v>127</v>
      </c>
      <c r="X32" s="97" t="s">
        <v>221</v>
      </c>
      <c r="Y32" s="98">
        <v>0</v>
      </c>
      <c r="Z32" s="86">
        <f t="shared" si="0"/>
        <v>0</v>
      </c>
    </row>
    <row r="33" spans="1:26" s="85" customFormat="1" ht="15">
      <c r="A33" s="84" t="s">
        <v>91</v>
      </c>
      <c r="B33" s="85" t="s">
        <v>170</v>
      </c>
      <c r="C33" s="86">
        <f>+FACTURACIÓN!H33-'C&amp;A'!I33+SINDICATO!F33</f>
        <v>1159.2600000000002</v>
      </c>
      <c r="D33" s="86">
        <v>0</v>
      </c>
      <c r="E33" s="79">
        <f t="shared" si="1"/>
        <v>1159.2600000000002</v>
      </c>
      <c r="F33" s="86">
        <f>-FACTURACIÓN!F33</f>
        <v>0</v>
      </c>
      <c r="G33" s="86">
        <v>0</v>
      </c>
      <c r="H33" s="79">
        <f>+FACTURACIÓN!G33</f>
        <v>134.6</v>
      </c>
      <c r="I33" s="86">
        <v>0</v>
      </c>
      <c r="J33" s="86">
        <v>0</v>
      </c>
      <c r="K33" s="86">
        <f t="shared" si="2"/>
        <v>134.6</v>
      </c>
      <c r="L33" s="95">
        <f t="shared" si="3"/>
        <v>1024.6600000000003</v>
      </c>
      <c r="M33" s="95"/>
      <c r="N33" s="84" t="s">
        <v>91</v>
      </c>
      <c r="O33" s="85" t="s">
        <v>170</v>
      </c>
      <c r="P33" s="86">
        <v>438.24</v>
      </c>
      <c r="Q33" s="86">
        <v>73.040000000000006</v>
      </c>
      <c r="R33" s="86">
        <v>511.28</v>
      </c>
      <c r="S33" s="96">
        <v>-66.069999999999993</v>
      </c>
      <c r="T33" s="96">
        <v>-0.05</v>
      </c>
      <c r="U33" s="86">
        <v>-66.12</v>
      </c>
      <c r="V33" s="86">
        <v>577.4</v>
      </c>
      <c r="W33" s="97" t="s">
        <v>91</v>
      </c>
      <c r="X33" s="97" t="s">
        <v>201</v>
      </c>
      <c r="Y33" s="98">
        <v>134.6</v>
      </c>
      <c r="Z33" s="86">
        <f>+Y33-F33</f>
        <v>134.6</v>
      </c>
    </row>
    <row r="34" spans="1:26" s="85" customFormat="1" ht="15">
      <c r="A34" s="84" t="s">
        <v>128</v>
      </c>
      <c r="B34" s="85" t="s">
        <v>171</v>
      </c>
      <c r="C34" s="86">
        <f>+FACTURACIÓN!H34-'C&amp;A'!I34+SINDICATO!F34</f>
        <v>1198.29</v>
      </c>
      <c r="D34" s="86">
        <v>0</v>
      </c>
      <c r="E34" s="79">
        <f t="shared" si="1"/>
        <v>1198.29</v>
      </c>
      <c r="F34" s="86">
        <f>-FACTURACIÓN!F34</f>
        <v>552.17999999999995</v>
      </c>
      <c r="G34" s="86">
        <v>0</v>
      </c>
      <c r="H34" s="79">
        <f>+FACTURACIÓN!G34</f>
        <v>641.65</v>
      </c>
      <c r="I34" s="86">
        <v>0</v>
      </c>
      <c r="J34" s="86">
        <v>0</v>
      </c>
      <c r="K34" s="86">
        <f>SUM(F34:J34)</f>
        <v>1193.83</v>
      </c>
      <c r="L34" s="95">
        <f t="shared" si="3"/>
        <v>4.4600000000000364</v>
      </c>
      <c r="M34" s="95"/>
      <c r="N34" s="84" t="s">
        <v>128</v>
      </c>
      <c r="O34" s="85" t="s">
        <v>171</v>
      </c>
      <c r="P34" s="86">
        <v>438.24</v>
      </c>
      <c r="Q34" s="86">
        <v>73.040000000000006</v>
      </c>
      <c r="R34" s="86">
        <v>511.28</v>
      </c>
      <c r="S34" s="96">
        <v>-66.069999999999993</v>
      </c>
      <c r="T34" s="96">
        <v>-0.05</v>
      </c>
      <c r="U34" s="86">
        <v>-66.12</v>
      </c>
      <c r="V34" s="86">
        <v>577.4</v>
      </c>
      <c r="W34" s="97" t="s">
        <v>128</v>
      </c>
      <c r="X34" s="97" t="s">
        <v>225</v>
      </c>
      <c r="Y34" s="98">
        <v>898.42</v>
      </c>
      <c r="Z34" s="86">
        <f>+Y34-F34</f>
        <v>346.24</v>
      </c>
    </row>
    <row r="35" spans="1:26" s="85" customFormat="1" ht="15">
      <c r="A35" s="84" t="s">
        <v>129</v>
      </c>
      <c r="B35" s="85" t="s">
        <v>172</v>
      </c>
      <c r="C35" s="86">
        <f>+FACTURACIÓN!H35-'C&amp;A'!I35+SINDICATO!F35</f>
        <v>2992.25</v>
      </c>
      <c r="D35" s="86">
        <v>0</v>
      </c>
      <c r="E35" s="79">
        <f t="shared" si="1"/>
        <v>2992.25</v>
      </c>
      <c r="F35" s="86">
        <f>-FACTURACIÓN!F35</f>
        <v>0</v>
      </c>
      <c r="G35" s="86">
        <v>0</v>
      </c>
      <c r="H35" s="79">
        <f>+FACTURACIÓN!G35</f>
        <v>0</v>
      </c>
      <c r="I35" s="86">
        <v>0</v>
      </c>
      <c r="J35" s="86">
        <v>0</v>
      </c>
      <c r="K35" s="86">
        <f t="shared" si="2"/>
        <v>0</v>
      </c>
      <c r="L35" s="95">
        <f t="shared" si="3"/>
        <v>2992.25</v>
      </c>
      <c r="M35" s="95"/>
      <c r="N35" s="84" t="s">
        <v>129</v>
      </c>
      <c r="O35" s="85" t="s">
        <v>172</v>
      </c>
      <c r="P35" s="86">
        <v>438.24</v>
      </c>
      <c r="Q35" s="86">
        <v>73.040000000000006</v>
      </c>
      <c r="R35" s="86">
        <v>511.28</v>
      </c>
      <c r="S35" s="96">
        <v>-66.069999999999993</v>
      </c>
      <c r="T35" s="86">
        <v>0.15</v>
      </c>
      <c r="U35" s="86">
        <v>-65.92</v>
      </c>
      <c r="V35" s="86">
        <v>577.20000000000005</v>
      </c>
      <c r="W35" s="97" t="s">
        <v>129</v>
      </c>
      <c r="X35" s="97" t="s">
        <v>226</v>
      </c>
      <c r="Y35" s="98">
        <v>0</v>
      </c>
      <c r="Z35" s="86">
        <f t="shared" si="0"/>
        <v>0</v>
      </c>
    </row>
    <row r="36" spans="1:26" s="85" customFormat="1" ht="14.25">
      <c r="A36" s="84"/>
      <c r="N36" s="35"/>
      <c r="O36" s="35"/>
      <c r="P36" s="35"/>
      <c r="Q36" s="35"/>
      <c r="R36" s="35"/>
      <c r="S36" s="35"/>
      <c r="T36" s="35"/>
      <c r="U36" s="35"/>
      <c r="V36" s="35"/>
      <c r="Y36" s="90"/>
      <c r="Z36" s="90"/>
    </row>
    <row r="37" spans="1:26" s="88" customFormat="1">
      <c r="A37" s="87"/>
      <c r="C37" s="88" t="s">
        <v>17</v>
      </c>
      <c r="D37" s="88" t="s">
        <v>17</v>
      </c>
      <c r="E37" s="88" t="s">
        <v>17</v>
      </c>
      <c r="F37" s="88" t="s">
        <v>17</v>
      </c>
      <c r="G37" s="88" t="s">
        <v>17</v>
      </c>
      <c r="H37" s="88" t="s">
        <v>17</v>
      </c>
      <c r="I37" s="88" t="s">
        <v>17</v>
      </c>
      <c r="J37" s="88" t="s">
        <v>17</v>
      </c>
      <c r="K37" s="88" t="s">
        <v>17</v>
      </c>
      <c r="L37" s="88" t="s">
        <v>17</v>
      </c>
      <c r="N37" s="35"/>
      <c r="O37" s="35"/>
      <c r="P37" s="35"/>
      <c r="Q37" s="35"/>
      <c r="R37" s="35"/>
      <c r="S37" s="35"/>
      <c r="T37" s="35"/>
      <c r="U37" s="35"/>
      <c r="V37" s="35"/>
      <c r="W37" s="85"/>
      <c r="X37" s="85"/>
      <c r="Y37" s="85"/>
      <c r="Z37" s="85"/>
    </row>
    <row r="38" spans="1:26" s="90" customFormat="1" ht="15">
      <c r="A38" s="89" t="s">
        <v>18</v>
      </c>
      <c r="B38" s="90" t="s">
        <v>19</v>
      </c>
      <c r="C38" s="91">
        <f>SUM(C10:C37)</f>
        <v>87634.557142857127</v>
      </c>
      <c r="D38" s="91">
        <f t="shared" ref="D38:K38" si="4">SUM(D10:D37)</f>
        <v>0</v>
      </c>
      <c r="E38" s="91">
        <f t="shared" si="4"/>
        <v>87634.557142857127</v>
      </c>
      <c r="F38" s="91">
        <f>SUM(F10:F37)</f>
        <v>1166.6099999999999</v>
      </c>
      <c r="G38" s="91">
        <f t="shared" si="4"/>
        <v>0</v>
      </c>
      <c r="H38" s="91">
        <f t="shared" si="4"/>
        <v>3265.2600000000007</v>
      </c>
      <c r="I38" s="91">
        <f t="shared" si="4"/>
        <v>5128.1872900000008</v>
      </c>
      <c r="J38" s="91">
        <f t="shared" si="4"/>
        <v>0</v>
      </c>
      <c r="K38" s="91">
        <f t="shared" si="4"/>
        <v>9560.0572900000006</v>
      </c>
      <c r="L38" s="91">
        <f>SUM(L10:L37)</f>
        <v>78074.499852857145</v>
      </c>
      <c r="M38" s="91"/>
      <c r="N38" s="35"/>
      <c r="O38" s="35"/>
      <c r="P38" s="35"/>
      <c r="Q38" s="35"/>
      <c r="R38" s="35"/>
      <c r="S38" s="35"/>
      <c r="T38" s="35"/>
      <c r="U38" s="35"/>
      <c r="V38" s="35"/>
      <c r="W38" s="85"/>
      <c r="X38" s="85"/>
      <c r="Y38" s="85"/>
      <c r="Z38" s="85"/>
    </row>
    <row r="39" spans="1:26" s="85" customFormat="1">
      <c r="A39" s="84"/>
      <c r="N39" s="35"/>
      <c r="O39" s="35"/>
      <c r="P39" s="35"/>
      <c r="Q39" s="35"/>
      <c r="R39" s="35"/>
      <c r="S39" s="35"/>
      <c r="T39" s="35"/>
      <c r="U39" s="35"/>
      <c r="V39" s="35"/>
    </row>
    <row r="40" spans="1:26">
      <c r="C40" s="2" t="s">
        <v>19</v>
      </c>
      <c r="D40" s="2" t="s">
        <v>19</v>
      </c>
      <c r="E40" s="2" t="s">
        <v>19</v>
      </c>
      <c r="F40" s="2" t="s">
        <v>19</v>
      </c>
      <c r="G40" s="2" t="s">
        <v>19</v>
      </c>
      <c r="H40" s="2" t="s">
        <v>19</v>
      </c>
      <c r="I40" s="2" t="s">
        <v>19</v>
      </c>
      <c r="K40" s="2" t="s">
        <v>19</v>
      </c>
    </row>
    <row r="41" spans="1:26">
      <c r="A41" s="3" t="s">
        <v>19</v>
      </c>
      <c r="B41" s="2" t="s">
        <v>19</v>
      </c>
      <c r="C41" s="9"/>
      <c r="D41" s="9"/>
      <c r="E41" s="9"/>
      <c r="F41" s="9"/>
      <c r="G41" s="9"/>
      <c r="H41" s="9"/>
      <c r="I41" s="9"/>
      <c r="J41" s="68"/>
      <c r="K41" s="9"/>
    </row>
  </sheetData>
  <mergeCells count="5">
    <mergeCell ref="O4:Q4"/>
    <mergeCell ref="P3:Q3"/>
    <mergeCell ref="P2:Q2"/>
    <mergeCell ref="P1:Q1"/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9" workbookViewId="0">
      <selection activeCell="A109" sqref="A1:XFD1048576"/>
    </sheetView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A3" sqref="A3:C30"/>
    </sheetView>
  </sheetViews>
  <sheetFormatPr baseColWidth="10" defaultRowHeight="15"/>
  <cols>
    <col min="1" max="1" width="11.42578125" style="53"/>
    <col min="2" max="2" width="25.85546875" style="53" bestFit="1" customWidth="1"/>
    <col min="3" max="3" width="11.42578125" style="75"/>
    <col min="4" max="16384" width="11.42578125" style="53"/>
  </cols>
  <sheetData>
    <row r="1" spans="1:3">
      <c r="A1" s="53" t="s">
        <v>24</v>
      </c>
      <c r="B1" s="53" t="s">
        <v>194</v>
      </c>
      <c r="C1" s="75" t="s">
        <v>195</v>
      </c>
    </row>
    <row r="2" spans="1:3">
      <c r="A2" s="53" t="s">
        <v>25</v>
      </c>
      <c r="B2" s="53" t="s">
        <v>196</v>
      </c>
      <c r="C2" s="75" t="s">
        <v>25</v>
      </c>
    </row>
    <row r="3" spans="1:3">
      <c r="A3" s="73" t="s">
        <v>93</v>
      </c>
      <c r="B3" s="73" t="s">
        <v>205</v>
      </c>
      <c r="C3" s="74">
        <v>0</v>
      </c>
    </row>
    <row r="4" spans="1:3">
      <c r="A4" s="73" t="s">
        <v>95</v>
      </c>
      <c r="B4" s="73" t="s">
        <v>206</v>
      </c>
      <c r="C4" s="74">
        <v>0</v>
      </c>
    </row>
    <row r="5" spans="1:3">
      <c r="A5" s="73" t="s">
        <v>96</v>
      </c>
      <c r="B5" s="73" t="s">
        <v>207</v>
      </c>
      <c r="C5" s="74">
        <v>0</v>
      </c>
    </row>
    <row r="6" spans="1:3">
      <c r="A6" s="73" t="s">
        <v>92</v>
      </c>
      <c r="B6" s="73" t="s">
        <v>204</v>
      </c>
      <c r="C6" s="74">
        <v>134.46</v>
      </c>
    </row>
    <row r="7" spans="1:3">
      <c r="A7" s="73" t="s">
        <v>87</v>
      </c>
      <c r="B7" s="73" t="s">
        <v>197</v>
      </c>
      <c r="C7" s="74">
        <v>0</v>
      </c>
    </row>
    <row r="8" spans="1:3">
      <c r="A8" s="73" t="s">
        <v>108</v>
      </c>
      <c r="B8" s="73" t="s">
        <v>208</v>
      </c>
      <c r="C8" s="74">
        <v>134.6</v>
      </c>
    </row>
    <row r="9" spans="1:3">
      <c r="A9" s="73" t="s">
        <v>109</v>
      </c>
      <c r="B9" s="73" t="s">
        <v>209</v>
      </c>
      <c r="C9" s="74">
        <v>240.83</v>
      </c>
    </row>
    <row r="10" spans="1:3">
      <c r="A10" s="73">
        <v>5</v>
      </c>
      <c r="B10" s="73" t="s">
        <v>202</v>
      </c>
      <c r="C10" s="74">
        <v>0</v>
      </c>
    </row>
    <row r="11" spans="1:3">
      <c r="A11" s="73" t="s">
        <v>110</v>
      </c>
      <c r="B11" s="73" t="s">
        <v>210</v>
      </c>
      <c r="C11" s="74">
        <v>0</v>
      </c>
    </row>
    <row r="12" spans="1:3">
      <c r="A12" s="73" t="s">
        <v>89</v>
      </c>
      <c r="B12" s="73" t="s">
        <v>199</v>
      </c>
      <c r="C12" s="74">
        <v>498.65</v>
      </c>
    </row>
    <row r="13" spans="1:3">
      <c r="A13" s="73">
        <v>21</v>
      </c>
      <c r="B13" s="73" t="s">
        <v>203</v>
      </c>
      <c r="C13" s="74">
        <v>144.03</v>
      </c>
    </row>
    <row r="14" spans="1:3">
      <c r="A14" s="73" t="s">
        <v>112</v>
      </c>
      <c r="B14" s="73" t="s">
        <v>212</v>
      </c>
      <c r="C14" s="74">
        <v>0</v>
      </c>
    </row>
    <row r="15" spans="1:3">
      <c r="A15" s="73" t="s">
        <v>113</v>
      </c>
      <c r="B15" s="73" t="s">
        <v>213</v>
      </c>
      <c r="C15" s="74">
        <v>0</v>
      </c>
    </row>
    <row r="16" spans="1:3">
      <c r="A16" s="73" t="s">
        <v>111</v>
      </c>
      <c r="B16" s="73" t="s">
        <v>211</v>
      </c>
      <c r="C16" s="74">
        <v>115.26</v>
      </c>
    </row>
    <row r="17" spans="1:3">
      <c r="A17" s="73">
        <v>10</v>
      </c>
      <c r="B17" s="73" t="s">
        <v>198</v>
      </c>
      <c r="C17" s="74">
        <v>89.36</v>
      </c>
    </row>
    <row r="18" spans="1:3">
      <c r="A18" s="73" t="s">
        <v>116</v>
      </c>
      <c r="B18" s="73" t="s">
        <v>217</v>
      </c>
      <c r="C18" s="74">
        <v>0</v>
      </c>
    </row>
    <row r="19" spans="1:3">
      <c r="A19" s="73" t="s">
        <v>214</v>
      </c>
      <c r="B19" s="73" t="s">
        <v>215</v>
      </c>
      <c r="C19" s="74">
        <v>0</v>
      </c>
    </row>
    <row r="20" spans="1:3">
      <c r="A20" s="73" t="s">
        <v>115</v>
      </c>
      <c r="B20" s="73" t="s">
        <v>216</v>
      </c>
      <c r="C20" s="74">
        <v>0</v>
      </c>
    </row>
    <row r="21" spans="1:3">
      <c r="A21" s="73" t="s">
        <v>90</v>
      </c>
      <c r="B21" s="73" t="s">
        <v>200</v>
      </c>
      <c r="C21" s="74">
        <v>0</v>
      </c>
    </row>
    <row r="22" spans="1:3">
      <c r="A22" s="73" t="s">
        <v>120</v>
      </c>
      <c r="B22" s="73" t="s">
        <v>218</v>
      </c>
      <c r="C22" s="74">
        <v>0</v>
      </c>
    </row>
    <row r="23" spans="1:3">
      <c r="A23" s="73" t="s">
        <v>121</v>
      </c>
      <c r="B23" s="73" t="s">
        <v>219</v>
      </c>
      <c r="C23" s="74">
        <v>0</v>
      </c>
    </row>
    <row r="24" spans="1:3">
      <c r="A24" s="73" t="s">
        <v>122</v>
      </c>
      <c r="B24" s="73" t="s">
        <v>220</v>
      </c>
      <c r="C24" s="74">
        <v>0</v>
      </c>
    </row>
    <row r="25" spans="1:3">
      <c r="A25" s="73" t="s">
        <v>127</v>
      </c>
      <c r="B25" s="73" t="s">
        <v>221</v>
      </c>
      <c r="C25" s="74">
        <v>0</v>
      </c>
    </row>
    <row r="26" spans="1:3">
      <c r="A26" s="73" t="s">
        <v>222</v>
      </c>
      <c r="B26" s="73" t="s">
        <v>223</v>
      </c>
      <c r="C26" s="74">
        <v>0</v>
      </c>
    </row>
    <row r="27" spans="1:3">
      <c r="A27" s="73" t="s">
        <v>166</v>
      </c>
      <c r="B27" s="73" t="s">
        <v>224</v>
      </c>
      <c r="C27" s="74">
        <v>786.47</v>
      </c>
    </row>
    <row r="28" spans="1:3">
      <c r="A28" s="73" t="s">
        <v>91</v>
      </c>
      <c r="B28" s="73" t="s">
        <v>201</v>
      </c>
      <c r="C28" s="74">
        <v>134.6</v>
      </c>
    </row>
    <row r="29" spans="1:3">
      <c r="A29" s="73" t="s">
        <v>128</v>
      </c>
      <c r="B29" s="73" t="s">
        <v>225</v>
      </c>
      <c r="C29" s="74">
        <v>898.42</v>
      </c>
    </row>
    <row r="30" spans="1:3">
      <c r="A30" s="73" t="s">
        <v>129</v>
      </c>
      <c r="B30" s="73" t="s">
        <v>226</v>
      </c>
      <c r="C30" s="74">
        <v>0</v>
      </c>
    </row>
  </sheetData>
  <sortState ref="A3:C67">
    <sortCondition ref="B3:B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FACTURACIÓN</vt:lpstr>
      <vt:lpstr>C&amp;A</vt:lpstr>
      <vt:lpstr>SINDICATO</vt:lpstr>
      <vt:lpstr>Hoja3</vt:lpstr>
      <vt:lpstr>Hoja1</vt:lpstr>
      <vt:lpstr>INFONAVIT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contabilidad qm</cp:lastModifiedBy>
  <cp:lastPrinted>2016-01-16T18:55:13Z</cp:lastPrinted>
  <dcterms:created xsi:type="dcterms:W3CDTF">2016-01-16T18:25:25Z</dcterms:created>
  <dcterms:modified xsi:type="dcterms:W3CDTF">2016-02-16T02:07:39Z</dcterms:modified>
</cp:coreProperties>
</file>